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Net Assets_K" sheetId="1" r:id="rId1"/>
    <sheet name="RECNA_K" sheetId="2" r:id="rId2"/>
    <sheet name="Cash Flows_K" sheetId="3" r:id="rId3"/>
    <sheet name="NA by Fund_K" sheetId="4" r:id="rId4"/>
    <sheet name="RECNA by Fund_K" sheetId="5" r:id="rId5"/>
    <sheet name="RECNA-Unrest_K" sheetId="6" r:id="rId6"/>
    <sheet name="Oper Rev_K" sheetId="7" r:id="rId7"/>
    <sheet name="Oper Exp_K" sheetId="8" r:id="rId8"/>
    <sheet name="Aux &amp; SO_K" sheetId="9" r:id="rId9"/>
    <sheet name="RECNA-Sel Aux_K" sheetId="10" r:id="rId10"/>
    <sheet name="Loan_K" sheetId="11" r:id="rId11"/>
    <sheet name="Endow_K" sheetId="12" r:id="rId12"/>
    <sheet name="R&amp;U Plant_K" sheetId="13" r:id="rId13"/>
    <sheet name="Invest in Plant_K" sheetId="14" r:id="rId14"/>
    <sheet name="Bonds &amp; Notes_K" sheetId="15" r:id="rId15"/>
    <sheet name="Funds Held_K" sheetId="16" r:id="rId16"/>
  </sheets>
  <definedNames>
    <definedName name="ABC" localSheetId="12">'R&amp;U Plant_K'!#REF!</definedName>
    <definedName name="ABC">#REF!</definedName>
    <definedName name="ASD" localSheetId="11">'Endow_K'!$R$4</definedName>
    <definedName name="ASD" localSheetId="15">'Funds Held_K'!$K$5</definedName>
    <definedName name="ASD" localSheetId="10">'Loan_K'!$O$4</definedName>
    <definedName name="ASD" localSheetId="7">'Oper Exp_K'!$M$4</definedName>
    <definedName name="ASD" localSheetId="12">'R&amp;U Plant_K'!$P$4</definedName>
    <definedName name="ASD">#REF!</definedName>
    <definedName name="AsofDate" localSheetId="15">'Funds Held_K'!$X$5</definedName>
    <definedName name="AsofDate">#REF!</definedName>
    <definedName name="ASSD" localSheetId="11">'Endow_K'!$R$4</definedName>
    <definedName name="ASSD" localSheetId="10">'Loan_K'!$O$4</definedName>
    <definedName name="ASSD">#REF!</definedName>
    <definedName name="NvsASD" localSheetId="8">"V2006-06-30"</definedName>
    <definedName name="NvsASD" localSheetId="11">"V2006-06-30"</definedName>
    <definedName name="NvsASD" localSheetId="15">"V2006-06-30"</definedName>
    <definedName name="NvsASD" localSheetId="13">"V2006-06-30"</definedName>
    <definedName name="NvsASD" localSheetId="10">"V2006-06-30"</definedName>
    <definedName name="NvsASD" localSheetId="3">"V2006-06-30"</definedName>
    <definedName name="NvsASD" localSheetId="7">"V2006-06-30"</definedName>
    <definedName name="NvsASD" localSheetId="6">"V2006-06-30"</definedName>
    <definedName name="NvsASD" localSheetId="12">"V2006-06-30"</definedName>
    <definedName name="NvsASD" localSheetId="4">"V2006-06-30"</definedName>
    <definedName name="NvsASD" localSheetId="9">"V2006-06-30"</definedName>
    <definedName name="NvsASD" localSheetId="5">"V2006-06-30"</definedName>
    <definedName name="NvsASD">"V2004-06-30"</definedName>
    <definedName name="NvsAutoDrillOk" localSheetId="8">"VN"</definedName>
    <definedName name="NvsAutoDrillOk" localSheetId="11">"VN"</definedName>
    <definedName name="NvsAutoDrillOk" localSheetId="10">"VN"</definedName>
    <definedName name="NvsAutoDrillOk" localSheetId="12">"VN"</definedName>
    <definedName name="NvsAutoDrillOk" localSheetId="9">"VN"</definedName>
    <definedName name="NvsAutoDrillOk">"VY"</definedName>
    <definedName name="NvsElapsedTime" localSheetId="8">0.00128472222422715</definedName>
    <definedName name="NvsElapsedTime" localSheetId="11">0.00020833333110204</definedName>
    <definedName name="NvsElapsedTime" localSheetId="15">0.000462962962046731</definedName>
    <definedName name="NvsElapsedTime" localSheetId="13">0.000138888892251998</definedName>
    <definedName name="NvsElapsedTime" localSheetId="10">0.0000810185156296939</definedName>
    <definedName name="NvsElapsedTime" localSheetId="3">0.000289351854007691</definedName>
    <definedName name="NvsElapsedTime" localSheetId="7">0.000555555554456078</definedName>
    <definedName name="NvsElapsedTime" localSheetId="6">0.000266203700448386</definedName>
    <definedName name="NvsElapsedTime" localSheetId="12">0.000104166669188999</definedName>
    <definedName name="NvsElapsedTime" localSheetId="4">0.000497685185109731</definedName>
    <definedName name="NvsElapsedTime" localSheetId="9">0.0000694444461259991</definedName>
    <definedName name="NvsElapsedTime" localSheetId="5">0.000625000000582077</definedName>
    <definedName name="NvsElapsedTime">0.00022743055887986</definedName>
    <definedName name="NvsEndTime" localSheetId="8">39090.3126388889</definedName>
    <definedName name="NvsEndTime" localSheetId="11">39088.3448611111</definedName>
    <definedName name="NvsEndTime" localSheetId="15">38994.6790740741</definedName>
    <definedName name="NvsEndTime" localSheetId="13">38943.5951851852</definedName>
    <definedName name="NvsEndTime" localSheetId="10">39090.3153240741</definedName>
    <definedName name="NvsEndTime" localSheetId="3">39090.2700578704</definedName>
    <definedName name="NvsEndTime" localSheetId="7">39051.2904513889</definedName>
    <definedName name="NvsEndTime" localSheetId="6">38994.692037037</definedName>
    <definedName name="NvsEndTime" localSheetId="12">39090.2725</definedName>
    <definedName name="NvsEndTime" localSheetId="4">39090.2637037037</definedName>
    <definedName name="NvsEndTime" localSheetId="9">39090.273125</definedName>
    <definedName name="NvsEndTime" localSheetId="5">39090.2821759259</definedName>
    <definedName name="NvsEndTime">38267.1908077546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 localSheetId="8">"V2025-12-31"</definedName>
    <definedName name="NvsPanelEffdt" localSheetId="11">"V2025-12-31"</definedName>
    <definedName name="NvsPanelEffdt" localSheetId="15">"V2000-07-31"</definedName>
    <definedName name="NvsPanelEffdt" localSheetId="10">"V2025-12-31"</definedName>
    <definedName name="NvsPanelEffdt" localSheetId="7">"V2025-12-31"</definedName>
    <definedName name="NvsPanelEffdt" localSheetId="6">"V2099-07-01"</definedName>
    <definedName name="NvsPanelEffdt" localSheetId="9">"V2000-07-01"</definedName>
    <definedName name="NvsPanelEffdt">"V2099-01-01"</definedName>
    <definedName name="NvsPanelSetid">"VUOFMO"</definedName>
    <definedName name="NvsReqBU" localSheetId="13">"VKCITY"</definedName>
    <definedName name="NvsReqBU">"VKCITY"</definedName>
    <definedName name="NvsReqBUOnly">"VY"</definedName>
    <definedName name="NvsSheetType" localSheetId="8">"M"</definedName>
    <definedName name="NvsSheetType" localSheetId="11">"M"</definedName>
    <definedName name="NvsSheetType" localSheetId="15">"M"</definedName>
    <definedName name="NvsSheetType" localSheetId="13">"M"</definedName>
    <definedName name="NvsSheetType" localSheetId="10">"M"</definedName>
    <definedName name="NvsSheetType" localSheetId="3">"M"</definedName>
    <definedName name="NvsSheetType" localSheetId="7">"M"</definedName>
    <definedName name="NvsSheetType" localSheetId="6">"M"</definedName>
    <definedName name="NvsSheetType" localSheetId="12">"M"</definedName>
    <definedName name="NvsSheetType" localSheetId="4">"M"</definedName>
    <definedName name="NvsSheetType" localSheetId="9">"M"</definedName>
    <definedName name="NvsSheetType" localSheetId="5">"M"</definedName>
    <definedName name="NvsTransLed">"VN"</definedName>
    <definedName name="NvsTree.GASB_34_35" localSheetId="6">"YNNYN"</definedName>
    <definedName name="NvsTree.GASB_34_35_FUND" localSheetId="15">"YNNYN"</definedName>
    <definedName name="NvsTree.GASB_34_35_FUND" localSheetId="7">"YNNYN"</definedName>
    <definedName name="NvsTree.GASB_34_35_FUND" localSheetId="6">"YNNYN"</definedName>
    <definedName name="NvsTree.GASB_34_35_FUND" localSheetId="4">"YNNYN"</definedName>
    <definedName name="NvsTree.GASB_34_35_FUND" localSheetId="5">"YNNYN"</definedName>
    <definedName name="NvsTreeASD" localSheetId="8">"V2006-06-30"</definedName>
    <definedName name="NvsTreeASD" localSheetId="11">"V2006-06-30"</definedName>
    <definedName name="NvsTreeASD" localSheetId="15">"V2006-06-30"</definedName>
    <definedName name="NvsTreeASD" localSheetId="13">"V2006-06-30"</definedName>
    <definedName name="NvsTreeASD" localSheetId="10">"V2006-06-30"</definedName>
    <definedName name="NvsTreeASD" localSheetId="3">"V2006-06-30"</definedName>
    <definedName name="NvsTreeASD" localSheetId="7">"V2006-06-30"</definedName>
    <definedName name="NvsTreeASD" localSheetId="6">"V2006-06-30"</definedName>
    <definedName name="NvsTreeASD" localSheetId="12">"V2006-06-30"</definedName>
    <definedName name="NvsTreeASD" localSheetId="4">"V2006-06-30"</definedName>
    <definedName name="NvsTreeASD" localSheetId="9">"V2006-06-30"</definedName>
    <definedName name="NvsTreeASD" localSheetId="5">"V2006-06-30"</definedName>
    <definedName name="NvsTreeASD">"V2004-06-30"</definedName>
    <definedName name="NvsValTbl.ACCOUNT">"GL_ACCOUNT_TBL"</definedName>
    <definedName name="NvsValTbl.BUDGET_PERIOD">"BUDGET_PERIOD"</definedName>
    <definedName name="NvsValTbl.BUSINESS_UNIT">"BUS_UNIT_TBL_GL"</definedName>
    <definedName name="NvsValTbl.DEPTID">"DEPT_TBL"</definedName>
    <definedName name="NvsValTbl.FUND_CODE">"FUND_TBL"</definedName>
    <definedName name="NvsValTbl.PROGRAM_CODE">"PROGRAM_TBL"</definedName>
    <definedName name="NvsValTbl.PROJECT_ID">"PROJECT_HEADER"</definedName>
    <definedName name="NvsValTbl.SCENARIO">"BD_SCENARIO_TBL"</definedName>
    <definedName name="_xlnm.Print_Area" localSheetId="8">'Aux &amp; SO_K'!$B$2:$I$37</definedName>
    <definedName name="_xlnm.Print_Area" localSheetId="14">'Bonds &amp; Notes_K'!$A$1:$H$35</definedName>
    <definedName name="_xlnm.Print_Area" localSheetId="2">'Cash Flows_K'!$A$1:$E$73</definedName>
    <definedName name="_xlnm.Print_Area" localSheetId="11">'Endow_K'!$A:$M</definedName>
    <definedName name="_xlnm.Print_Area" localSheetId="15">'Funds Held_K'!$C:$I</definedName>
    <definedName name="_xlnm.Print_Area" localSheetId="10">'Loan_K'!$A$2:$L$114</definedName>
    <definedName name="_xlnm.Print_Area" localSheetId="3">'NA by Fund_K'!$A$1:$Y$147</definedName>
    <definedName name="_xlnm.Print_Area" localSheetId="0">'Net Assets_K'!$A$1:$E$66</definedName>
    <definedName name="_xlnm.Print_Area" localSheetId="7">'Oper Exp_K'!$B$1:$H$55</definedName>
    <definedName name="_xlnm.Print_Area" localSheetId="6">'Oper Rev_K'!$B$2:$I$71</definedName>
    <definedName name="_xlnm.Print_Area" localSheetId="12">'R&amp;U Plant_K'!$A$2:$M$57</definedName>
    <definedName name="_xlnm.Print_Area" localSheetId="4">'RECNA by Fund_K'!$A:$Z</definedName>
    <definedName name="_xlnm.Print_Area" localSheetId="9">'RECNA-Sel Aux_K'!$B$1:$G$228</definedName>
    <definedName name="_xlnm.Print_Titles" localSheetId="8">'Aux &amp; SO_K'!$2:$9</definedName>
    <definedName name="_xlnm.Print_Titles" localSheetId="11">'Endow_K'!$2:$8</definedName>
    <definedName name="_xlnm.Print_Titles" localSheetId="15">'Funds Held_K'!$2:$6</definedName>
    <definedName name="_xlnm.Print_Titles" localSheetId="13">'Invest in Plant_K'!$2:$8</definedName>
    <definedName name="_xlnm.Print_Titles" localSheetId="10">'Loan_K'!$2:$7</definedName>
    <definedName name="_xlnm.Print_Titles" localSheetId="3">'NA by Fund_K'!$2:$10</definedName>
    <definedName name="_xlnm.Print_Titles" localSheetId="6">'Oper Rev_K'!$2:$8</definedName>
    <definedName name="_xlnm.Print_Titles" localSheetId="12">'R&amp;U Plant_K'!$2:$7</definedName>
    <definedName name="_xlnm.Print_Titles" localSheetId="4">'RECNA by Fund_K'!$2:$9</definedName>
    <definedName name="_xlnm.Print_Titles" localSheetId="5">'RECNA-Unrest_K'!$2:$8</definedName>
    <definedName name="RBN" localSheetId="8">'Aux &amp; SO_K'!$K$2</definedName>
    <definedName name="RBN" localSheetId="11">'Endow_K'!$O$2</definedName>
    <definedName name="RBN" localSheetId="15">'Funds Held_K'!$K$2</definedName>
    <definedName name="RBN" localSheetId="13">'Invest in Plant_K'!$M$4</definedName>
    <definedName name="RBN" localSheetId="10">'Loan_K'!$N$2</definedName>
    <definedName name="RBN" localSheetId="3">'NA by Fund_K'!$AC$4</definedName>
    <definedName name="RBN" localSheetId="7">'Oper Exp_K'!$R$2</definedName>
    <definedName name="RBN" localSheetId="6">'Oper Rev_K'!$L$2</definedName>
    <definedName name="RBN" localSheetId="12">'R&amp;U Plant_K'!$P$2</definedName>
    <definedName name="RBN" localSheetId="4">'RECNA by Fund_K'!$AE$2</definedName>
    <definedName name="RBN" localSheetId="5">'RECNA-Unrest_K'!$S$3</definedName>
    <definedName name="RBN">#REF!</definedName>
    <definedName name="RBU" localSheetId="8">'Aux &amp; SO_K'!$N$2</definedName>
    <definedName name="RBU" localSheetId="11">'Endow_K'!$R$2</definedName>
    <definedName name="RBU" localSheetId="10">'Loan_K'!$O$2</definedName>
    <definedName name="RBU" localSheetId="7">'Oper Exp_K'!$M$2</definedName>
    <definedName name="RBU" localSheetId="12">'R&amp;U Plant_K'!$P$2</definedName>
    <definedName name="RBU">#REF!</definedName>
    <definedName name="RID" localSheetId="11">'Endow_K'!$R$3</definedName>
    <definedName name="RID" localSheetId="10">'Loan_K'!$O$3</definedName>
    <definedName name="RID" localSheetId="7">'Oper Exp_K'!$M$3</definedName>
    <definedName name="RID" localSheetId="12">'R&amp;U Plant_K'!$P$3</definedName>
    <definedName name="RID">#REF!</definedName>
  </definedNames>
  <calcPr fullCalcOnLoad="1"/>
</workbook>
</file>

<file path=xl/sharedStrings.xml><?xml version="1.0" encoding="utf-8"?>
<sst xmlns="http://schemas.openxmlformats.org/spreadsheetml/2006/main" count="5832" uniqueCount="3960">
  <si>
    <t>796500</t>
  </si>
  <si>
    <t>%,V797000</t>
  </si>
  <si>
    <t>Bldg repair - capital</t>
  </si>
  <si>
    <t>797000</t>
  </si>
  <si>
    <t>%,V798000</t>
  </si>
  <si>
    <t>Utility dist-capital</t>
  </si>
  <si>
    <t>798000</t>
  </si>
  <si>
    <t>%,V799600</t>
  </si>
  <si>
    <t>Artwork &amp; Museum Objects &gt;5000</t>
  </si>
  <si>
    <t>799600</t>
  </si>
  <si>
    <t>%,FACCOUNT,TGASB_34_35,X,NCAPITAL ASSETS,NCAPITAL OFFSET</t>
  </si>
  <si>
    <t>Capital Expense</t>
  </si>
  <si>
    <t>%,FACCOUNT,TGASB_34_35,X,NDEPR</t>
  </si>
  <si>
    <t xml:space="preserve">Depreciation </t>
  </si>
  <si>
    <t xml:space="preserve">       Total Operating Expenses</t>
  </si>
  <si>
    <t>%,R,FACCOUNT,TGASB_34_35,NSTATE APPROPS</t>
  </si>
  <si>
    <t>Nonoperating Revenues (Expenses) and Transfers:</t>
  </si>
  <si>
    <t>%,R,FACCOUNT,TGASB_34_35,X,NFEDERAL APPROPS</t>
  </si>
  <si>
    <t>Federal Appropriations</t>
  </si>
  <si>
    <t>%,V470300</t>
  </si>
  <si>
    <t>Endowment income -annual distr</t>
  </si>
  <si>
    <t>470300</t>
  </si>
  <si>
    <t>%,V475000</t>
  </si>
  <si>
    <t>Investment income</t>
  </si>
  <si>
    <t>475000</t>
  </si>
  <si>
    <t>%,R,FACCOUNT,TGASB_34_35,X,NINVEST &amp; ENDOW INC</t>
  </si>
  <si>
    <t>Investment and Endowment Income</t>
  </si>
  <si>
    <t>%,R,FACCOUNT,TGASB_34_35,NGIFTS</t>
  </si>
  <si>
    <t>%,R,FACCOUNT,TGASB_34_35,X,NINTEREST CAP DEBT</t>
  </si>
  <si>
    <t>%,R,FACCOUNT,TGASB_34_35,X,NRETIREMENT BENEFITS</t>
  </si>
  <si>
    <t>Retirement Benefits, Net of University Contribution</t>
  </si>
  <si>
    <t>%,R,FACCOUNT,TGASB_34_35,X,NPAYMENTS TO BENE</t>
  </si>
  <si>
    <t>Payments to Beneficiaries</t>
  </si>
  <si>
    <t>Capital Gifts</t>
  </si>
  <si>
    <t>Capital Grants</t>
  </si>
  <si>
    <t xml:space="preserve">    Net Other Nonoperating Revenues (Expenses) </t>
  </si>
  <si>
    <t xml:space="preserve">        before Transfers</t>
  </si>
  <si>
    <t>%,V861100</t>
  </si>
  <si>
    <t>Mand Trf Out - Debt Retirement</t>
  </si>
  <si>
    <t>861100</t>
  </si>
  <si>
    <t>%,V861300</t>
  </si>
  <si>
    <t>Mand Trf Out - Other</t>
  </si>
  <si>
    <t>861300</t>
  </si>
  <si>
    <t>%,R,FACCOUNT,TGASB_34_35,X,NMANDATORY TRFS</t>
  </si>
  <si>
    <t>%,V391000</t>
  </si>
  <si>
    <t>Non Mandatory Trfs In</t>
  </si>
  <si>
    <t>391000</t>
  </si>
  <si>
    <t>%,V391300</t>
  </si>
  <si>
    <t>NonMan Trf In Other</t>
  </si>
  <si>
    <t>391300</t>
  </si>
  <si>
    <t>%,V862001</t>
  </si>
  <si>
    <t>Non Mandatory Trf Out</t>
  </si>
  <si>
    <t>862001</t>
  </si>
  <si>
    <t>%,V862100</t>
  </si>
  <si>
    <t>Non-Mand Out-R&amp;R(non-cap pool)</t>
  </si>
  <si>
    <t>862100</t>
  </si>
  <si>
    <t>%,V862200</t>
  </si>
  <si>
    <t>Non-Mand Out-R&amp;R(capital pool)</t>
  </si>
  <si>
    <t>862200</t>
  </si>
  <si>
    <t>%,V862300</t>
  </si>
  <si>
    <t>Non-Mand Trf Out - Other</t>
  </si>
  <si>
    <t>862300</t>
  </si>
  <si>
    <t>%,R,FACCOUNT,TGASB_34_35,X,NNON MANDATORY TRFS</t>
  </si>
  <si>
    <t>%,V392000</t>
  </si>
  <si>
    <t>Revenue Allocations/Transfers</t>
  </si>
  <si>
    <t>392000</t>
  </si>
  <si>
    <t>%,V392100</t>
  </si>
  <si>
    <t>Intra Divisional Rev Transfers</t>
  </si>
  <si>
    <t>392100</t>
  </si>
  <si>
    <t>%,V393000</t>
  </si>
  <si>
    <t>Other Allocations/Transfers In</t>
  </si>
  <si>
    <t>393000</t>
  </si>
  <si>
    <t>%,V393100</t>
  </si>
  <si>
    <t>Intra Campus Revenue Transfers</t>
  </si>
  <si>
    <t>393100</t>
  </si>
  <si>
    <t>%,V393700</t>
  </si>
  <si>
    <t>Trans In Fixed Price Contract</t>
  </si>
  <si>
    <t>393700</t>
  </si>
  <si>
    <t>%,V863001</t>
  </si>
  <si>
    <t>Other Allocations/Transfer Out</t>
  </si>
  <si>
    <t>863001</t>
  </si>
  <si>
    <t>%,V865000</t>
  </si>
  <si>
    <t>Work Study/SEOG</t>
  </si>
  <si>
    <t>865000</t>
  </si>
  <si>
    <t>%,R,FACCOUNT,TGASB_34_35,X,NINTER CAMPUS TRFS,NINTRA FUND TRFS</t>
  </si>
  <si>
    <t>%,R,FACCOUNT,TGASB_34_35,X,NGEN REVENUE ALLOC</t>
  </si>
  <si>
    <t>General Revenue Allocations</t>
  </si>
  <si>
    <t xml:space="preserve">             Net Nonoperating Revenues (Expenses) </t>
  </si>
  <si>
    <t xml:space="preserve">                     and Transfers</t>
  </si>
  <si>
    <t xml:space="preserve">             Increase (Decrease) in Net Assets</t>
  </si>
  <si>
    <t>%,V300000</t>
  </si>
  <si>
    <t>Net Assets (Fund Equity)</t>
  </si>
  <si>
    <t>300000</t>
  </si>
  <si>
    <t>%,LACTUALS,SBAL,R,FACCOUNT,TGASB_34_35,X,NNET ASSETS</t>
  </si>
  <si>
    <t>%,FACCOUNT,TGASB_34_35,X,NCHANGE IN ACCTG PRIN</t>
  </si>
  <si>
    <t>Accumulative Effect of Change in Accounting Principle</t>
  </si>
  <si>
    <t>%,FACCOUNT,TGASB_34_35,X,NDISP OF PLANT ASSETS</t>
  </si>
  <si>
    <t>Equipment Writeoff</t>
  </si>
  <si>
    <t>Net Assets, Beginning of Year, Adjusted</t>
  </si>
  <si>
    <t>%,QKRDJ_UGL_GASB_35_FIN_STMTS,CA.POSTED_TOTAL_AMT,SYTD</t>
  </si>
  <si>
    <t>%,ATF,FACCOUNT,UACCOUNT</t>
  </si>
  <si>
    <t>%,FFUND_CODE,TGASB_34_35_FUND,NCLEARING_ACCTS_UNR</t>
  </si>
  <si>
    <t>%,FFUND_CODE,TGASB_34_35_FUND,NCUR_FUNDS_UNR</t>
  </si>
  <si>
    <t>%,FFUND_CODE,TGASB_34_35_FUND,NCUR_FUNDS_RESTEXP</t>
  </si>
  <si>
    <t>%,FFUND_CODE,TGASB_34_35_FUND,NLOAN_FUNDS_UNR</t>
  </si>
  <si>
    <t>%,FFUND_CODE,TGASB_34_35_FUND,NLOAN_FUNDS_NONEXP</t>
  </si>
  <si>
    <t>%,FFUND_CODE,TGASB_34_35_FUND,NLOAN_FUNDS_RESTEXP</t>
  </si>
  <si>
    <t>%,FFUND_CODE,TGASB_34_35_FUND,NENDOW_FUNDS_UNR</t>
  </si>
  <si>
    <t>%,FFUND_CODE,TGASB_34_35_FUND,NENDOW_FUNDS_NONEXP</t>
  </si>
  <si>
    <t>%,FFUND_CODE,TGASB_34_35_FUND,NENDOW_FUNDS_RESTEXP</t>
  </si>
  <si>
    <t>%,FFUND_CODE,TGASB_34_35_FUND,NPLANT_FUNDS_UNR</t>
  </si>
  <si>
    <t>%,FFUND_CODE,TGASB_34_35_FUND,NUNEXP_RANDR_RESTEXP</t>
  </si>
  <si>
    <t>%,FFUND_CODE,TGASB_34_35_FUND,NDEBT_RETIRMT_RESTEXP</t>
  </si>
  <si>
    <t>%,FFUND_CODE,TGASB_34_35_FUND,NPLANT_FUNDS_NONEXP</t>
  </si>
  <si>
    <t>%,FFUND_CODE,TGASB_34_35_FUND,NRETIRE_FUNDS_NONEXP</t>
  </si>
  <si>
    <t>%,FFUND_CODE,TGASB_34_35_FUND,NAGENCY_FUNDS_NONEXP</t>
  </si>
  <si>
    <t xml:space="preserve"> STATEMENT OF REVENUES, EXPENSES AND CHANGES IN NET ASSETS - BY FUND </t>
  </si>
  <si>
    <t>Restricted</t>
  </si>
  <si>
    <t>Restrict Expend</t>
  </si>
  <si>
    <t>Plant Funds</t>
  </si>
  <si>
    <t>Total Funds</t>
  </si>
  <si>
    <t>Endowment</t>
  </si>
  <si>
    <t>Restricted Expend</t>
  </si>
  <si>
    <t>Excluding</t>
  </si>
  <si>
    <t>Current Funds</t>
  </si>
  <si>
    <t>Loan</t>
  </si>
  <si>
    <t>&amp; Similar</t>
  </si>
  <si>
    <t>Unexpended and</t>
  </si>
  <si>
    <t>Debt</t>
  </si>
  <si>
    <t>Investment</t>
  </si>
  <si>
    <t xml:space="preserve">Plant </t>
  </si>
  <si>
    <t>Agency and</t>
  </si>
  <si>
    <t>Retirement</t>
  </si>
  <si>
    <t>Total</t>
  </si>
  <si>
    <t>Clearing</t>
  </si>
  <si>
    <t>Funds</t>
  </si>
  <si>
    <t>Repair &amp; Replace</t>
  </si>
  <si>
    <t>In Plant</t>
  </si>
  <si>
    <t xml:space="preserve">Agency </t>
  </si>
  <si>
    <t>Agency</t>
  </si>
  <si>
    <t>%,LACTUALS,SYTD,R,FACCOUNT,TGASB_34_35,NFEDERAL GRANTS</t>
  </si>
  <si>
    <t>%,LACTUALS,SYTD,R,FACCOUNT,TGASB_34_35,NOTHER GOVT GRANTS,NSTATE GRANTS</t>
  </si>
  <si>
    <t>%,LACTUALS,SYTD,R,FACCOUNT,TGASB_34_35,NPRIVATE GRANTS</t>
  </si>
  <si>
    <t>%,V431500</t>
  </si>
  <si>
    <t>Non Taxable-food sales</t>
  </si>
  <si>
    <t>431500</t>
  </si>
  <si>
    <t xml:space="preserve">   Patient Medical Services</t>
  </si>
  <si>
    <t xml:space="preserve">   Other Auxiliary Enterprises</t>
  </si>
  <si>
    <t>%,V440100</t>
  </si>
  <si>
    <t>Interest cxld-total cancell</t>
  </si>
  <si>
    <t>440100</t>
  </si>
  <si>
    <t>%,V440200</t>
  </si>
  <si>
    <t>Interest notes rec - collected</t>
  </si>
  <si>
    <t>440200</t>
  </si>
  <si>
    <t>%,V891000</t>
  </si>
  <si>
    <t>Loan fund deductions-misc</t>
  </si>
  <si>
    <t>891000</t>
  </si>
  <si>
    <t>%,V891200</t>
  </si>
  <si>
    <t>Prin cancellation-disability</t>
  </si>
  <si>
    <t>891200</t>
  </si>
  <si>
    <t>%,V891400</t>
  </si>
  <si>
    <t>Prin canc-univ loan bad debt</t>
  </si>
  <si>
    <t>891400</t>
  </si>
  <si>
    <t>%,V891500</t>
  </si>
  <si>
    <t>Prin cancellation-assigned</t>
  </si>
  <si>
    <t>891500</t>
  </si>
  <si>
    <t>%,V891600</t>
  </si>
  <si>
    <t>Prin cancellation-other</t>
  </si>
  <si>
    <t>891600</t>
  </si>
  <si>
    <t>%,V891900</t>
  </si>
  <si>
    <t>Prin cancel-teacher &gt;7/1/72</t>
  </si>
  <si>
    <t>891900</t>
  </si>
  <si>
    <t>%,V892000</t>
  </si>
  <si>
    <t>Prin cancellation-headstart</t>
  </si>
  <si>
    <t>892000</t>
  </si>
  <si>
    <t>%,V892100</t>
  </si>
  <si>
    <t>Prin cancel-law enforcement</t>
  </si>
  <si>
    <t>892100</t>
  </si>
  <si>
    <t>%,V892200</t>
  </si>
  <si>
    <t>Prin canc-teacher-certain sub</t>
  </si>
  <si>
    <t>892200</t>
  </si>
  <si>
    <t>%,V892300</t>
  </si>
  <si>
    <t>Prin cancel-nurse/med tech</t>
  </si>
  <si>
    <t>892300</t>
  </si>
  <si>
    <t>%,V893400</t>
  </si>
  <si>
    <t>Int cancellation-other</t>
  </si>
  <si>
    <t>893400</t>
  </si>
  <si>
    <t>%,V893500</t>
  </si>
  <si>
    <t>Int cancellation-90% compromis</t>
  </si>
  <si>
    <t>893500</t>
  </si>
  <si>
    <t>%,R,FACCOUNT,TGASB_34_35,XDYYNYN00,N"MISC REVENUES"</t>
  </si>
  <si>
    <t>%,V981000</t>
  </si>
  <si>
    <t>Indirect Costs-Grantor</t>
  </si>
  <si>
    <t>981000</t>
  </si>
  <si>
    <t>%,R,FACCOUNT,TGASB_34_35,XDYYNYN00,N"F &amp; A RECOVERY"</t>
  </si>
  <si>
    <t>Facilities &amp; Administrative Cost Recovery</t>
  </si>
  <si>
    <t>%,V708400</t>
  </si>
  <si>
    <t>S&amp;W - Incentive Pay</t>
  </si>
  <si>
    <t>708400</t>
  </si>
  <si>
    <t>%,V716000</t>
  </si>
  <si>
    <t>SB-In kind room &amp; board</t>
  </si>
  <si>
    <t>716000</t>
  </si>
  <si>
    <t>%,V601300</t>
  </si>
  <si>
    <t>COGS Food</t>
  </si>
  <si>
    <t>601300</t>
  </si>
  <si>
    <t>%,V601500</t>
  </si>
  <si>
    <t>COGS General books</t>
  </si>
  <si>
    <t>601500</t>
  </si>
  <si>
    <t>%,V601600</t>
  </si>
  <si>
    <t>COGS Gifts</t>
  </si>
  <si>
    <t>601600</t>
  </si>
  <si>
    <t>%,V602000</t>
  </si>
  <si>
    <t>COGS Health and beauty</t>
  </si>
  <si>
    <t>602000</t>
  </si>
  <si>
    <t>%,V602600</t>
  </si>
  <si>
    <t>COGS Medical instruments</t>
  </si>
  <si>
    <t>602600</t>
  </si>
  <si>
    <t>%,V602700</t>
  </si>
  <si>
    <t>COGS Medical reference</t>
  </si>
  <si>
    <t>602700</t>
  </si>
  <si>
    <t>%,V602800</t>
  </si>
  <si>
    <t>COGS New Text purchases</t>
  </si>
  <si>
    <t>602800</t>
  </si>
  <si>
    <t>%,V603500</t>
  </si>
  <si>
    <t>COGS Shrinkage</t>
  </si>
  <si>
    <t>603500</t>
  </si>
  <si>
    <t>%,V603700</t>
  </si>
  <si>
    <t>COGS Software</t>
  </si>
  <si>
    <t>603700</t>
  </si>
  <si>
    <t>%,V603900</t>
  </si>
  <si>
    <t>COGS Textbooks</t>
  </si>
  <si>
    <t>603900</t>
  </si>
  <si>
    <t>%,V604000</t>
  </si>
  <si>
    <t>COGS Used Text purchases</t>
  </si>
  <si>
    <t>604000</t>
  </si>
  <si>
    <t>%,V604120</t>
  </si>
  <si>
    <t>COGS Hardware</t>
  </si>
  <si>
    <t>604120</t>
  </si>
  <si>
    <t>%,V720001</t>
  </si>
  <si>
    <t>Department operating expense</t>
  </si>
  <si>
    <t>720001</t>
  </si>
  <si>
    <t>%,V721440</t>
  </si>
  <si>
    <t>Big 12/NCAA Travel</t>
  </si>
  <si>
    <t>721440</t>
  </si>
  <si>
    <t>%,V733100</t>
  </si>
  <si>
    <t>Hospital supplies-medical item</t>
  </si>
  <si>
    <t>733100</t>
  </si>
  <si>
    <t>%,V733840</t>
  </si>
  <si>
    <t>Pathology Charge Items</t>
  </si>
  <si>
    <t>733840</t>
  </si>
  <si>
    <t>%,V733860</t>
  </si>
  <si>
    <t>Pharmacy Charge Items</t>
  </si>
  <si>
    <t>733860</t>
  </si>
  <si>
    <t>%,V733870</t>
  </si>
  <si>
    <t>Drugs</t>
  </si>
  <si>
    <t>733870</t>
  </si>
  <si>
    <t>%,V734000</t>
  </si>
  <si>
    <t>Photography dark room supplies</t>
  </si>
  <si>
    <t>734000</t>
  </si>
  <si>
    <t>%,V741400</t>
  </si>
  <si>
    <t>Fertilizer &amp; chemicals</t>
  </si>
  <si>
    <t>741400</t>
  </si>
  <si>
    <t>%,V742200</t>
  </si>
  <si>
    <t>Commissions</t>
  </si>
  <si>
    <t>742200</t>
  </si>
  <si>
    <t>%,V742500</t>
  </si>
  <si>
    <t>Guarantees/options</t>
  </si>
  <si>
    <t>742500</t>
  </si>
  <si>
    <t>%,V742700</t>
  </si>
  <si>
    <t>Overage/shortage - Expenditure</t>
  </si>
  <si>
    <t>742700</t>
  </si>
  <si>
    <t>%,V743100</t>
  </si>
  <si>
    <t>Field day</t>
  </si>
  <si>
    <t>743100</t>
  </si>
  <si>
    <t>%,V743600</t>
  </si>
  <si>
    <t>Bank service charges</t>
  </si>
  <si>
    <t>743600</t>
  </si>
  <si>
    <t>%,V750700</t>
  </si>
  <si>
    <t>Energy administration</t>
  </si>
  <si>
    <t>750700</t>
  </si>
  <si>
    <t>%,V753002</t>
  </si>
  <si>
    <t>Hospital professional services</t>
  </si>
  <si>
    <t>753002</t>
  </si>
  <si>
    <t>%,V753050</t>
  </si>
  <si>
    <t>Hosp-purchased patient service</t>
  </si>
  <si>
    <t>753050</t>
  </si>
  <si>
    <t>%,V765001</t>
  </si>
  <si>
    <t>Subcontracts &lt;$25,000</t>
  </si>
  <si>
    <t>765001</t>
  </si>
  <si>
    <t>%,V766001</t>
  </si>
  <si>
    <t>Subcontracts &gt;$25,000</t>
  </si>
  <si>
    <t>766001</t>
  </si>
  <si>
    <t>%,V800000</t>
  </si>
  <si>
    <t>Utilities</t>
  </si>
  <si>
    <t>800000</t>
  </si>
  <si>
    <t>%,V800400</t>
  </si>
  <si>
    <t>Univ steam</t>
  </si>
  <si>
    <t>800400</t>
  </si>
  <si>
    <t>%,V800500</t>
  </si>
  <si>
    <t>Univ chilled water</t>
  </si>
  <si>
    <t>800500</t>
  </si>
  <si>
    <t>%,V810001</t>
  </si>
  <si>
    <t>Utilities-outside vendor</t>
  </si>
  <si>
    <t>810001</t>
  </si>
  <si>
    <t>%,V810800</t>
  </si>
  <si>
    <t>Vendor - Cable TV Services</t>
  </si>
  <si>
    <t>810800</t>
  </si>
  <si>
    <t>%,V822200</t>
  </si>
  <si>
    <t>Loss/Gain on assets - AM</t>
  </si>
  <si>
    <t>822200</t>
  </si>
  <si>
    <t>%,V834100</t>
  </si>
  <si>
    <t>Tax Shelter Annuities</t>
  </si>
  <si>
    <t>834100</t>
  </si>
  <si>
    <t>%,V893700</t>
  </si>
  <si>
    <t>Collection expense</t>
  </si>
  <si>
    <t>893700</t>
  </si>
  <si>
    <t>%,V894000</t>
  </si>
  <si>
    <t>Other expense</t>
  </si>
  <si>
    <t>894000</t>
  </si>
  <si>
    <t>%,V895000</t>
  </si>
  <si>
    <t>Custodian fees/bank fees</t>
  </si>
  <si>
    <t>895000</t>
  </si>
  <si>
    <t>%,V914000</t>
  </si>
  <si>
    <t>Investment in plant-rec debt</t>
  </si>
  <si>
    <t>914000</t>
  </si>
  <si>
    <t>%,FACCOUNT,TGASB_34_35,X,NAUX &amp; EDUC ACTIV,NINVESTMENT IN PLANT,NOTHER DEPT OPERATING,NPROFESSIONAL &amp; CONSU,NSUPPLY_NONCAP ASSET,NUTILITIES,NSELF INSURANCE BENE</t>
  </si>
  <si>
    <t>%,V501000</t>
  </si>
  <si>
    <t>Equipment assets offset</t>
  </si>
  <si>
    <t>501000</t>
  </si>
  <si>
    <t>%,V501500</t>
  </si>
  <si>
    <t>Equipment in Process Offset</t>
  </si>
  <si>
    <t>501500</t>
  </si>
  <si>
    <t>%,V502000</t>
  </si>
  <si>
    <t>Building, Infra, CIP offset</t>
  </si>
  <si>
    <t xml:space="preserve">                 Increase (Decrease) in Net Assets</t>
  </si>
  <si>
    <t>Due to Other Funds</t>
  </si>
  <si>
    <t xml:space="preserve">        Total Current Liabilities</t>
  </si>
  <si>
    <t>%,R,FACCOUNT,TGASB_34_35,X,NDEFERRED REVENUE</t>
  </si>
  <si>
    <t>%,R,FACCOUNT,TGASB_34_35,X,NCAPITAL LEASE OBLIG</t>
  </si>
  <si>
    <t>Capital Lease Obligations</t>
  </si>
  <si>
    <t>%,V162000</t>
  </si>
  <si>
    <t>(Premium)/Discount Bd Payable</t>
  </si>
  <si>
    <t>162000</t>
  </si>
  <si>
    <t>%,V163000</t>
  </si>
  <si>
    <t>Deferred Loss Bond Refin</t>
  </si>
  <si>
    <t>163000</t>
  </si>
  <si>
    <t>%,V252000</t>
  </si>
  <si>
    <t>Bonds pay</t>
  </si>
  <si>
    <t>252000</t>
  </si>
  <si>
    <t>%,R,FACCOUNT,TGASB_34_35,X,NBONDS_NOTES PAYABLE</t>
  </si>
  <si>
    <t xml:space="preserve">        Total Noncurrent Liabilities</t>
  </si>
  <si>
    <t xml:space="preserve">            Total Liabilities</t>
  </si>
  <si>
    <t xml:space="preserve">    Invested in Capital Assets, Net of Related Debt</t>
  </si>
  <si>
    <t xml:space="preserve">    Reserved for Employees' Pension Plan</t>
  </si>
  <si>
    <t xml:space="preserve">    Restricted:</t>
  </si>
  <si>
    <t xml:space="preserve">    Nonexpendable</t>
  </si>
  <si>
    <t xml:space="preserve">    Expendable</t>
  </si>
  <si>
    <t xml:space="preserve">    Unrestricted</t>
  </si>
  <si>
    <t xml:space="preserve">            Total Net Assets</t>
  </si>
  <si>
    <t xml:space="preserve">                Total Liabilities and Net Assets</t>
  </si>
  <si>
    <t>%,QUGL_GASB_35_FIN_STMTS</t>
  </si>
  <si>
    <t>CURRENT FUNDS OPERATING REVENUES</t>
  </si>
  <si>
    <t>Projects 00000</t>
  </si>
  <si>
    <t>Projects GRANT</t>
  </si>
  <si>
    <t>Student Fees -</t>
  </si>
  <si>
    <t>%,LACTUALS,SYTD,R,FACCOUNT,TGASB_34_35,NEDUCATIONAL FEES</t>
  </si>
  <si>
    <t xml:space="preserve">    Educational Fees</t>
  </si>
  <si>
    <t>%,LACTUALS,SYTD,R,FACCOUNT,TGASB_34_35,NEXT CREDIT COURSES</t>
  </si>
  <si>
    <t xml:space="preserve">    Extension Credit Courses</t>
  </si>
  <si>
    <t>%,LACTUALS,SYTD,R,FACCOUNT,TGASB_34_35,NEXT NONCREDIT COURSE</t>
  </si>
  <si>
    <t xml:space="preserve">    Extension Non Credit Courses</t>
  </si>
  <si>
    <t>%,LACTUALS,SYTD,R,FACCOUNT,TGASB_34_35,NSUPPLEMENTAL FEES</t>
  </si>
  <si>
    <t xml:space="preserve">    Supplemental Fees</t>
  </si>
  <si>
    <t>%,LACTUALS,SYTD,R,FACCOUNT,TGASB_34_35,NINSTRUCT COMPUTING</t>
  </si>
  <si>
    <t xml:space="preserve">    Instructional Computing Fees</t>
  </si>
  <si>
    <t>%,LACTUALS,SYTD,R,FACCOUNT,TGASB_34_35,NOTHER STUDENT FEES</t>
  </si>
  <si>
    <t xml:space="preserve">    Other Student Fees</t>
  </si>
  <si>
    <t>%,LACTUALS,SYTD,FACCOUNT,TGASB_34_35,X,NSTUDENT AID</t>
  </si>
  <si>
    <t xml:space="preserve">        Net Student Fees</t>
  </si>
  <si>
    <t>Federal Grants and Contracts -</t>
  </si>
  <si>
    <t xml:space="preserve">    Department of:</t>
  </si>
  <si>
    <t xml:space="preserve">        Agriculture</t>
  </si>
  <si>
    <t xml:space="preserve">        Commerce</t>
  </si>
  <si>
    <t xml:space="preserve">        Defense</t>
  </si>
  <si>
    <t xml:space="preserve">        Education</t>
  </si>
  <si>
    <t xml:space="preserve">        Energy</t>
  </si>
  <si>
    <t xml:space="preserve">        Health and Human Services - Public Health Service</t>
  </si>
  <si>
    <t xml:space="preserve">        Interior</t>
  </si>
  <si>
    <t xml:space="preserve">        Labor</t>
  </si>
  <si>
    <t xml:space="preserve">        Environmental Protection Agency</t>
  </si>
  <si>
    <t xml:space="preserve">        Transportation</t>
  </si>
  <si>
    <t xml:space="preserve">   Agency for International Development</t>
  </si>
  <si>
    <t xml:space="preserve">   National Aeronautics and Space Administration</t>
  </si>
  <si>
    <t xml:space="preserve">   National Endowment for the Arts/Humanities</t>
  </si>
  <si>
    <t xml:space="preserve">   National Science Foundation</t>
  </si>
  <si>
    <t xml:space="preserve">   Other Federal Agencies</t>
  </si>
  <si>
    <t xml:space="preserve">   Small Business Administration</t>
  </si>
  <si>
    <t xml:space="preserve">        Total Federal Grants and Contracts</t>
  </si>
  <si>
    <t>%,V491000</t>
  </si>
  <si>
    <t>Grants - state</t>
  </si>
  <si>
    <t>%,LACTUALS,SYTD,R,FACCOUNT,TGASB_34_35,X,NOTHER GOVT GRANTS,NSTATE GRANTS</t>
  </si>
  <si>
    <t>%,V493200</t>
  </si>
  <si>
    <t>Grants-businesses-cash</t>
  </si>
  <si>
    <t>%,LACTUALS,SYTD,R,FACCOUNT,TGASB_34_35,X,NPRIVATE GRANTS</t>
  </si>
  <si>
    <t>%,LACTUALS,SYTD,R,FACCOUNT,TGASB_34_35,X,NSALES OF AUX/EDUC</t>
  </si>
  <si>
    <t>Auxiliary Enterprises -</t>
  </si>
  <si>
    <t xml:space="preserve">    Patient Care Facilities</t>
  </si>
  <si>
    <t xml:space="preserve">    Other Auxiliary Enterprises</t>
  </si>
  <si>
    <t>%,R,FACCOUNT,TGASB_34_35,NPATIENT MED SERV</t>
  </si>
  <si>
    <t>Patient Medical Services</t>
  </si>
  <si>
    <t>%,LACTUALS,SYTD,R,FACCOUNT,TGASB_34_35,X,NINTEREST NOTES REC,NLOAN FUND DEDUCT</t>
  </si>
  <si>
    <t>Other Operating Revenues -</t>
  </si>
  <si>
    <t>%,FACCOUNT,V499100</t>
  </si>
  <si>
    <t xml:space="preserve">    F&amp;A Recover</t>
  </si>
  <si>
    <t xml:space="preserve">    Other</t>
  </si>
  <si>
    <t xml:space="preserve">            Total Operating Revenues</t>
  </si>
  <si>
    <t>Hidden Row Below</t>
  </si>
  <si>
    <t>%,LACTUALS,SYTD,R,FACCOUNT,TGASB_34_35,NOTHER OPERATING REV</t>
  </si>
  <si>
    <t>Other Operating Revenue - Other</t>
  </si>
  <si>
    <t>%,LACTUALS,SYTD</t>
  </si>
  <si>
    <t>%,FACCOUNT,TGASB_34_35,NSALARIES</t>
  </si>
  <si>
    <t>%,FACCOUNT,TGASB_34_35,NSTAFF BENEFITS</t>
  </si>
  <si>
    <t>%,FACCOUNT,TGASB_34_35,N"AUX &amp; EDUC ACTIV",N"CAPITAL ASSETS",N"CAPITAL OFFSET",N"INVESTMENT IN PLANT",N"OTHER DEPT OPERATING",N"PROFESSIONAL &amp; CONSU",N"SELF INSURANCE BENE",N"SUPPLY_NONCAP ASSET",NUTILITIES</t>
  </si>
  <si>
    <t>KCITY</t>
  </si>
  <si>
    <t>Run Date:</t>
  </si>
  <si>
    <t>OPERATING EXPENSES BY OBJECT MATRIX</t>
  </si>
  <si>
    <t>PGASB09K</t>
  </si>
  <si>
    <t>Salary &amp; Wage</t>
  </si>
  <si>
    <t>Educational &amp; General  (A)</t>
  </si>
  <si>
    <t/>
  </si>
  <si>
    <t xml:space="preserve">    Instruction</t>
  </si>
  <si>
    <t xml:space="preserve">    Research</t>
  </si>
  <si>
    <t xml:space="preserve">    Public Service</t>
  </si>
  <si>
    <t xml:space="preserve">    Academic Support</t>
  </si>
  <si>
    <t xml:space="preserve">    Student Services  (B)</t>
  </si>
  <si>
    <t xml:space="preserve">    Institutional Support  ( C)</t>
  </si>
  <si>
    <t xml:space="preserve">    Operation &amp; Maintenance of Plant</t>
  </si>
  <si>
    <t xml:space="preserve">   </t>
  </si>
  <si>
    <t xml:space="preserve">    Scholarships &amp; Fellowships   (D)</t>
  </si>
  <si>
    <t xml:space="preserve">        Total Educational &amp; General</t>
  </si>
  <si>
    <t xml:space="preserve">    Auxiliary Enterprises  (E)</t>
  </si>
  <si>
    <t xml:space="preserve">        Total Current Funds Operating Expenses</t>
  </si>
  <si>
    <t>Loan Funds  (F)</t>
  </si>
  <si>
    <t xml:space="preserve">Endowment Funds  (F)  </t>
  </si>
  <si>
    <t>Plant Funds  (G)</t>
  </si>
  <si>
    <t xml:space="preserve">              Total Operating Expenses - All Funds</t>
  </si>
  <si>
    <t>(A)  Educational and General Expenditures includes all expenditures for the General Operating Fund (0000), the Clearing Fund (0090), Continuing Education (0445, 0450) and the Restricted Current Funds (I.e. Grant and State</t>
  </si>
  <si>
    <t xml:space="preserve">        Appropriation Funds).</t>
  </si>
  <si>
    <t>(B)  Student Services includes all Deptid activity for attributes 5x and 8x.  Therefore, operating expenses related to the University's Financial Aid functions are included in Student Services.</t>
  </si>
  <si>
    <t>(C )  Institutional Support includes all Depid activity for attributes 6x, AGEN, MTRF, NTRF, RET and UNDF.</t>
  </si>
  <si>
    <t>(D)  Scholarships and Fellowships includes expenditures in account range 764000 - 764999, based on criteria established by GASB.  The remaining Financial Aid Expense is recorded net of the related Tuition and Fees.</t>
  </si>
  <si>
    <t>(E)  Auxiliary Enterprises includes activity for attribute AUX, and for all funds in the auxilary range of 0100 - 0440, 0455 - 0699.</t>
  </si>
  <si>
    <t>(F)  Loan and Endowment Fund expenses are included in the category of Student Services on the audited financial statements.</t>
  </si>
  <si>
    <t>(G)  Plant Fund expenses are included in the category of Operation and Maintenance of Plant on the audited financial statements.</t>
  </si>
  <si>
    <t>%,SBAL,R,FACCOUNT,TGASB_34_35,NNET ASSETS</t>
  </si>
  <si>
    <t>%,R,FACCOUNT,TGASB_34_35,NREVENUES</t>
  </si>
  <si>
    <t>%,FACCOUNT,TGASB_34_35,NAUX &amp; EDUC ACTIV,NCAPITAL ASSETS,NCAPITAL OFFSET,NOTHER DEPT OPERATING,NPROFESSIONAL &amp; CONSU,NSALARIES,NSCHOLAR &amp; FELLOW,NSTAFF BENEFITS,NSUPPLY_NONCAP ASSET,NUTILITIES,NDEPR</t>
  </si>
  <si>
    <t>%,R,FACCOUNT,TGASB_34_35,NNON_OP REV_EXP,NTRANSFERS</t>
  </si>
  <si>
    <t>AUXILIARY AND SERVICE OPERATIONS</t>
  </si>
  <si>
    <t>PGASB10K</t>
  </si>
  <si>
    <t>2006</t>
  </si>
  <si>
    <t>Non-Operating</t>
  </si>
  <si>
    <t>Revenues,</t>
  </si>
  <si>
    <t>Expenditures &amp;</t>
  </si>
  <si>
    <t xml:space="preserve">Net Assets </t>
  </si>
  <si>
    <t>Revenues</t>
  </si>
  <si>
    <t>Expenses</t>
  </si>
  <si>
    <t>Transfers</t>
  </si>
  <si>
    <t>Auxiliaries:</t>
  </si>
  <si>
    <t>%,V0100</t>
  </si>
  <si>
    <t>Intercoll Athletics Auxiliary</t>
  </si>
  <si>
    <t>%,V0300</t>
  </si>
  <si>
    <t>Bookstore</t>
  </si>
  <si>
    <t>%,V0315</t>
  </si>
  <si>
    <t>Housing</t>
  </si>
  <si>
    <t>%,V0330</t>
  </si>
  <si>
    <t>Parking</t>
  </si>
  <si>
    <t>%,V0345</t>
  </si>
  <si>
    <t>Student Health Center</t>
  </si>
  <si>
    <t>%,V0350</t>
  </si>
  <si>
    <t>University Centers</t>
  </si>
  <si>
    <t>%,V0405</t>
  </si>
  <si>
    <t>Applied Language Institute</t>
  </si>
  <si>
    <t>%,V0420</t>
  </si>
  <si>
    <t>Center for Academic Developmen</t>
  </si>
  <si>
    <t>%,V0430</t>
  </si>
  <si>
    <t>Child Development</t>
  </si>
  <si>
    <t>%,V0455</t>
  </si>
  <si>
    <t>Dental Clinics</t>
  </si>
  <si>
    <t>%,V0490</t>
  </si>
  <si>
    <t>Institute for Human Developmen</t>
  </si>
  <si>
    <t>%,V0495</t>
  </si>
  <si>
    <t>Institute for Professional Pre</t>
  </si>
  <si>
    <t>%,V0555</t>
  </si>
  <si>
    <t>Rental Properties</t>
  </si>
  <si>
    <t>%,V0560</t>
  </si>
  <si>
    <t>Repertory Theatre</t>
  </si>
  <si>
    <t>%,V0615</t>
  </si>
  <si>
    <t>Miscellaneous Other Auxiliarie</t>
  </si>
  <si>
    <t>%,FFUND_CODE,TGASB_34_35_FUND,X,NAUXILIARIES_BKSTR,NAUXILIARIES_HOUS_DIN,NAUXILIARIES_UNR,NAUXILIARY_PAT_SERV</t>
  </si>
  <si>
    <t xml:space="preserve">      Total Auxiliaries</t>
  </si>
  <si>
    <t>Service Operations:</t>
  </si>
  <si>
    <t xml:space="preserve">      Total Service Operations</t>
  </si>
  <si>
    <t>The following lines should be hidden on the final report:</t>
  </si>
  <si>
    <t>Clearing Accounts</t>
  </si>
  <si>
    <t>%,FFUND_CODE,TGASB_34_35_FUND,NOPERATIONS_UNR</t>
  </si>
  <si>
    <t>Operations</t>
  </si>
  <si>
    <t>%,FFUND_CODE,TGASB_34_35_FUND,NSELF_INS_UNR</t>
  </si>
  <si>
    <t>Self Insurance</t>
  </si>
  <si>
    <t>Self-Insurance</t>
  </si>
  <si>
    <t xml:space="preserve">     Grand Totals</t>
  </si>
  <si>
    <t>%,FFUND_CODE,V0300</t>
  </si>
  <si>
    <t>%,FFUND_CODE,V0315</t>
  </si>
  <si>
    <t>%,FFUND_CODE,V0100</t>
  </si>
  <si>
    <t>%,FFUND_CODE,V0330</t>
  </si>
  <si>
    <t>STATEMENT OF REVENUES, EXPENSES AND CHANGES IN NET ASSETS - FOR SELECT AUXILIARY OPERATIONS</t>
  </si>
  <si>
    <t>Housing System</t>
  </si>
  <si>
    <t>Intercollegiate Athletics</t>
  </si>
  <si>
    <t>%,R,FACCOUNT,TGASB_34_35,X,NSTUDENT FEES,NSTUDENT AID</t>
  </si>
  <si>
    <t xml:space="preserve">    Student Fees</t>
  </si>
  <si>
    <t>%,V420200</t>
  </si>
  <si>
    <t>Taxable Primary-athletic sales</t>
  </si>
  <si>
    <t>420200</t>
  </si>
  <si>
    <t>%,V431600</t>
  </si>
  <si>
    <t>Non Taxable-hous room &amp; board</t>
  </si>
  <si>
    <t>431600</t>
  </si>
  <si>
    <t>%,V431900</t>
  </si>
  <si>
    <t>Non Tax-parking fees-fall</t>
  </si>
  <si>
    <t>431900</t>
  </si>
  <si>
    <t>%,V432520</t>
  </si>
  <si>
    <t>Over / Short - Revenues</t>
  </si>
  <si>
    <t>432520</t>
  </si>
  <si>
    <t xml:space="preserve">    Sales and Services of Auxiliary and Education Activities</t>
  </si>
  <si>
    <t>%,V495400</t>
  </si>
  <si>
    <t>Non tax misc rev-clearing</t>
  </si>
  <si>
    <t>495400</t>
  </si>
  <si>
    <t>%,V496100</t>
  </si>
  <si>
    <t>Non tax m r-obsolete</t>
  </si>
  <si>
    <t>496100</t>
  </si>
  <si>
    <t>%,R,FACCOUNT,TGASB_34_35,X,NOTHER OPERATING REV,NFEDERAL GRANTS,NINTEREST NOTES REC,NLOAN FUND DEDUCT,NOTHER GOVT GRANTS,NPATIENT MED SERV,NPRIVATE GRANTS,NSTATE GRANTS</t>
  </si>
  <si>
    <t xml:space="preserve">    Other Operating Revenues</t>
  </si>
  <si>
    <t xml:space="preserve">         Total Operating Revenues</t>
  </si>
  <si>
    <t xml:space="preserve">    Salaries and Wages</t>
  </si>
  <si>
    <t xml:space="preserve">    Staff Benefits</t>
  </si>
  <si>
    <t>%,FACCOUNT,TGASB_34_35,X,NCOGS</t>
  </si>
  <si>
    <t xml:space="preserve">    Cost of Goods Sold</t>
  </si>
  <si>
    <t>%,FACCOUNT,TGASB_34_35,X,NUTILITIES,NUTILITIES UNIV GENER</t>
  </si>
  <si>
    <t xml:space="preserve">    Utilities</t>
  </si>
  <si>
    <t>%,FACCOUNT,TGASB_34_35,X,NSUPPLY_NONCAP ASSET</t>
  </si>
  <si>
    <t xml:space="preserve">    Supplies and Non Capital Equipment</t>
  </si>
  <si>
    <t>%,FACCOUNT,TGASB_34_35,X,NPROFESSIONAL &amp; CONSU</t>
  </si>
  <si>
    <t xml:space="preserve">    Professional and Consulting Services</t>
  </si>
  <si>
    <t>%,FACCOUNT,TGASB_34_35,X,NOTHER DEPT OPERATING,NDISP OF PLANT ASSETS,NSCHOLAR &amp; FELLOW,NCAPITAL ASSETS,NCAPITAL OFFSET,NDEPR,NINVESTMENT IN PLANT,NSELF INSURANCE BENE</t>
  </si>
  <si>
    <t xml:space="preserve">    Other Departmental Operating Expense</t>
  </si>
  <si>
    <t>INFO PROD INC SCHOL</t>
  </si>
  <si>
    <t>%,VK0072</t>
  </si>
  <si>
    <t>DOUGLAS IRWIN MEM SH</t>
  </si>
  <si>
    <t>%,VK0073</t>
  </si>
  <si>
    <t>ENID &amp; CROSBY KEMPER</t>
  </si>
  <si>
    <t>%,VK0074</t>
  </si>
  <si>
    <t>MARY KNUTSON SCHP</t>
  </si>
  <si>
    <t>%,VK0075</t>
  </si>
  <si>
    <t>E K JACOBS MEM SCHP</t>
  </si>
  <si>
    <t>%,VK0076</t>
  </si>
  <si>
    <t>WM JACQUES STUDNT AD</t>
  </si>
  <si>
    <t>%,VK0077</t>
  </si>
  <si>
    <t>JOB SCHOLARSHIP</t>
  </si>
  <si>
    <t>%,VK0078</t>
  </si>
  <si>
    <t>PHYLLIS J JONES</t>
  </si>
  <si>
    <t>%,VK0079</t>
  </si>
  <si>
    <t>KC ELEM TEACHERS CLB</t>
  </si>
  <si>
    <t>%,VK0080</t>
  </si>
  <si>
    <t>K C WOMENS GUILD SCH</t>
  </si>
  <si>
    <t>%,VK0081</t>
  </si>
  <si>
    <t>M B KEMP END SCHP</t>
  </si>
  <si>
    <t>%,VK0083</t>
  </si>
  <si>
    <t>ARTHUR KRIEHN SCH</t>
  </si>
  <si>
    <t>%,VK0084</t>
  </si>
  <si>
    <t>ALLEN CRONK SCHP</t>
  </si>
  <si>
    <t>%,VK0085</t>
  </si>
  <si>
    <t>SANFORD B LADD AWARD</t>
  </si>
  <si>
    <t>%,VK0086</t>
  </si>
  <si>
    <t>RALPH S LATSHAW AWD</t>
  </si>
  <si>
    <t>%,VK0087</t>
  </si>
  <si>
    <t>LEATHERMAN SCHOL FD</t>
  </si>
  <si>
    <t>%,VK0088</t>
  </si>
  <si>
    <t>D LIEBERMAN MEM SCHP</t>
  </si>
  <si>
    <t>%,VK0089</t>
  </si>
  <si>
    <t>R &amp; A M LUYBEN SCHP</t>
  </si>
  <si>
    <t>%,VK0091</t>
  </si>
  <si>
    <t>MARGOLIS CONSERV SCH</t>
  </si>
  <si>
    <t>%,VK0094</t>
  </si>
  <si>
    <t>PAT MCILRATH SCHP</t>
  </si>
  <si>
    <t>%,VK0095</t>
  </si>
  <si>
    <t>MCCOY-BALDUS SCHP</t>
  </si>
  <si>
    <t>%,VK0096</t>
  </si>
  <si>
    <t>CAMPOBELLO MC SWEGIN</t>
  </si>
  <si>
    <t>%,VK0098</t>
  </si>
  <si>
    <t>MKTG COMM SCHP</t>
  </si>
  <si>
    <t>%,VK0099</t>
  </si>
  <si>
    <t>MONTGOMERY MEM SCHP</t>
  </si>
  <si>
    <t>%,VK0100</t>
  </si>
  <si>
    <t>ANNETTE MOORE AWARD</t>
  </si>
  <si>
    <t>%,VK0101</t>
  </si>
  <si>
    <t>JOHN P MORGAN SCHP</t>
  </si>
  <si>
    <t>%,VK0103</t>
  </si>
  <si>
    <t>MORRIS ASSOC-KC BANK</t>
  </si>
  <si>
    <t>%,VK0105</t>
  </si>
  <si>
    <t>NARAS MUSIC AWARD</t>
  </si>
  <si>
    <t>%,VK0106</t>
  </si>
  <si>
    <t>E H NEWCOMB MEM SCHP</t>
  </si>
  <si>
    <t>%,VK0107</t>
  </si>
  <si>
    <t>NEWCOMB SO CA SCHP</t>
  </si>
  <si>
    <t>%,VK0108</t>
  </si>
  <si>
    <t>OELSNER SCHOLARSHIP</t>
  </si>
  <si>
    <t>%,VK0109</t>
  </si>
  <si>
    <t>MERRILL OTIS FUND</t>
  </si>
  <si>
    <t>%,VK0110</t>
  </si>
  <si>
    <t>DUDLEY PITTS MEMORAL</t>
  </si>
  <si>
    <t>%,VK0111</t>
  </si>
  <si>
    <t>NORMAN&amp;ELAINE POLSKY END FD</t>
  </si>
  <si>
    <t>%,VK0113</t>
  </si>
  <si>
    <t>N J S QUERL SCHOLAR</t>
  </si>
  <si>
    <t>%,VK0114</t>
  </si>
  <si>
    <t>RICH CORP LAW PRIZE</t>
  </si>
  <si>
    <t>%,VK0115</t>
  </si>
  <si>
    <t>RILEY DENTAL SCHP</t>
  </si>
  <si>
    <t>%,VK0116</t>
  </si>
  <si>
    <t>DONALD W REYNOLDS SH</t>
  </si>
  <si>
    <t>%,VK0118</t>
  </si>
  <si>
    <t>S &amp; C ROACH SCHP</t>
  </si>
  <si>
    <t>%,VK0119</t>
  </si>
  <si>
    <t>ROBERTSON SCHP</t>
  </si>
  <si>
    <t>%,VK0120</t>
  </si>
  <si>
    <t>OMAR E ROBINSON</t>
  </si>
  <si>
    <t>%,VK0121</t>
  </si>
  <si>
    <t>LOUIS H EHRLICH SCHL</t>
  </si>
  <si>
    <t>%,VK0122</t>
  </si>
  <si>
    <t>L S ROTHSCHILD FUND</t>
  </si>
  <si>
    <t>%,VK0123</t>
  </si>
  <si>
    <t>CAROLINE SCHUTTE SCH</t>
  </si>
  <si>
    <t>%,VK0124</t>
  </si>
  <si>
    <t>SHAH MEDICAL SCHP</t>
  </si>
  <si>
    <t>%,VK0125</t>
  </si>
  <si>
    <t>SMITHER SCHOLARSHIP</t>
  </si>
  <si>
    <t>%,VK0126</t>
  </si>
  <si>
    <t>R &amp; P SNYDER SCHP</t>
  </si>
  <si>
    <t>%,VK0127</t>
  </si>
  <si>
    <t>DAVID SNOWER MEM</t>
  </si>
  <si>
    <t>%,VK0129</t>
  </si>
  <si>
    <t>STEIN-OPPENHEIMER</t>
  </si>
  <si>
    <t>%,VK0130</t>
  </si>
  <si>
    <t>STEPHENSON MUSIC ED</t>
  </si>
  <si>
    <t>%,VK0131</t>
  </si>
  <si>
    <t>LEITH STEVENS MEM</t>
  </si>
  <si>
    <t>%,VK0132</t>
  </si>
  <si>
    <t>BARBARA STORCK AWD</t>
  </si>
  <si>
    <t>%,VK0133</t>
  </si>
  <si>
    <t>STRANDBERG ENDOWMENT</t>
  </si>
  <si>
    <t>%,VK0134</t>
  </si>
  <si>
    <t>STL FR UMKC MED SCHP</t>
  </si>
  <si>
    <t>%,VK0135</t>
  </si>
  <si>
    <t>THOMAS MEM JAZZ SCHP</t>
  </si>
  <si>
    <t>%,VK0137</t>
  </si>
  <si>
    <t>TOMICH MEMORIAL</t>
  </si>
  <si>
    <t>%,VK0139</t>
  </si>
  <si>
    <t>VAN DEURSEN VOCAL</t>
  </si>
  <si>
    <t>%,VK0140</t>
  </si>
  <si>
    <t>KEVIN VANCE MEM SCH</t>
  </si>
  <si>
    <t>%,VK0141</t>
  </si>
  <si>
    <t>WILLIAM VOLKER SCHP</t>
  </si>
  <si>
    <t>%,VK0142</t>
  </si>
  <si>
    <t>DENIS WARD SCHP</t>
  </si>
  <si>
    <t>%,VK0143</t>
  </si>
  <si>
    <t>C B WATTS SCHP</t>
  </si>
  <si>
    <t>%,VK0144</t>
  </si>
  <si>
    <t>RONALD N WEST SCHP</t>
  </si>
  <si>
    <t>%,VK0145</t>
  </si>
  <si>
    <t>WESTERMANN SCHOLARS</t>
  </si>
  <si>
    <t>%,VK0146</t>
  </si>
  <si>
    <t>PROF ENGINEERS AUX</t>
  </si>
  <si>
    <t>%,VK0147</t>
  </si>
  <si>
    <t>WEST MO FRIENDS -MED</t>
  </si>
  <si>
    <t>%,VK0148</t>
  </si>
  <si>
    <t>WOMEN'S COMM CONSERV</t>
  </si>
  <si>
    <t>%,VK0149</t>
  </si>
  <si>
    <t>WHEELOCK SCHP</t>
  </si>
  <si>
    <t>%,VK0150</t>
  </si>
  <si>
    <t>HAZEL B WILLIAMS SCH</t>
  </si>
  <si>
    <t>%,VK0153</t>
  </si>
  <si>
    <t>L &amp; H HILL SCHOL</t>
  </si>
  <si>
    <t>%,VK0154</t>
  </si>
  <si>
    <t>C W ALLENDORFER-BANK</t>
  </si>
  <si>
    <t>%,VK0155</t>
  </si>
  <si>
    <t>ALUMNI REUNION FELL</t>
  </si>
  <si>
    <t>%,VK0156</t>
  </si>
  <si>
    <t>C BALDRIDGE ENDOW</t>
  </si>
  <si>
    <t>%,VK0159</t>
  </si>
  <si>
    <t>D BENJAMIN LIBR COLL</t>
  </si>
  <si>
    <t>%,VK0163</t>
  </si>
  <si>
    <t>MO CHR KIMBALL MRI</t>
  </si>
  <si>
    <t>%,VK0165</t>
  </si>
  <si>
    <t>H BONFILS PROF CONSV</t>
  </si>
  <si>
    <t>%,VK0167</t>
  </si>
  <si>
    <t>BRENNER FAC AWD</t>
  </si>
  <si>
    <t>%,VK0168</t>
  </si>
  <si>
    <t>BUTLER FDN FELLOW</t>
  </si>
  <si>
    <t>%,VK0170</t>
  </si>
  <si>
    <t>CHAPMAN ENDOWMENT</t>
  </si>
  <si>
    <t>%,VK0172</t>
  </si>
  <si>
    <t>C B COCKEFAIR CHAIR</t>
  </si>
  <si>
    <t>%,VK0176</t>
  </si>
  <si>
    <t>DALEE FUND</t>
  </si>
  <si>
    <t>%,VK0177</t>
  </si>
  <si>
    <t>DEAN'S OPPORTUN FD</t>
  </si>
  <si>
    <t>%,VK0178</t>
  </si>
  <si>
    <t>ERNEST DICK LECT FD</t>
  </si>
  <si>
    <t>%,VK0179</t>
  </si>
  <si>
    <t>DIMOND TAKE WING FND</t>
  </si>
  <si>
    <t>%,VK0180</t>
  </si>
  <si>
    <t>MED SCH ALUMNI BALL</t>
  </si>
  <si>
    <t>%,VK0181</t>
  </si>
  <si>
    <t>MO. CHAIR - DIVELEY</t>
  </si>
  <si>
    <t>%,VK0185</t>
  </si>
  <si>
    <t>ENG GOOD TEACH AWARD</t>
  </si>
  <si>
    <t>%,VK0186</t>
  </si>
  <si>
    <t>MMD MO PROF ENTREPRE</t>
  </si>
  <si>
    <t>%,VK0187</t>
  </si>
  <si>
    <t>MMD MO PROF BIOLOGY</t>
  </si>
  <si>
    <t>%,VK0188</t>
  </si>
  <si>
    <t>FELD END FOR LETTERS</t>
  </si>
  <si>
    <t>%,VK0190</t>
  </si>
  <si>
    <t>GERSHON HADAS JUDACI</t>
  </si>
  <si>
    <t>%,VK0191</t>
  </si>
  <si>
    <t>WILLIAM GRANT MO PRF</t>
  </si>
  <si>
    <t>%,VK0194</t>
  </si>
  <si>
    <t>HARZFELD CHAIR-BU AD</t>
  </si>
  <si>
    <t>%,VK0195</t>
  </si>
  <si>
    <t>HASHINGER PROF-MED</t>
  </si>
  <si>
    <t>%,VK0197</t>
  </si>
  <si>
    <t>MO CHAIR - HICKLIN</t>
  </si>
  <si>
    <t>%,VK0198</t>
  </si>
  <si>
    <t>F HOFFMAN MEM</t>
  </si>
  <si>
    <t>%,VK0199</t>
  </si>
  <si>
    <t>R HULEN PROF-URB AFF</t>
  </si>
  <si>
    <t>%,VK0200</t>
  </si>
  <si>
    <t>J P KEM LIBRARY END</t>
  </si>
  <si>
    <t>%,VK0202</t>
  </si>
  <si>
    <t>KAUFFMAN MO CHR EDU</t>
  </si>
  <si>
    <t>%,VK0203</t>
  </si>
  <si>
    <t>KAUFFMAN MO CHR INT</t>
  </si>
  <si>
    <t>%,VK0204</t>
  </si>
  <si>
    <t>KAUFFMAN MO CHR III</t>
  </si>
  <si>
    <t>%,VK0205</t>
  </si>
  <si>
    <t>CLARENCE KIVETT END</t>
  </si>
  <si>
    <t>%,VK0207</t>
  </si>
  <si>
    <t>LABUDDE ENDOWMENT</t>
  </si>
  <si>
    <t>%,VK0208</t>
  </si>
  <si>
    <t>LEVITT PROF IN HUM</t>
  </si>
  <si>
    <t>%,VK0210</t>
  </si>
  <si>
    <t>M MARTINEZ-CARRION BIO SC LEC</t>
  </si>
  <si>
    <t>%,VK0211</t>
  </si>
  <si>
    <t>SOL MARGOLIN EDUC FD</t>
  </si>
  <si>
    <t>%,VK0212</t>
  </si>
  <si>
    <t>E W &amp; K R MARES LIB</t>
  </si>
  <si>
    <t>%,VK0213</t>
  </si>
  <si>
    <t>L S C MILLSAP PROF</t>
  </si>
  <si>
    <t>%,VK0214</t>
  </si>
  <si>
    <t>R A C MILLSAP PROF</t>
  </si>
  <si>
    <t>%,VK0216</t>
  </si>
  <si>
    <t>MO CHAIR MMD BIO SCI</t>
  </si>
  <si>
    <t>%,VK0218</t>
  </si>
  <si>
    <t>MED SCHOOL AWD SERV</t>
  </si>
  <si>
    <t>%,VK0219</t>
  </si>
  <si>
    <t>MENN LIBRARY FUND</t>
  </si>
  <si>
    <t>%,VK0220</t>
  </si>
  <si>
    <t>MILLSAP DIST ARTIST</t>
  </si>
  <si>
    <t>%,VK0221</t>
  </si>
  <si>
    <t>DONALD MOCKER ENDOW</t>
  </si>
  <si>
    <t>%,VK0223</t>
  </si>
  <si>
    <t>ED NELSON PROF-DENT</t>
  </si>
  <si>
    <t>%,VK0224</t>
  </si>
  <si>
    <t>NICHOLS LIBR ENDOW</t>
  </si>
  <si>
    <t>%,VK0225</t>
  </si>
  <si>
    <t>OPPENSTEIN PROF</t>
  </si>
  <si>
    <t>%,VK0226</t>
  </si>
  <si>
    <t>WELLER OVERSTREET FD</t>
  </si>
  <si>
    <t>%,VK0230</t>
  </si>
  <si>
    <t>NON PROFIT MGMT</t>
  </si>
  <si>
    <t>%,VK0231</t>
  </si>
  <si>
    <t>E REISNER ENDOWMENT</t>
  </si>
  <si>
    <t>%,VK0235</t>
  </si>
  <si>
    <t>DR LEO ROGERS PROF</t>
  </si>
  <si>
    <t>%,VK0236</t>
  </si>
  <si>
    <t>S ORLANDO SOMERS PR</t>
  </si>
  <si>
    <t>%,VK0237</t>
  </si>
  <si>
    <t>PHILLIPS PROFESSORSP</t>
  </si>
  <si>
    <t>%,VK0240</t>
  </si>
  <si>
    <t>SECOND CENTURY DENTL</t>
  </si>
  <si>
    <t>%,VK0241</t>
  </si>
  <si>
    <t>MO PROF - SCHUTTE</t>
  </si>
  <si>
    <t>%,VK0242</t>
  </si>
  <si>
    <t>C F SCOFIELD BOOK FD</t>
  </si>
  <si>
    <t>%,VK0243</t>
  </si>
  <si>
    <t>H SILVERFORB FAC DEV</t>
  </si>
  <si>
    <t>%,VK0244</t>
  </si>
  <si>
    <t>SIRRIDGE LECTURE</t>
  </si>
  <si>
    <t>%,VK0245</t>
  </si>
  <si>
    <t>E A SMITH &amp; SM PGM</t>
  </si>
  <si>
    <t>%,VK0246</t>
  </si>
  <si>
    <t>EDWARD A SMITH / MO CHAIR LAW</t>
  </si>
  <si>
    <t>%,VK0247</t>
  </si>
  <si>
    <t>D &amp; D THOMPSON A&amp;S</t>
  </si>
  <si>
    <t>%,VK0248</t>
  </si>
  <si>
    <t>MO CHAIR STRANDBERG</t>
  </si>
  <si>
    <t>%,VK0249</t>
  </si>
  <si>
    <t>D &amp; D THOMPSON NURS</t>
  </si>
  <si>
    <t>%,VK0253</t>
  </si>
  <si>
    <t>STATLAND LIB ENDOW</t>
  </si>
  <si>
    <t>%,VK0254</t>
  </si>
  <si>
    <t>HELEN STEVENS SCHOL</t>
  </si>
  <si>
    <t>%,VK0257</t>
  </si>
  <si>
    <t>MO CHAIR - STRIPP</t>
  </si>
  <si>
    <t>%,VK0261</t>
  </si>
  <si>
    <t>UMKC GEN LIBRARY END</t>
  </si>
  <si>
    <t>%,VK0262</t>
  </si>
  <si>
    <t>VEATCH ENDOWMENT</t>
  </si>
  <si>
    <t>%,VK0263</t>
  </si>
  <si>
    <t>WASSERMAN MED SCH</t>
  </si>
  <si>
    <t>%,VK0264</t>
  </si>
  <si>
    <t>ROCHE LAB/ WILKINSON</t>
  </si>
  <si>
    <t>%,VK0265</t>
  </si>
  <si>
    <t>J &amp; E WOLFF COLLECT</t>
  </si>
  <si>
    <t>%,VK0267</t>
  </si>
  <si>
    <t>FOWLER &amp; ABRANZ SCHP</t>
  </si>
  <si>
    <t>%,VK0271</t>
  </si>
  <si>
    <t>GURPREET S. PADDA, M.D. SCHP</t>
  </si>
  <si>
    <t>%,VK0272</t>
  </si>
  <si>
    <t>JOEL C*BROWN BK AWD</t>
  </si>
  <si>
    <t>%,VK0273</t>
  </si>
  <si>
    <t>EUGENE*BUTLER SCSP</t>
  </si>
  <si>
    <t>%,VK0274</t>
  </si>
  <si>
    <t>PATRICIA GIER SCSP</t>
  </si>
  <si>
    <t>%,VK0276</t>
  </si>
  <si>
    <t>HENSON LECTURE IN CS</t>
  </si>
  <si>
    <t>%,VK0277</t>
  </si>
  <si>
    <t>H K BUETTNER EDUC FD</t>
  </si>
  <si>
    <t>%,VK0278</t>
  </si>
  <si>
    <t>LEFKOWITZ PROFESSORSHIP</t>
  </si>
  <si>
    <t>%,VK0285</t>
  </si>
  <si>
    <t>LARRY*MAGNUSON SCHOL</t>
  </si>
  <si>
    <t>%,VK0286</t>
  </si>
  <si>
    <t>WILLIAM C. LENGEL SCHOLARSHIP</t>
  </si>
  <si>
    <t>%,VK0288</t>
  </si>
  <si>
    <t>MED SC ALUMNI SCSP</t>
  </si>
  <si>
    <t>%,VK0289</t>
  </si>
  <si>
    <t>JANICE*MEINRATH/COCK</t>
  </si>
  <si>
    <t>%,VK0291</t>
  </si>
  <si>
    <t>MNL TECH/PERSONNEL</t>
  </si>
  <si>
    <t>%,VK0293</t>
  </si>
  <si>
    <t>MNL EXPANSION FUND</t>
  </si>
  <si>
    <t>%,VK0294</t>
  </si>
  <si>
    <t>PEMBERTON SCSP FD</t>
  </si>
  <si>
    <t>%,VK0295</t>
  </si>
  <si>
    <t>PASEO SCH SCSP</t>
  </si>
  <si>
    <t>%,VK0298</t>
  </si>
  <si>
    <t>M SIRRIDGE LECT FUND</t>
  </si>
  <si>
    <t>%,VK0299</t>
  </si>
  <si>
    <t>SUTTER FUND</t>
  </si>
  <si>
    <t>%,VK0300</t>
  </si>
  <si>
    <t>JAMES S*MEISTER SCSP</t>
  </si>
  <si>
    <t>%,VK0302</t>
  </si>
  <si>
    <t>%,VK0303</t>
  </si>
  <si>
    <t>VICTOR*WILSON SCHOL</t>
  </si>
  <si>
    <t>%,VK0310</t>
  </si>
  <si>
    <t>MARJORIE ALLEN FELL</t>
  </si>
  <si>
    <t>%,VK0313</t>
  </si>
  <si>
    <t>SIRRIDGE FUND</t>
  </si>
  <si>
    <t>%,VK0314</t>
  </si>
  <si>
    <t>JAMES*FALLS END FUND</t>
  </si>
  <si>
    <t>%,VK0316</t>
  </si>
  <si>
    <t>H*LYNN E*WHITE SCSP</t>
  </si>
  <si>
    <t>%,VK0317</t>
  </si>
  <si>
    <t>RON GREENBAUM PROJECT</t>
  </si>
  <si>
    <t>%,VK0319</t>
  </si>
  <si>
    <t>NADINE LOUGH FUND</t>
  </si>
  <si>
    <t>%,VK0320</t>
  </si>
  <si>
    <t>MISSOURI PROF ACCOUTANCY</t>
  </si>
  <si>
    <t>%,VK0321</t>
  </si>
  <si>
    <t>FAYE KIRCHER PUBLIC SPEAK SCHP</t>
  </si>
  <si>
    <t>%,VK0322</t>
  </si>
  <si>
    <t>KCUR FM UNREST</t>
  </si>
  <si>
    <t>%,VK0323</t>
  </si>
  <si>
    <t>ABERNATHY TRUST</t>
  </si>
  <si>
    <t>%,VK0324</t>
  </si>
  <si>
    <t>STANFORD SCHOLARSHIP</t>
  </si>
  <si>
    <t>%,VK0325</t>
  </si>
  <si>
    <t>VIRGINIA MACKIE ENDOW</t>
  </si>
  <si>
    <t>%,VK0327</t>
  </si>
  <si>
    <t>DR AND MRS STANLEY NIU ENG SCH</t>
  </si>
  <si>
    <t>%,VK0328</t>
  </si>
  <si>
    <t>MARTIN DANEMAN SCHOLARSHIP</t>
  </si>
  <si>
    <t>%,VK0329</t>
  </si>
  <si>
    <t>RICHARDSON K NOBACK AWARD</t>
  </si>
  <si>
    <t>%,VK0330</t>
  </si>
  <si>
    <t>SHAFFER AWARD FOR COMMNTY SERV</t>
  </si>
  <si>
    <t>%,VK0331</t>
  </si>
  <si>
    <t>LAURA L BACKUS AWD FOR PEDIATR</t>
  </si>
  <si>
    <t>%,VK0332</t>
  </si>
  <si>
    <t>HELEN STRIFFLER RULLE SCHOL FD</t>
  </si>
  <si>
    <t>%,VK0333</t>
  </si>
  <si>
    <t>BRYAN ROSS BOLDEN MEMORIAL SCH</t>
  </si>
  <si>
    <t>%,VK0334</t>
  </si>
  <si>
    <t>H WAYNE TWYMAN SCHOLARSHIP</t>
  </si>
  <si>
    <t>%,VK0335</t>
  </si>
  <si>
    <t>PHYLLIS BERNSTEIN SCHOLARSHIP</t>
  </si>
  <si>
    <t>%,VK0336</t>
  </si>
  <si>
    <t>DENNIS SCHEMMEL ENDOW FD</t>
  </si>
  <si>
    <t>%,VK0337</t>
  </si>
  <si>
    <t>FREDERICK B JENKINS FAMILY SCH</t>
  </si>
  <si>
    <t>%,VK0338</t>
  </si>
  <si>
    <t>ALAN HINTZ BANKING SCHOLARSHIP</t>
  </si>
  <si>
    <t>%,VK0339</t>
  </si>
  <si>
    <t>CHARLENE BENTLEY SCH</t>
  </si>
  <si>
    <t>%,VK0340</t>
  </si>
  <si>
    <t>Shirley Bean Scholarship</t>
  </si>
  <si>
    <t>%,VK0341</t>
  </si>
  <si>
    <t>RICHARD GENTILE SCHOLARSHIP</t>
  </si>
  <si>
    <t>%,VK0342</t>
  </si>
  <si>
    <t>UMKC STAFF ASSEMBLY</t>
  </si>
  <si>
    <t>%,VK0343</t>
  </si>
  <si>
    <t>EDWARD LYNCH MEMORIAL</t>
  </si>
  <si>
    <t>%,VK0344</t>
  </si>
  <si>
    <t>Norman Royal Prof</t>
  </si>
  <si>
    <t>%,VK0345</t>
  </si>
  <si>
    <t>VAL RAD PROF</t>
  </si>
  <si>
    <t>%,VK0346</t>
  </si>
  <si>
    <t>Richard Cass Piano Schp</t>
  </si>
  <si>
    <t>%,VK0347</t>
  </si>
  <si>
    <t>KENNETH &amp; EVA SMITH FNDTN FUND</t>
  </si>
  <si>
    <t>%,VK0348</t>
  </si>
  <si>
    <t>Adam E Ericsson Endow Fund</t>
  </si>
  <si>
    <t>%,VK0349</t>
  </si>
  <si>
    <t>BHARAT SHAH ACADEM SCSP ENDOW</t>
  </si>
  <si>
    <t>%,VK0351</t>
  </si>
  <si>
    <t>MW &amp; SS FELD</t>
  </si>
  <si>
    <t>%,VK0352</t>
  </si>
  <si>
    <t>LOEFFELHOLZ SCHP ENGINEERING</t>
  </si>
  <si>
    <t>%,VK0353</t>
  </si>
  <si>
    <t>SUZANNE CRISPIN WILLIAMS FUND</t>
  </si>
  <si>
    <t>%,VK0354</t>
  </si>
  <si>
    <t>DIV ACCOUNTANCY RESOURCE ENDW</t>
  </si>
  <si>
    <t>%,VK0356</t>
  </si>
  <si>
    <t>EISENMAN SCHOLARSHIP</t>
  </si>
  <si>
    <t>%,VK0357</t>
  </si>
  <si>
    <t>KS DENT STUDENT SILVER LINING</t>
  </si>
  <si>
    <t>%,VK0361</t>
  </si>
  <si>
    <t>M.B. RICKARD MENTOR PROGRAM</t>
  </si>
  <si>
    <t>%,VK0362</t>
  </si>
  <si>
    <t>HERBERT&amp;MAXINE CHRISTENSEN SCH</t>
  </si>
  <si>
    <t>%,VK0363</t>
  </si>
  <si>
    <t>TRUMAN STAUFFER SCHOLARSHIP</t>
  </si>
  <si>
    <t>%,VK0364</t>
  </si>
  <si>
    <t>RAYMOND NEEVEL MO PROFESSOR</t>
  </si>
  <si>
    <t>%,VK0365</t>
  </si>
  <si>
    <t>JOHN SCOTT SHEPHERD ENDOWMENT</t>
  </si>
  <si>
    <t>%,VK0366</t>
  </si>
  <si>
    <t>GERALD KEMNER COMPOSITION ENDO</t>
  </si>
  <si>
    <t>%,VK0367</t>
  </si>
  <si>
    <t>W&amp;M PERRY MED REF COLLCTION FD</t>
  </si>
  <si>
    <t>%,VK0368</t>
  </si>
  <si>
    <t>JOHN KANDER SCHOLARSHIP ENDOW</t>
  </si>
  <si>
    <t>%,VK0369</t>
  </si>
  <si>
    <t>JOHN GUTOWSKI FUND</t>
  </si>
  <si>
    <t>%,VK0370</t>
  </si>
  <si>
    <t>RUTH MARGOLIN LEADERSHIP ENDOW</t>
  </si>
  <si>
    <t>%,VK0371</t>
  </si>
  <si>
    <t>WOMEN'S CENTER ENDOWMENT</t>
  </si>
  <si>
    <t>%,VK0372</t>
  </si>
  <si>
    <t>CHARMAINE ASHER-WILEY SCHOLARS</t>
  </si>
  <si>
    <t>%,VK0373</t>
  </si>
  <si>
    <t>ELMER F. PIERSON TEACHNG AWARD</t>
  </si>
  <si>
    <t>%,VK0383</t>
  </si>
  <si>
    <t>HUBERT J. CHARTRAND PIANS SCHP</t>
  </si>
  <si>
    <t>%,VK0384</t>
  </si>
  <si>
    <t>BUD PERSONS MEMORIAL SCHP</t>
  </si>
  <si>
    <t>%,VK0385</t>
  </si>
  <si>
    <t>LEE A TAKATS SCHOLARSHIP FUND</t>
  </si>
  <si>
    <t>%,VK0387</t>
  </si>
  <si>
    <t>EPH EHLY CHORAL CONDUCTING SCH</t>
  </si>
  <si>
    <t>%,VK0388</t>
  </si>
  <si>
    <t>EUGENE W J PEARCE AWARD FOR EX</t>
  </si>
  <si>
    <t>%,VK0389</t>
  </si>
  <si>
    <t>JAMES &amp; KATHERYN TAYLOR SCHLP</t>
  </si>
  <si>
    <t>%,VK0390</t>
  </si>
  <si>
    <t>TERRY &amp; KATHLEEN MYERS SCHLP</t>
  </si>
  <si>
    <t>%,VK0391</t>
  </si>
  <si>
    <t>LIBRARIAN AWARD</t>
  </si>
  <si>
    <t>%,VK0393</t>
  </si>
  <si>
    <t>FARNSWORTH SCHOLARSHIP</t>
  </si>
  <si>
    <t>%,VK0394</t>
  </si>
  <si>
    <t>GREAT PLAINS DSTNGUISH FELLOWS</t>
  </si>
  <si>
    <t>%,VK0395</t>
  </si>
  <si>
    <t>F. CULLINAN &amp; B. SMITH SCHLP</t>
  </si>
  <si>
    <t>%,VK0396</t>
  </si>
  <si>
    <t>MAIER PIANO SCHOLARSHIP FUND</t>
  </si>
  <si>
    <t>%,VK0397</t>
  </si>
  <si>
    <t>BIERMAN/WAMPLER SCHP</t>
  </si>
  <si>
    <t>%,VK0398</t>
  </si>
  <si>
    <t>DR. AGAPITO MENDOZA SCHLP</t>
  </si>
  <si>
    <t>%,VK0399</t>
  </si>
  <si>
    <t>WANDA LATHOM-RADOCY MUSIC SCHL</t>
  </si>
  <si>
    <t>%,VK0400</t>
  </si>
  <si>
    <t>SUZANNE ZUBER SCHOLARSHIP</t>
  </si>
  <si>
    <t>%,VK0401</t>
  </si>
  <si>
    <t>AMANDA HARMAN SCHOLARSHIP</t>
  </si>
  <si>
    <t>%,VK0402</t>
  </si>
  <si>
    <t>LEROY POGEMILLER SCHOLARSHIP</t>
  </si>
  <si>
    <t>%,VK0403</t>
  </si>
  <si>
    <t>JOANNE BAKER SCHOLARSHIP</t>
  </si>
  <si>
    <t>%,VK0404</t>
  </si>
  <si>
    <t>DR. DOWGRAY MEMORIAL FUND</t>
  </si>
  <si>
    <t>%,VK0405</t>
  </si>
  <si>
    <t>FRANCIS J SCHINDLER PIANO SCHL</t>
  </si>
  <si>
    <t>%,VK0406</t>
  </si>
  <si>
    <t>TIBERIUS KLAUSNER SCHOLARSHIP</t>
  </si>
  <si>
    <t>%,VK0407</t>
  </si>
  <si>
    <t>GOPPERT FOUNDATION</t>
  </si>
  <si>
    <t>%,VK0408</t>
  </si>
  <si>
    <t>ALUMNI ASSURING FUTURE SCHLP</t>
  </si>
  <si>
    <t>%,VK0409</t>
  </si>
  <si>
    <t>FERNE WELLS NATIVE AMER ENDOW</t>
  </si>
  <si>
    <t>%,VK0410</t>
  </si>
  <si>
    <t>NANCY MILLS HONORARY FUND</t>
  </si>
  <si>
    <t>%,VK0411</t>
  </si>
  <si>
    <t>HUIZENGA STDNT LEADERSHP FUND</t>
  </si>
  <si>
    <t>%,VK0412</t>
  </si>
  <si>
    <t>KPMG ACCOUNTING SCHOLARSHIP</t>
  </si>
  <si>
    <t>%,VK0413</t>
  </si>
  <si>
    <t>WILLIAM B. EDDY/EMBA FUND</t>
  </si>
  <si>
    <t>%,VK0414</t>
  </si>
  <si>
    <t>FOUNDERS' SCHOLARSHIP ENDOW</t>
  </si>
  <si>
    <t>%,VK0415</t>
  </si>
  <si>
    <t>TATIANA DOKOUDOVSKA DANCE SCH</t>
  </si>
  <si>
    <t>%,VK0416</t>
  </si>
  <si>
    <t>EDWARD A. SMITH URBAN LDRSHP</t>
  </si>
  <si>
    <t>%,VK0417</t>
  </si>
  <si>
    <t>BILL ROSS SCHOLARSHIP</t>
  </si>
  <si>
    <t>%,VK0418</t>
  </si>
  <si>
    <t>CAMPUS FAC MANAGEMENT SCHP</t>
  </si>
  <si>
    <t>%,VK0419</t>
  </si>
  <si>
    <t>RICHARD HETHERINGTON SCHP</t>
  </si>
  <si>
    <t>%,VK0420</t>
  </si>
  <si>
    <t>NEAL WILLIS MEMORIAL FUND</t>
  </si>
  <si>
    <t>%,VK0421</t>
  </si>
  <si>
    <t>ROBERT B. VAUGHAN SCHOLARSHIP</t>
  </si>
  <si>
    <t>%,VK0422</t>
  </si>
  <si>
    <t>THOMAS &amp; TERESA SULLIVAN SCHP</t>
  </si>
  <si>
    <t>%,VK0423</t>
  </si>
  <si>
    <t>DANIEL L. BRENNER JUDAIC COLL</t>
  </si>
  <si>
    <t>%,VK0424</t>
  </si>
  <si>
    <t>MARTHA LONGMIRE WOMEN'S SCHP</t>
  </si>
  <si>
    <t>%,VK0425</t>
  </si>
  <si>
    <t>PATRICIA Z THOMPSON LIBR ENDOW</t>
  </si>
  <si>
    <t>%,VK0426</t>
  </si>
  <si>
    <t>GOODALE SCHOLARSHIP</t>
  </si>
  <si>
    <t>%,VK0427</t>
  </si>
  <si>
    <t>ORENE V CROCKETT SCHP FUND</t>
  </si>
  <si>
    <t>%,VK0428</t>
  </si>
  <si>
    <t>CATHERINE C MACKAY SCHOLARSHIP</t>
  </si>
  <si>
    <t>%,VK0429</t>
  </si>
  <si>
    <t>LGBT SCHOLARSHIP</t>
  </si>
  <si>
    <t>%,VK0430</t>
  </si>
  <si>
    <t>CALLISON LIBRARY ENDOWMENT</t>
  </si>
  <si>
    <t>%,VK0431</t>
  </si>
  <si>
    <t>HERMAN JOHNSON MEMORIAL SCSP</t>
  </si>
  <si>
    <t>%,VK0433</t>
  </si>
  <si>
    <t>JIM WHITE FUND</t>
  </si>
  <si>
    <t>%,VK0434</t>
  </si>
  <si>
    <t>ASCE GEOTECHNICAL GROUP SCSP</t>
  </si>
  <si>
    <t>%,VK0435</t>
  </si>
  <si>
    <t>BARBARA KAMEL MEMORIAL FUND</t>
  </si>
  <si>
    <t>%,VK0436</t>
  </si>
  <si>
    <t>CAMPUS FAC/LINCOLN PREP SCHOLA</t>
  </si>
  <si>
    <t>%,VK0437</t>
  </si>
  <si>
    <t>COUNSELING AND PSYCHOLOGY</t>
  </si>
  <si>
    <t>%,VK0438</t>
  </si>
  <si>
    <t>DAVID PARSONS SCHOLARSHIP</t>
  </si>
  <si>
    <t>%,VK0439</t>
  </si>
  <si>
    <t>HENRY  W BLOCH CHAIR OF FIN</t>
  </si>
  <si>
    <t>%,VK0440</t>
  </si>
  <si>
    <t>HENRY BLOCH CHAIR-ENTREPRENEUR</t>
  </si>
  <si>
    <t>%,VK0441</t>
  </si>
  <si>
    <t>TERRENCE &amp; LINDA WARD SCHOR</t>
  </si>
  <si>
    <t>%,VK0442</t>
  </si>
  <si>
    <t>RODNEY COVER PIANO SCHOLARSHIP</t>
  </si>
  <si>
    <t>%,VK0443</t>
  </si>
  <si>
    <t>DST SYSTEMS COMPUTER SCI SCHP</t>
  </si>
  <si>
    <t>%,VK0448</t>
  </si>
  <si>
    <t>UMKC DENTAL ALUMNI ASSOC SCHP</t>
  </si>
  <si>
    <t>%,VK0449</t>
  </si>
  <si>
    <t>DENTAL ALUMNI ASSOC SCHOLARSHP</t>
  </si>
  <si>
    <t>%,VK0450</t>
  </si>
  <si>
    <t>PAMELA OVERMAN SCHOLARSHIP</t>
  </si>
  <si>
    <t>%,VK0451</t>
  </si>
  <si>
    <t>UMKC DENTAL HYGIENISTS ALUMNI</t>
  </si>
  <si>
    <t>%,VK0452</t>
  </si>
  <si>
    <t>SPA RUTH LOIS SCOTT MEM SCHLR</t>
  </si>
  <si>
    <t>%,VK0453</t>
  </si>
  <si>
    <t>DR VERE &amp; MRS MAE LANE SCHLR</t>
  </si>
  <si>
    <t>%,VK0454</t>
  </si>
  <si>
    <t>DR EUGENE BEERS SCHOLARSHIP</t>
  </si>
  <si>
    <t>%,VK0455</t>
  </si>
  <si>
    <t>A&amp;S NEED SCHOLARSHIP</t>
  </si>
  <si>
    <t>%,VK0456</t>
  </si>
  <si>
    <t>JERROLD F STACH MEMORIAL SCHLR</t>
  </si>
  <si>
    <t>%,VK0457</t>
  </si>
  <si>
    <t>HENRY BLOCH SCHOLARSHIP</t>
  </si>
  <si>
    <t>%,VK0458</t>
  </si>
  <si>
    <t>SUFFECOOL/PLANK SCHOLARSHIP</t>
  </si>
  <si>
    <t>%,VK0459</t>
  </si>
  <si>
    <t>C. &amp; G. CURTIS SCHOLARSHIP</t>
  </si>
  <si>
    <t>%,VK0460</t>
  </si>
  <si>
    <t>SOE 50TH ANNIV ALUMNI SCHOLARS</t>
  </si>
  <si>
    <t>%,VK0461</t>
  </si>
  <si>
    <t>RUTH ANNE RICH PIANO SCHOLARSH</t>
  </si>
  <si>
    <t>%,VK0462</t>
  </si>
  <si>
    <t>DORIS MARKHAM SWINNEY SCHOLAR</t>
  </si>
  <si>
    <t>%,VK0463</t>
  </si>
  <si>
    <t>LAW CLASS OF 1980 SCHP</t>
  </si>
  <si>
    <t>%,VK0464</t>
  </si>
  <si>
    <t>DRS. BEATY &amp; DELORAS PEMBERTON</t>
  </si>
  <si>
    <t>%,VK0465</t>
  </si>
  <si>
    <t>ARTHUR CRUTSINGER SCHOLARSHIP</t>
  </si>
  <si>
    <t>%,VK0466</t>
  </si>
  <si>
    <t>DR REANER &amp; H SHANNON-MINORITY</t>
  </si>
  <si>
    <t>%,VK0467</t>
  </si>
  <si>
    <t>UMKC MED SCH-ALUMNI MATCH SCH</t>
  </si>
  <si>
    <t>%,VK0468</t>
  </si>
  <si>
    <t>EDWARD &amp; VICTORIA HARRIS SCH</t>
  </si>
  <si>
    <t>%,VK0469</t>
  </si>
  <si>
    <t>GEORGE SALISBURY JAZZ STUDIES</t>
  </si>
  <si>
    <t>%,VK0470</t>
  </si>
  <si>
    <t>SUZANNE &amp; HARRY STATLAND LIBRY</t>
  </si>
  <si>
    <t>%,VK0471</t>
  </si>
  <si>
    <t>CATHERINE MACKAY MISSOURI SCH</t>
  </si>
  <si>
    <t>%,VK0472</t>
  </si>
  <si>
    <t>LEODIS &amp; JUNE DAVIS SCHLRSHP</t>
  </si>
  <si>
    <t>%,VK0473</t>
  </si>
  <si>
    <t>HOLCOM SCHOLARSHIP</t>
  </si>
  <si>
    <t>%,VK0474</t>
  </si>
  <si>
    <t>CLARA SHUMWAY SCHOLARSHIP</t>
  </si>
  <si>
    <t>%,VK0475</t>
  </si>
  <si>
    <t>RANDALL L. MILLER SCHOLARSHIP</t>
  </si>
  <si>
    <t>%,VK0476</t>
  </si>
  <si>
    <t>DAN BISHOP SCHOLARSHIP FUND</t>
  </si>
  <si>
    <t>%,VK0477</t>
  </si>
  <si>
    <t>CORKY PFEIFFER MEMORIAL</t>
  </si>
  <si>
    <t>%,VK0478</t>
  </si>
  <si>
    <t>GEORGE EHRLICH SCHOLARSHIP</t>
  </si>
  <si>
    <t>%,VK0479</t>
  </si>
  <si>
    <t>EVELYN SUFFECOOL PHARMACY SCHR</t>
  </si>
  <si>
    <t>%,VK0480</t>
  </si>
  <si>
    <t>JAMES E. ALLEN SCHOLARSHIP</t>
  </si>
  <si>
    <t>%,VK0481</t>
  </si>
  <si>
    <t>NYBERG PHARMACY INDPNDNT SCHP</t>
  </si>
  <si>
    <t>%,VK0482</t>
  </si>
  <si>
    <t>K L CHENG PHYSICS SCHOLARSHIP</t>
  </si>
  <si>
    <t>%,VK0485</t>
  </si>
  <si>
    <t>PHYSICS DEPT SCHOLARSHIP 2</t>
  </si>
  <si>
    <t>%,VK0486</t>
  </si>
  <si>
    <t>SUSIE SINTON SCHOLARSHIP</t>
  </si>
  <si>
    <t>%,VK0487</t>
  </si>
  <si>
    <t>DR YOUNGJUNE CHANG SCHOLARSHIP</t>
  </si>
  <si>
    <t>%,VK0488</t>
  </si>
  <si>
    <t>DR. AND MRS. BHARAT SHAH SCHP</t>
  </si>
  <si>
    <t>%,VK0489</t>
  </si>
  <si>
    <t>THEATRE ART CHAIR</t>
  </si>
  <si>
    <t>%,VK0490</t>
  </si>
  <si>
    <t>KC REP DIRECTOR FUND</t>
  </si>
  <si>
    <t>%,VK0491</t>
  </si>
  <si>
    <t>DENTAL HYGIENE CLASS 1954 SCH</t>
  </si>
  <si>
    <t>%,VK0492</t>
  </si>
  <si>
    <t>DENTAL HYGIENE PROF SCHOLARSHP</t>
  </si>
  <si>
    <t>%,VK0493</t>
  </si>
  <si>
    <t>GRETEL SIGMUND THEATRE SCH</t>
  </si>
  <si>
    <t>%,VK0494</t>
  </si>
  <si>
    <t>FELIX &amp; CARMEN SABATES CHAIR</t>
  </si>
  <si>
    <t>%,VK0495</t>
  </si>
  <si>
    <t>NURSING LIVING LEARNING COMM</t>
  </si>
  <si>
    <t>%,VK0497</t>
  </si>
  <si>
    <t>THEATRE/REP ENHANCEMENT FUND</t>
  </si>
  <si>
    <t>%,VK0498</t>
  </si>
  <si>
    <t>MARIAN ALICE SIMMONS SCHLRSHP</t>
  </si>
  <si>
    <t>%,VK0499</t>
  </si>
  <si>
    <t>GOPPERT FOUND SCHP IN NURSING</t>
  </si>
  <si>
    <t>%,VK0500</t>
  </si>
  <si>
    <t>MARK AVERY STITT SCHOLARSHIP</t>
  </si>
  <si>
    <t>%,VK0502</t>
  </si>
  <si>
    <t>JEROME DELMAS ESCOE SCHOLARSHP</t>
  </si>
  <si>
    <t>%,VK0503</t>
  </si>
  <si>
    <t>RALPH ANDERSON SCHOLARSHIP</t>
  </si>
  <si>
    <t>%,VK0504</t>
  </si>
  <si>
    <t>LEO LONG/HISPANIC CC SCHLRSHP</t>
  </si>
  <si>
    <t>%,VK0505</t>
  </si>
  <si>
    <t>LOGAN M. HENDERSON-WILSON SCH</t>
  </si>
  <si>
    <t>%,VK0506</t>
  </si>
  <si>
    <t>M. MARIE ROGERS SCHOLARSHIP</t>
  </si>
  <si>
    <t>%,VK0507</t>
  </si>
  <si>
    <t>MARIE DUNNE MEMORIAL SCHLSHP</t>
  </si>
  <si>
    <t>%,VK0508</t>
  </si>
  <si>
    <t>DR WILBER &amp; MARY LOU SPALDING</t>
  </si>
  <si>
    <t>%,VK0509</t>
  </si>
  <si>
    <t>NEAL CHAIR</t>
  </si>
  <si>
    <t>%,VK0510</t>
  </si>
  <si>
    <t>SPRINT URBAN EDUCATION SCHLSHP</t>
  </si>
  <si>
    <t>%,VK0511</t>
  </si>
  <si>
    <t>STEPHEN WILES, MD SCHOLARSHIP</t>
  </si>
  <si>
    <t>%,VK0512</t>
  </si>
  <si>
    <t>MARY ANN &amp; WILLIAM OSBORNE SCH</t>
  </si>
  <si>
    <t>%,VK0513</t>
  </si>
  <si>
    <t>BLUE CROSS / JOHNSON SCHOLRSHP</t>
  </si>
  <si>
    <t>%,VK0514</t>
  </si>
  <si>
    <t>DAVID POOLE SCHOLARSHP</t>
  </si>
  <si>
    <t>%,VK0515</t>
  </si>
  <si>
    <t>ROBERT DOWNS SCHOLARSHIP</t>
  </si>
  <si>
    <t>%,VK0516</t>
  </si>
  <si>
    <t>STANLEY H. DURWOOD SCHOLARSHIP</t>
  </si>
  <si>
    <t>%,VK0517</t>
  </si>
  <si>
    <t>MEDICINE CLASS OF 1979</t>
  </si>
  <si>
    <t>%,VK0518</t>
  </si>
  <si>
    <t>MEDICINE CLASS OF 1980</t>
  </si>
  <si>
    <t>%,VK0519</t>
  </si>
  <si>
    <t>MEDICINE CLASS OF 1981</t>
  </si>
  <si>
    <t>%,VK0520</t>
  </si>
  <si>
    <t>MEDICINE CLASS OF 1982</t>
  </si>
  <si>
    <t>%,VK0521</t>
  </si>
  <si>
    <t>MEDICINE CLASS OF 1985</t>
  </si>
  <si>
    <t>%,VK0522</t>
  </si>
  <si>
    <t>MEDICINE CLASS OF 1986</t>
  </si>
  <si>
    <t>%,VK0523</t>
  </si>
  <si>
    <t>MEDICINE CLASS OF 1987</t>
  </si>
  <si>
    <t>%,VK0524</t>
  </si>
  <si>
    <t>MEDICINE CLASS OF 1989</t>
  </si>
  <si>
    <t>%,VK0525</t>
  </si>
  <si>
    <t>MEDICINE CLASS OF 1990</t>
  </si>
  <si>
    <t>%,VK0526</t>
  </si>
  <si>
    <t>MEDICINE CLASS OF 1995</t>
  </si>
  <si>
    <t>%,VK0527</t>
  </si>
  <si>
    <t>MEDICINE CLASS OF 2000</t>
  </si>
  <si>
    <t>%,VK0528</t>
  </si>
  <si>
    <t>ATHLETIC FOUNDATION SCHOLARSHP</t>
  </si>
  <si>
    <t>%,VK0529</t>
  </si>
  <si>
    <t>TUNG - DIMOND SCHOLARSHIP</t>
  </si>
  <si>
    <t>%,VK0530</t>
  </si>
  <si>
    <t>DR. GRACE ALBANO SCHOLARSHIP</t>
  </si>
  <si>
    <t>%,VK0531</t>
  </si>
  <si>
    <t>MICHAEL ALBANO SCHOLARSHIP</t>
  </si>
  <si>
    <t>%,VK0532</t>
  </si>
  <si>
    <t>BRADLEY L. BRADSHAW SCHOLARSHP</t>
  </si>
  <si>
    <t>%,VK0533</t>
  </si>
  <si>
    <t>THE ROSENTHAL FAMILY SCHOLRSHP</t>
  </si>
  <si>
    <t>%,VK0534</t>
  </si>
  <si>
    <t>THEATRE DEPARTMENT SCHOLARSHIP</t>
  </si>
  <si>
    <t>%,VK0535</t>
  </si>
  <si>
    <t>WILLIAM J. FRENCH SCHOLARSHIP</t>
  </si>
  <si>
    <t>%,VK0536</t>
  </si>
  <si>
    <t>MICHAEL WEAVER SCHOLARSHIP</t>
  </si>
  <si>
    <t>%,VK0538</t>
  </si>
  <si>
    <t>CARBONELL/SPALDING LIB STAFF</t>
  </si>
  <si>
    <t>%,VK0539</t>
  </si>
  <si>
    <t>STANLEY DEACON SCHOLARSHIP</t>
  </si>
  <si>
    <t>%,VK0540</t>
  </si>
  <si>
    <t>WIKTOR LABUNSKI SCHOLARSHIP</t>
  </si>
  <si>
    <t>%,VK0541</t>
  </si>
  <si>
    <t>PHYSICS SCHOLARSHIP</t>
  </si>
  <si>
    <t>%,VK0542</t>
  </si>
  <si>
    <t>HONORABLE KAREN MCCARTHY SCHP</t>
  </si>
  <si>
    <t>%,VK0543</t>
  </si>
  <si>
    <t>R. J. STERN FOUND- ART SCHP</t>
  </si>
  <si>
    <t>%,VK0544</t>
  </si>
  <si>
    <t>DR STEPHEN LEHMKUHLE IUE SCHP</t>
  </si>
  <si>
    <t>%,VK0545</t>
  </si>
  <si>
    <t>MEDICINE CLASS OF 2001</t>
  </si>
  <si>
    <t>%,VK0546</t>
  </si>
  <si>
    <t>GEOSCIENCES SCHOLARSHIP</t>
  </si>
  <si>
    <t>%,VK0547</t>
  </si>
  <si>
    <t>UMKC MUSLIM STU ASSOC. SCHLRSP</t>
  </si>
  <si>
    <t>%,VK0548</t>
  </si>
  <si>
    <t>MEDICINE CLASS OF 1991</t>
  </si>
  <si>
    <t>%,VK0549</t>
  </si>
  <si>
    <t>TIRA / FLYNN SCHOLARSHIP</t>
  </si>
  <si>
    <t>%,VK0550</t>
  </si>
  <si>
    <t>ACCURSO SCHOLARSHIP</t>
  </si>
  <si>
    <t>%,VK0551</t>
  </si>
  <si>
    <t>IDA BAMBERGER MEMORIAL RSCH</t>
  </si>
  <si>
    <t>%,VK0552</t>
  </si>
  <si>
    <t>IDA BAMBERGER MEMORIAL SCHP</t>
  </si>
  <si>
    <t>%,VK0555</t>
  </si>
  <si>
    <t>FRANCIS SECOND CENTURY SCHP</t>
  </si>
  <si>
    <t>%,VK0556</t>
  </si>
  <si>
    <t>ISLAMIC EDUCATIONAL SVCS SCHP</t>
  </si>
  <si>
    <t>%,VK0557</t>
  </si>
  <si>
    <t>MOHAMMED &amp; MUBEEN MOHIUDDIN</t>
  </si>
  <si>
    <t>%,VK0558</t>
  </si>
  <si>
    <t>CAMPUS FACILITIES MGMT MATCHNG</t>
  </si>
  <si>
    <t>%,VK0560</t>
  </si>
  <si>
    <t>WC / TURNER SCHOLARSHIP</t>
  </si>
  <si>
    <t>%,VK0561</t>
  </si>
  <si>
    <t>RICHARD T. GARCIA MEMORIAL AWD</t>
  </si>
  <si>
    <t>%,VK0562</t>
  </si>
  <si>
    <t>DST CONSERVATORY SCHOLARSHIP</t>
  </si>
  <si>
    <t>%,VK0563</t>
  </si>
  <si>
    <t>NAILLING SOCIETY SCHOLARSHIP</t>
  </si>
  <si>
    <t>%,VK0564</t>
  </si>
  <si>
    <t>ALUMNI ASSOCIATION SCHOLARSHIP</t>
  </si>
  <si>
    <t>%,VK0565</t>
  </si>
  <si>
    <t>THOMAS MCMORRIS SCHOLARSHIP</t>
  </si>
  <si>
    <t>%,VK0566</t>
  </si>
  <si>
    <t>HAMILTON AWARDS</t>
  </si>
  <si>
    <t>%,VK0567</t>
  </si>
  <si>
    <t>TRAVIS D.L. NEWSOME SCHOLARSHP</t>
  </si>
  <si>
    <t>%,VK0568</t>
  </si>
  <si>
    <t>INSTITUTE FOR URBAN EDUC SCHP</t>
  </si>
  <si>
    <t>%,VK0569</t>
  </si>
  <si>
    <t>MEDICINE CLASS OF 1996</t>
  </si>
  <si>
    <t>%,VK0570</t>
  </si>
  <si>
    <t>DR. FRED J. KNAPP SCHOLARHIP</t>
  </si>
  <si>
    <t>%,VK0571</t>
  </si>
  <si>
    <t>ATHLETICS MATCHING SCHOLARSHIP</t>
  </si>
  <si>
    <t>%,VK0572</t>
  </si>
  <si>
    <t>PAT D. DO, MD - ORTHOPAEDICS</t>
  </si>
  <si>
    <t>%,VK0573</t>
  </si>
  <si>
    <t>CHEMISTRY DEPARTMENT SCHP</t>
  </si>
  <si>
    <t>%,VK0574</t>
  </si>
  <si>
    <t>WOMEN'S COMMITTEE ANNIVERSARY</t>
  </si>
  <si>
    <t>%,VK0577</t>
  </si>
  <si>
    <t>UMKC TRUSTEES ANNIV -DENTISTRY</t>
  </si>
  <si>
    <t>%,VK0578</t>
  </si>
  <si>
    <t>UMKC TRUSTEES ANNIV - MUSIC</t>
  </si>
  <si>
    <t>%,VK0579</t>
  </si>
  <si>
    <t>Grad educ intersess-winter-res</t>
  </si>
  <si>
    <t>402800</t>
  </si>
  <si>
    <t>%,V403000</t>
  </si>
  <si>
    <t>Ext noncredit oncampus</t>
  </si>
  <si>
    <t>403000</t>
  </si>
  <si>
    <t>%,V403002</t>
  </si>
  <si>
    <t>Extension Credit Fees</t>
  </si>
  <si>
    <t>403002</t>
  </si>
  <si>
    <t>%,V403100</t>
  </si>
  <si>
    <t>Ext noncredit oncampus-non res</t>
  </si>
  <si>
    <t>403100</t>
  </si>
  <si>
    <t>%,V403200</t>
  </si>
  <si>
    <t>Ext noncredit offcampus</t>
  </si>
  <si>
    <t>403200</t>
  </si>
  <si>
    <t>%,V403400</t>
  </si>
  <si>
    <t>Ext credit oncampus</t>
  </si>
  <si>
    <t>403400</t>
  </si>
  <si>
    <t>%,V403700</t>
  </si>
  <si>
    <t>Ext Credit Off Campus</t>
  </si>
  <si>
    <t>403700</t>
  </si>
  <si>
    <t>%,V403750</t>
  </si>
  <si>
    <t>Ext Credit Ofcampus - Resident</t>
  </si>
  <si>
    <t>403750</t>
  </si>
  <si>
    <t>%,V404000</t>
  </si>
  <si>
    <t>Supplemental fees-summer ungrd</t>
  </si>
  <si>
    <t>404000</t>
  </si>
  <si>
    <t>%,V404001</t>
  </si>
  <si>
    <t>Supplemental Fees</t>
  </si>
  <si>
    <t>404001</t>
  </si>
  <si>
    <t>%,V404010</t>
  </si>
  <si>
    <t>Supp Fees - Summer Grad Prof</t>
  </si>
  <si>
    <t>404010</t>
  </si>
  <si>
    <t>%,V404100</t>
  </si>
  <si>
    <t>Supplemental fees-fall ungrd</t>
  </si>
  <si>
    <t>404100</t>
  </si>
  <si>
    <t>%,V404110</t>
  </si>
  <si>
    <t>Supp Fee - Fall Grad Proff</t>
  </si>
  <si>
    <t>404110</t>
  </si>
  <si>
    <t>%,V404200</t>
  </si>
  <si>
    <t>Supplemental fees-winter ungrd</t>
  </si>
  <si>
    <t>404200</t>
  </si>
  <si>
    <t>%,V404210</t>
  </si>
  <si>
    <t>Supp Fee - Winter Grad Prof</t>
  </si>
  <si>
    <t>404210</t>
  </si>
  <si>
    <t>%,V404310</t>
  </si>
  <si>
    <t>Supp Fee - Sum Inter Grad Prof</t>
  </si>
  <si>
    <t>404310</t>
  </si>
  <si>
    <t>%,V404500</t>
  </si>
  <si>
    <t>Instructional computing-summer</t>
  </si>
  <si>
    <t>404500</t>
  </si>
  <si>
    <t>%,V404501</t>
  </si>
  <si>
    <t>Instructional Computing Fees</t>
  </si>
  <si>
    <t>404501</t>
  </si>
  <si>
    <t>%,V404510</t>
  </si>
  <si>
    <t>Instructional Computing - fall</t>
  </si>
  <si>
    <t>404510</t>
  </si>
  <si>
    <t>%,V404520</t>
  </si>
  <si>
    <t>Instructional comput - winter</t>
  </si>
  <si>
    <t>404520</t>
  </si>
  <si>
    <t>%,V404900</t>
  </si>
  <si>
    <t>Instructional comput-win-inter</t>
  </si>
  <si>
    <t>404900</t>
  </si>
  <si>
    <t>%,V405000</t>
  </si>
  <si>
    <t>Other misc educational fees</t>
  </si>
  <si>
    <t>405000</t>
  </si>
  <si>
    <t>%,V405100</t>
  </si>
  <si>
    <t>Late Payment Fee</t>
  </si>
  <si>
    <t>405100</t>
  </si>
  <si>
    <t>%,V405200</t>
  </si>
  <si>
    <t>Student Finance Charges</t>
  </si>
  <si>
    <t>405200</t>
  </si>
  <si>
    <t>%,V406000</t>
  </si>
  <si>
    <t>Activ &amp; facility fees-summer</t>
  </si>
  <si>
    <t>406000</t>
  </si>
  <si>
    <t>%,V406001</t>
  </si>
  <si>
    <t>Activity &amp; Facility Fees</t>
  </si>
  <si>
    <t>406001</t>
  </si>
  <si>
    <t>%,V406010</t>
  </si>
  <si>
    <t>Activ &amp; Fac Fees-Sum-Undergrad</t>
  </si>
  <si>
    <t>406010</t>
  </si>
  <si>
    <t>%,V406020</t>
  </si>
  <si>
    <t>Act &amp; Fac Fees Sum Grad &amp;Prof</t>
  </si>
  <si>
    <t>406020</t>
  </si>
  <si>
    <t>%,V406100</t>
  </si>
  <si>
    <t>Activity &amp; facility fees-fall</t>
  </si>
  <si>
    <t>406100</t>
  </si>
  <si>
    <t>%,V406110</t>
  </si>
  <si>
    <t>Act Fac Fees-fall-undergrad</t>
  </si>
  <si>
    <t>406110</t>
  </si>
  <si>
    <t>%,V406120</t>
  </si>
  <si>
    <t>Act &amp; Fac Fees Fall grad&amp;prof</t>
  </si>
  <si>
    <t>406120</t>
  </si>
  <si>
    <t>%,V406200</t>
  </si>
  <si>
    <t>Activ &amp; facility fees-winter</t>
  </si>
  <si>
    <t>406200</t>
  </si>
  <si>
    <t>%,V406210</t>
  </si>
  <si>
    <t>Act &amp; Fac Fees-winter-undergra</t>
  </si>
  <si>
    <t>406210</t>
  </si>
  <si>
    <t>%,V406220</t>
  </si>
  <si>
    <t>Act&amp;Fac Fees winter grad&amp;prof</t>
  </si>
  <si>
    <t>406220</t>
  </si>
  <si>
    <t>%,V406400</t>
  </si>
  <si>
    <t>Act &amp; facility fees-win-inter</t>
  </si>
  <si>
    <t>406400</t>
  </si>
  <si>
    <t>%,V406420</t>
  </si>
  <si>
    <t>Act&amp;Fac fees win inter grad&amp;pr</t>
  </si>
  <si>
    <t>406420</t>
  </si>
  <si>
    <t>%,R,FACCOUNT,TGASB_34_35,X,NSTUDENT FEES</t>
  </si>
  <si>
    <t>Student Fees</t>
  </si>
  <si>
    <t>%,V760001</t>
  </si>
  <si>
    <t>Student aid</t>
  </si>
  <si>
    <t>760001</t>
  </si>
  <si>
    <t>%,V760100</t>
  </si>
  <si>
    <t>Undergraduate resident</t>
  </si>
  <si>
    <t>760100</t>
  </si>
  <si>
    <t>%,V760200</t>
  </si>
  <si>
    <t>Undergraduate non-resident</t>
  </si>
  <si>
    <t>760200</t>
  </si>
  <si>
    <t>%,V760300</t>
  </si>
  <si>
    <t>Graduate   resident</t>
  </si>
  <si>
    <t>760300</t>
  </si>
  <si>
    <t>%,V760400</t>
  </si>
  <si>
    <t>Graduate  non-resident</t>
  </si>
  <si>
    <t>760400</t>
  </si>
  <si>
    <t>%,V760500</t>
  </si>
  <si>
    <t>Professional resident</t>
  </si>
  <si>
    <t>760500</t>
  </si>
  <si>
    <t>%,V760600</t>
  </si>
  <si>
    <t>Professional non resident</t>
  </si>
  <si>
    <t>760600</t>
  </si>
  <si>
    <t>%,V760700</t>
  </si>
  <si>
    <t>Undergrad fee waivers resident</t>
  </si>
  <si>
    <t>760700</t>
  </si>
  <si>
    <t>%,V760800</t>
  </si>
  <si>
    <t>Undergrad fee waivers non res</t>
  </si>
  <si>
    <t>760800</t>
  </si>
  <si>
    <t>%,V760900</t>
  </si>
  <si>
    <t>Graduate fee waivers resident</t>
  </si>
  <si>
    <t>760900</t>
  </si>
  <si>
    <t>%,V761000</t>
  </si>
  <si>
    <t>Graduate fee waivers non res</t>
  </si>
  <si>
    <t>761000</t>
  </si>
  <si>
    <t>%,V762000</t>
  </si>
  <si>
    <t>Room and Board Waivers</t>
  </si>
  <si>
    <t>762000</t>
  </si>
  <si>
    <t>%,V763000</t>
  </si>
  <si>
    <t>GASB35 Scholar&amp;Fellow Offset</t>
  </si>
  <si>
    <t>763000</t>
  </si>
  <si>
    <t>%,FACCOUNT,TGASB_34_35,X,NSTUDENT AID</t>
  </si>
  <si>
    <t xml:space="preserve">     Net Student Fees</t>
  </si>
  <si>
    <t>%,R,FACCOUNT,TGASB_34_35,X,NFEDERAL GRANTS</t>
  </si>
  <si>
    <t>%,V492000</t>
  </si>
  <si>
    <t>Grants - other gov't</t>
  </si>
  <si>
    <t>492000</t>
  </si>
  <si>
    <t>%,R,FACCOUNT,TGASB_34_35,X,NOTHER GOVT GRANTS,NSTATE GRANTS</t>
  </si>
  <si>
    <t>%,V493600</t>
  </si>
  <si>
    <t>Grants-other foundations</t>
  </si>
  <si>
    <t>493600</t>
  </si>
  <si>
    <t>%,V493700</t>
  </si>
  <si>
    <t>Grants-other organization-cash</t>
  </si>
  <si>
    <t>493700</t>
  </si>
  <si>
    <t>%,R,FACCOUNT,TGASB_34_35,X,NPRIVATE GRANTS</t>
  </si>
  <si>
    <t>%,V420001</t>
  </si>
  <si>
    <t>Sales of aux enter/educ activ</t>
  </si>
  <si>
    <t>420001</t>
  </si>
  <si>
    <t>%,V420100</t>
  </si>
  <si>
    <t>Taxable Primary sales aux/educ</t>
  </si>
  <si>
    <t>420100</t>
  </si>
  <si>
    <t>%,V420400</t>
  </si>
  <si>
    <t>Taxable Primary-concert ticket</t>
  </si>
  <si>
    <t>420400</t>
  </si>
  <si>
    <t>%,V430000</t>
  </si>
  <si>
    <t>Non Taxable sales</t>
  </si>
  <si>
    <t>430000</t>
  </si>
  <si>
    <t>%,V431200</t>
  </si>
  <si>
    <t>Non Taxable-conference revenue</t>
  </si>
  <si>
    <t>431200</t>
  </si>
  <si>
    <t>%,V431400</t>
  </si>
  <si>
    <t>Non Taxable-department charges</t>
  </si>
  <si>
    <t>431400</t>
  </si>
  <si>
    <t>%,V431800</t>
  </si>
  <si>
    <t>Non Tax-parking fees-summer</t>
  </si>
  <si>
    <t>431800</t>
  </si>
  <si>
    <t>%,V432000</t>
  </si>
  <si>
    <t>Non Tax-parking fees-winter</t>
  </si>
  <si>
    <t>432000</t>
  </si>
  <si>
    <t>%,V432100</t>
  </si>
  <si>
    <t>Non Tax-parking fees-other</t>
  </si>
  <si>
    <t>432100</t>
  </si>
  <si>
    <t>%,V432200</t>
  </si>
  <si>
    <t>Non Taxable-user fees</t>
  </si>
  <si>
    <t>432200</t>
  </si>
  <si>
    <t>%,R,FACCOUNT,TGASB_34_35,X,NSALES OF AUX/EDUC</t>
  </si>
  <si>
    <t>Sales and Services of Education Activities</t>
  </si>
  <si>
    <t>Auxiliary Enterprises:</t>
  </si>
  <si>
    <t xml:space="preserve">   Patient Care Facilities</t>
  </si>
  <si>
    <t xml:space="preserve">   Housing and Dining Services</t>
  </si>
  <si>
    <t xml:space="preserve">   Bookstores</t>
  </si>
  <si>
    <t>%,V435526</t>
  </si>
  <si>
    <t>Outpatient-clinic</t>
  </si>
  <si>
    <t>435526</t>
  </si>
  <si>
    <t>%,V435531</t>
  </si>
  <si>
    <t>Emergency -no insurance</t>
  </si>
  <si>
    <t>435531</t>
  </si>
  <si>
    <t>%,V436060</t>
  </si>
  <si>
    <t>Non Taxable - Special Contract</t>
  </si>
  <si>
    <t>436060</t>
  </si>
  <si>
    <t>%,V436070</t>
  </si>
  <si>
    <t>Non Taxable - Other Coll/Contr</t>
  </si>
  <si>
    <t>436070</t>
  </si>
  <si>
    <t>%,R,FACCOUNT,TGASB_34_35,X,NPATIENT MED SERV</t>
  </si>
  <si>
    <t xml:space="preserve">   Other Medical Services</t>
  </si>
  <si>
    <t xml:space="preserve">   Other Auxilliary Enterprises</t>
  </si>
  <si>
    <t>%,R,FACCOUNT,TGASB_34_35,X,NINTEREST NOTES REC,NLOAN FUND DEDUCT</t>
  </si>
  <si>
    <t>%,V494001</t>
  </si>
  <si>
    <t>Misc Revenue</t>
  </si>
  <si>
    <t>494001</t>
  </si>
  <si>
    <t>%,V494100</t>
  </si>
  <si>
    <t>Misc Revenue-tax primary Loc</t>
  </si>
  <si>
    <t>494100</t>
  </si>
  <si>
    <t>%,V495000</t>
  </si>
  <si>
    <t>Misc Revenue-non taxable</t>
  </si>
  <si>
    <t>495000</t>
  </si>
  <si>
    <t>%,V495050</t>
  </si>
  <si>
    <t>Royalties</t>
  </si>
  <si>
    <t>495050</t>
  </si>
  <si>
    <t>%,V495200</t>
  </si>
  <si>
    <t>Non tax misc rev-commissions</t>
  </si>
  <si>
    <t>495200</t>
  </si>
  <si>
    <t>%,V495300</t>
  </si>
  <si>
    <t>Non tax misc rev-rental income</t>
  </si>
  <si>
    <t>495300</t>
  </si>
  <si>
    <t>%,V495500</t>
  </si>
  <si>
    <t>Non tax m r-service &amp; repairs</t>
  </si>
  <si>
    <t>495500</t>
  </si>
  <si>
    <t>%,V496000</t>
  </si>
  <si>
    <t>Non tax m r-post office</t>
  </si>
  <si>
    <t>496000</t>
  </si>
  <si>
    <t>%,V496200</t>
  </si>
  <si>
    <t>Non tax m r-finance services</t>
  </si>
  <si>
    <t>496200</t>
  </si>
  <si>
    <t>%,V496999</t>
  </si>
  <si>
    <t>Other revenues</t>
  </si>
  <si>
    <t>496999</t>
  </si>
  <si>
    <t>%,V499100</t>
  </si>
  <si>
    <t>Recov of F &amp; A-applicable f&amp;a</t>
  </si>
  <si>
    <t>499100</t>
  </si>
  <si>
    <t>%,R,FACCOUNT,TGASB_34_35,X,NOTHER OPERATING REV</t>
  </si>
  <si>
    <t xml:space="preserve">       Total Operating Revenues</t>
  </si>
  <si>
    <t>Operating Expenses:</t>
  </si>
  <si>
    <t>%,V701000</t>
  </si>
  <si>
    <t>S&amp;W-Rank Fac(tenure &amp; ten tr)</t>
  </si>
  <si>
    <t>701000</t>
  </si>
  <si>
    <t>%,V702000</t>
  </si>
  <si>
    <t>S&amp;W-Ranked Faculty - other</t>
  </si>
  <si>
    <t>702000</t>
  </si>
  <si>
    <t>%,V703000</t>
  </si>
  <si>
    <t>S&amp;W-Other Teach &amp; Res Staff</t>
  </si>
  <si>
    <t>703000</t>
  </si>
  <si>
    <t>%,V704000</t>
  </si>
  <si>
    <t>S&amp;W-GTA's/GRA's</t>
  </si>
  <si>
    <t>704000</t>
  </si>
  <si>
    <t>%,V705100</t>
  </si>
  <si>
    <t>S&amp;W-Executive/Admin</t>
  </si>
  <si>
    <t>705100</t>
  </si>
  <si>
    <t>%,V705200</t>
  </si>
  <si>
    <t>S&amp;W-Professional</t>
  </si>
  <si>
    <t>705200</t>
  </si>
  <si>
    <t>%,V706200</t>
  </si>
  <si>
    <t>S&amp;W-Non-Exempt Technical</t>
  </si>
  <si>
    <t>706200</t>
  </si>
  <si>
    <t>%,V706300</t>
  </si>
  <si>
    <t>S&amp;W-Non-Exempt Office/clerical</t>
  </si>
  <si>
    <t>706300</t>
  </si>
  <si>
    <t>%,V706400</t>
  </si>
  <si>
    <t>S&amp;W-Non-Exempt Crafts &amp; Trades</t>
  </si>
  <si>
    <t>706400</t>
  </si>
  <si>
    <t>%,V706500</t>
  </si>
  <si>
    <t>S&amp;W-Non-Exempt Service</t>
  </si>
  <si>
    <t>706500</t>
  </si>
  <si>
    <t>%,V707100</t>
  </si>
  <si>
    <t>S&amp;W-Student employees</t>
  </si>
  <si>
    <t>707100</t>
  </si>
  <si>
    <t>%,V708000</t>
  </si>
  <si>
    <t>S&amp;W-Other</t>
  </si>
  <si>
    <t>708000</t>
  </si>
  <si>
    <t>%,V708200</t>
  </si>
  <si>
    <t>S&amp;W-Accrued vacation</t>
  </si>
  <si>
    <t>708200</t>
  </si>
  <si>
    <t>%,V708300</t>
  </si>
  <si>
    <t>S&amp;W-Non-payroll salaries</t>
  </si>
  <si>
    <t>708300</t>
  </si>
  <si>
    <t>%,FACCOUNT,TGASB_34_35,X,NSALARIES</t>
  </si>
  <si>
    <t>%,V710100</t>
  </si>
  <si>
    <t>SB-Ranked Fac (ten &amp; ten tr)</t>
  </si>
  <si>
    <t>710100</t>
  </si>
  <si>
    <t>%,V710200</t>
  </si>
  <si>
    <t>SB-Ranked Faculty - other</t>
  </si>
  <si>
    <t>710200</t>
  </si>
  <si>
    <t>%,V710300</t>
  </si>
  <si>
    <t>SB-Other teaching and research</t>
  </si>
  <si>
    <t>710300</t>
  </si>
  <si>
    <t>%,V710400</t>
  </si>
  <si>
    <t>SB-GTA's/GRA's</t>
  </si>
  <si>
    <t>710400</t>
  </si>
  <si>
    <t>%,V710500</t>
  </si>
  <si>
    <t>SB-Executive/Admin</t>
  </si>
  <si>
    <t>710500</t>
  </si>
  <si>
    <t>%,V710600</t>
  </si>
  <si>
    <t>SB-Professional</t>
  </si>
  <si>
    <t>710600</t>
  </si>
  <si>
    <t>%,V710800</t>
  </si>
  <si>
    <t>SB-Non-Exempt Technical</t>
  </si>
  <si>
    <t>710800</t>
  </si>
  <si>
    <t>%,V710900</t>
  </si>
  <si>
    <t>SB-Non-Exempt Office/clerical</t>
  </si>
  <si>
    <t>710900</t>
  </si>
  <si>
    <t>%,V711000</t>
  </si>
  <si>
    <t>SB-Non-Exempt Crafts and Trade</t>
  </si>
  <si>
    <t>711000</t>
  </si>
  <si>
    <t>%,V711100</t>
  </si>
  <si>
    <t>SB-Non-Exempt Service</t>
  </si>
  <si>
    <t>711100</t>
  </si>
  <si>
    <t>%,V711200</t>
  </si>
  <si>
    <t>SB-Non-Exempt Students</t>
  </si>
  <si>
    <t>711200</t>
  </si>
  <si>
    <t>%,V712000</t>
  </si>
  <si>
    <t>SB-Accrued benefits</t>
  </si>
  <si>
    <t>712000</t>
  </si>
  <si>
    <t>%,V713000</t>
  </si>
  <si>
    <t>SB-Non-payroll salaries</t>
  </si>
  <si>
    <t>713000</t>
  </si>
  <si>
    <t>%,V715000</t>
  </si>
  <si>
    <t>SB-Moving expense</t>
  </si>
  <si>
    <t>715000</t>
  </si>
  <si>
    <t>%,V717000</t>
  </si>
  <si>
    <t>SB-Vacation liability</t>
  </si>
  <si>
    <t>717000</t>
  </si>
  <si>
    <t>%,V718000</t>
  </si>
  <si>
    <t>SB-Other</t>
  </si>
  <si>
    <t>718000</t>
  </si>
  <si>
    <t>%,FACCOUNT,TGASB_34_35,X,NSTAFF BENEFITS</t>
  </si>
  <si>
    <t>%,V450000</t>
  </si>
  <si>
    <t>Internal sales &amp; services</t>
  </si>
  <si>
    <t>450000</t>
  </si>
  <si>
    <t>%,V600000</t>
  </si>
  <si>
    <t>Cost of Goods Sold</t>
  </si>
  <si>
    <t>600000</t>
  </si>
  <si>
    <t>%,V600500</t>
  </si>
  <si>
    <t>COGS Clothing</t>
  </si>
  <si>
    <t>600500</t>
  </si>
  <si>
    <t>%,V600700</t>
  </si>
  <si>
    <t>COGS Commissioned item</t>
  </si>
  <si>
    <t>600700</t>
  </si>
  <si>
    <t>%,V600800</t>
  </si>
  <si>
    <t>COGS Computer supplies</t>
  </si>
  <si>
    <t>600800</t>
  </si>
  <si>
    <t>%,V600900</t>
  </si>
  <si>
    <t>COGS Contacts</t>
  </si>
  <si>
    <t>600900</t>
  </si>
  <si>
    <t>%,V601100</t>
  </si>
  <si>
    <t>COGS Custom publishing</t>
  </si>
  <si>
    <t>601100</t>
  </si>
  <si>
    <t>%,V601400</t>
  </si>
  <si>
    <t>COGS Freight</t>
  </si>
  <si>
    <t>601400</t>
  </si>
  <si>
    <t>%,V602300</t>
  </si>
  <si>
    <t>COGS Line/Equip pass thru</t>
  </si>
  <si>
    <t>602300</t>
  </si>
  <si>
    <t>%,V602900</t>
  </si>
  <si>
    <t>COGS Newspapers</t>
  </si>
  <si>
    <t>602900</t>
  </si>
  <si>
    <t>%,V603000</t>
  </si>
  <si>
    <t>COGS Paper</t>
  </si>
  <si>
    <t>603000</t>
  </si>
  <si>
    <t>%,V603100</t>
  </si>
  <si>
    <t>COGS Printing</t>
  </si>
  <si>
    <t>603100</t>
  </si>
  <si>
    <t>%,V603200</t>
  </si>
  <si>
    <t>COGS Raw material</t>
  </si>
  <si>
    <t>603200</t>
  </si>
  <si>
    <t>%,V603400</t>
  </si>
  <si>
    <t>COGS Sealed bid return</t>
  </si>
  <si>
    <t>603400</t>
  </si>
  <si>
    <t>%,V603800</t>
  </si>
  <si>
    <t>COGS Supplies</t>
  </si>
  <si>
    <t>603800</t>
  </si>
  <si>
    <t>%,V604100</t>
  </si>
  <si>
    <t>COGS Electronics</t>
  </si>
  <si>
    <t>604100</t>
  </si>
  <si>
    <t>%,V721000</t>
  </si>
  <si>
    <t>Business travel &amp; meeting exp.</t>
  </si>
  <si>
    <t>721000</t>
  </si>
  <si>
    <t>%,V721100</t>
  </si>
  <si>
    <t>Bus travel-domestic-in state</t>
  </si>
  <si>
    <t>721100</t>
  </si>
  <si>
    <t>%,V721200</t>
  </si>
  <si>
    <t>Bus travel-domestic-out state</t>
  </si>
  <si>
    <t>721200</t>
  </si>
  <si>
    <t>%,V721300</t>
  </si>
  <si>
    <t>Bus travel-foreign</t>
  </si>
  <si>
    <t>721300</t>
  </si>
  <si>
    <t>%,V721400</t>
  </si>
  <si>
    <t>Bus travel-job candidate exp</t>
  </si>
  <si>
    <t>721400</t>
  </si>
  <si>
    <t>%,V721410</t>
  </si>
  <si>
    <t>Charter Travel</t>
  </si>
  <si>
    <t>721410</t>
  </si>
  <si>
    <t>%,V721420</t>
  </si>
  <si>
    <t>Commercial Travel</t>
  </si>
  <si>
    <t>721420</t>
  </si>
  <si>
    <t>%,V721430</t>
  </si>
  <si>
    <t>Team Travel</t>
  </si>
  <si>
    <t>721430</t>
  </si>
  <si>
    <t>%,V721450</t>
  </si>
  <si>
    <t>Recruiting Travel</t>
  </si>
  <si>
    <t>721450</t>
  </si>
  <si>
    <t>%,V721460</t>
  </si>
  <si>
    <t>Public Relations</t>
  </si>
  <si>
    <t>721460</t>
  </si>
  <si>
    <t>%,V721500</t>
  </si>
  <si>
    <t>Bus mtg expense-equip rental</t>
  </si>
  <si>
    <t>721500</t>
  </si>
  <si>
    <t>%,V721600</t>
  </si>
  <si>
    <t>Business mtg exp-room rental</t>
  </si>
  <si>
    <t>721600</t>
  </si>
  <si>
    <t>%,V721700</t>
  </si>
  <si>
    <t>Business mtg exp-food catering</t>
  </si>
  <si>
    <t>LEOFFELHOLZ FAMILY SCHOLARSHIP</t>
  </si>
  <si>
    <t>%,VK0581</t>
  </si>
  <si>
    <t>PATRICIA LONG SCHOLARSHIP</t>
  </si>
  <si>
    <t>%,VK0582</t>
  </si>
  <si>
    <t>MAX FOUST SCHOLARSHIP</t>
  </si>
  <si>
    <t>%,VK0583</t>
  </si>
  <si>
    <t>MEDICINE CLASS OF 2006</t>
  </si>
  <si>
    <t>%,VK0585</t>
  </si>
  <si>
    <t>DR JIM PHILLIPS SCHLSP-PHYSICS</t>
  </si>
  <si>
    <t>%,VK0586</t>
  </si>
  <si>
    <t>REGINA REYNOLDS SCHOLARSHIP</t>
  </si>
  <si>
    <t>%,VK0587</t>
  </si>
  <si>
    <t>SHIRLEY &amp; BARNETT HELZBERG SCH</t>
  </si>
  <si>
    <t>%,VK0588</t>
  </si>
  <si>
    <t>VIRGINIA KELLEY CONSERVATORY</t>
  </si>
  <si>
    <t>%,VK0589</t>
  </si>
  <si>
    <t>SUNDERLAND FAMILY SCHOLARSHIP</t>
  </si>
  <si>
    <t>%,VK0590</t>
  </si>
  <si>
    <t>RALPH &amp; ROLAINE ANDERSON SCHP</t>
  </si>
  <si>
    <t>%,VK0591</t>
  </si>
  <si>
    <t>NANCY &amp; GORDON BEAHAM SCHP</t>
  </si>
  <si>
    <t>%,VK0592</t>
  </si>
  <si>
    <t>PATRICIA B. JONES SCHOLARSHIP</t>
  </si>
  <si>
    <t>%,VK0593</t>
  </si>
  <si>
    <t>LANDON AND SARAH ROWLAND SCHP</t>
  </si>
  <si>
    <t>%,VK0594</t>
  </si>
  <si>
    <t>JILL AND DON HALL JR., SCHP</t>
  </si>
  <si>
    <t>%,VK0595</t>
  </si>
  <si>
    <t>FRIENDS OF THE CONSERVATORY</t>
  </si>
  <si>
    <t>%,VK0596</t>
  </si>
  <si>
    <t>SCE FACULTY &amp; STAFF SCHOLARSHP</t>
  </si>
  <si>
    <t>%,VK0597</t>
  </si>
  <si>
    <t>HDR ENGINEERING SCHOLARSHIP</t>
  </si>
  <si>
    <t>%,VK0598</t>
  </si>
  <si>
    <t>JEANNETTE NICHOLS SCHOLARSHIP</t>
  </si>
  <si>
    <t>%,VK0599</t>
  </si>
  <si>
    <t>MURIEL MCBRIEN KAUFFMAN SCHP</t>
  </si>
  <si>
    <t>%,VK0600</t>
  </si>
  <si>
    <t>INGRAM FAMILY SCHOLARSHIP</t>
  </si>
  <si>
    <t>%,VK0601</t>
  </si>
  <si>
    <t>PATRICIA MOLL THOMPSON SCHP</t>
  </si>
  <si>
    <t>%,VK4955</t>
  </si>
  <si>
    <t>%,VK4957</t>
  </si>
  <si>
    <t>%,VK4983</t>
  </si>
  <si>
    <t>%,VK4984</t>
  </si>
  <si>
    <t>%,VK5003</t>
  </si>
  <si>
    <t>%,VK5004</t>
  </si>
  <si>
    <t>%,FFUND_CODE,TFUND,NTRUE_ENDOW_NONEXP,FPROGRAM_CODE,TGASB_34_35_PROGRAM,X,NENDOWMENT,NLOAN,NRESTGIFTS</t>
  </si>
  <si>
    <t>TOTAL INCOME RESTRICTED</t>
  </si>
  <si>
    <t xml:space="preserve">        TOTAL ENDOWMENT FUNDS</t>
  </si>
  <si>
    <t>QUASI ENDOWMENT FUNDS:</t>
  </si>
  <si>
    <t>%,VK0001</t>
  </si>
  <si>
    <t>WARD ADAMS DENTAL S</t>
  </si>
  <si>
    <t>%,VK0012</t>
  </si>
  <si>
    <t>HELEN BOYLAN FDTN</t>
  </si>
  <si>
    <t>%,VK0015</t>
  </si>
  <si>
    <t>D BROOKFIELD SCHP</t>
  </si>
  <si>
    <t>%,VK0029</t>
  </si>
  <si>
    <t>E CRAVENS MEMORIAL</t>
  </si>
  <si>
    <t>%,VK0090</t>
  </si>
  <si>
    <t>JAMES LYNN MEMORIAL</t>
  </si>
  <si>
    <t>%,VK0092</t>
  </si>
  <si>
    <t>MARGOLIS PHARMACY FD</t>
  </si>
  <si>
    <t>%,VK0097</t>
  </si>
  <si>
    <t>MED SCHOOL SCHP FUND</t>
  </si>
  <si>
    <t>%,VK0102</t>
  </si>
  <si>
    <t>G MORGOLUS MEM SCHP</t>
  </si>
  <si>
    <t>%,VK0112</t>
  </si>
  <si>
    <t>WM &amp; CATH REPP MEM</t>
  </si>
  <si>
    <t>%,VK0128</t>
  </si>
  <si>
    <t>HUGH SPEER FELLOW</t>
  </si>
  <si>
    <t>%,VK0138</t>
  </si>
  <si>
    <t>UMKC TALENT SCHOLARS</t>
  </si>
  <si>
    <t>%,VK0151</t>
  </si>
  <si>
    <t>DAVID WILLOCK FUND</t>
  </si>
  <si>
    <t>%,VK0157</t>
  </si>
  <si>
    <t>BEISTLE MEM RESCH FD</t>
  </si>
  <si>
    <t>%,VK0160</t>
  </si>
  <si>
    <t>R K BERNARD LIBR FD</t>
  </si>
  <si>
    <t>%,VK0164</t>
  </si>
  <si>
    <t>NEW HORIZONS ENDOW</t>
  </si>
  <si>
    <t>%,VK0182</t>
  </si>
  <si>
    <t>ELIZABETH EGE FUND</t>
  </si>
  <si>
    <t>%,VK0183</t>
  </si>
  <si>
    <t>DEAN ELLISON PROFLAW</t>
  </si>
  <si>
    <t>%,VK0189</t>
  </si>
  <si>
    <t>FLARSHEIM BEUTIF FD</t>
  </si>
  <si>
    <t>%,VK0196</t>
  </si>
  <si>
    <t>H HASKELL PROF-SOCSC</t>
  </si>
  <si>
    <t>%,VK0217</t>
  </si>
  <si>
    <t>B MCCOLLUM - DENT</t>
  </si>
  <si>
    <t>%,VK0222</t>
  </si>
  <si>
    <t>S MORRISON INT MED</t>
  </si>
  <si>
    <t>%,VK0227</t>
  </si>
  <si>
    <t>E PIERSON FUND</t>
  </si>
  <si>
    <t>%,VK0228</t>
  </si>
  <si>
    <t>PIERSON MAINT &amp; LEC</t>
  </si>
  <si>
    <t>%,VK0229</t>
  </si>
  <si>
    <t>PHMC EDUCATION FUND</t>
  </si>
  <si>
    <t>%,VK0232</t>
  </si>
  <si>
    <t>M RINEHART FAC DEV</t>
  </si>
  <si>
    <t>%,VK0238</t>
  </si>
  <si>
    <t>NORMAN H ROYALL FUND</t>
  </si>
  <si>
    <t>%,VK0239</t>
  </si>
  <si>
    <t>BIO SCI RESEARCH ENH</t>
  </si>
  <si>
    <t>%,VK0250</t>
  </si>
  <si>
    <t>JOHN STRANDBERG LIB</t>
  </si>
  <si>
    <t>%,VK0255</t>
  </si>
  <si>
    <t>NELL STEVENSON FUND</t>
  </si>
  <si>
    <t>%,VK0259</t>
  </si>
  <si>
    <t>TYLER CHILDREN FUND</t>
  </si>
  <si>
    <t>%,VK0260</t>
  </si>
  <si>
    <t>UNIV LIBR SOUND ARCH</t>
  </si>
  <si>
    <t>%,VK0270</t>
  </si>
  <si>
    <t>RHETA SOSLAND CHLD &amp; FAM DVLP</t>
  </si>
  <si>
    <t>%,VK0311</t>
  </si>
  <si>
    <t>BARTHOLOMEW FUND</t>
  </si>
  <si>
    <t>%,VK0312</t>
  </si>
  <si>
    <t>UMKC BLACK SCHP</t>
  </si>
  <si>
    <t>%,VK0379</t>
  </si>
  <si>
    <t>LIFE MEMBER FUND</t>
  </si>
  <si>
    <t>%,VK0380</t>
  </si>
  <si>
    <t>NORMAN L. SCHWARTZ MEM FUND</t>
  </si>
  <si>
    <t>%,VK0381</t>
  </si>
  <si>
    <t>TALENT FUND</t>
  </si>
  <si>
    <t>%,VK0392</t>
  </si>
  <si>
    <t>BARR INST FOR AMER COMP STUDY</t>
  </si>
  <si>
    <t>%,VK0445</t>
  </si>
  <si>
    <t>ASCE GEOTECHNICAL - CIVIL ENG</t>
  </si>
  <si>
    <t>%,VK0501</t>
  </si>
  <si>
    <t>SECOND CENTURY SCHOLARSHIP</t>
  </si>
  <si>
    <t>%,VK0553</t>
  </si>
  <si>
    <t>BLUE AND GOLD SCHOLARSHIP</t>
  </si>
  <si>
    <t>%,FPROGRAM_CODE,TGASB_34_35_PROGRAM,X,NENDOWMENT,NLOAN,NRESTGIFTS,FFUND_CODE,TGASB_34_35_FUND,NQUASI_ENDOW_EXPEND,NQUASI_ENDOW_NONEXP</t>
  </si>
  <si>
    <t>INCOME UNRESTRICTED -</t>
  </si>
  <si>
    <t>%,FFUND_CODE,TFUND,NQUASI_ENDOWMT_UNR,FPROGRAM_CODE,TGASB_34_35_PROGRAM,X,NENDOWMENT,NLOAN,NRESTGIFTS</t>
  </si>
  <si>
    <t>TOTAL INCOME UNRESTRICTED</t>
  </si>
  <si>
    <t xml:space="preserve">        TOTAL QUASI ENDOWMENT FUNDS</t>
  </si>
  <si>
    <t>UNITRUST, LIFE INCOME AND CHARITABLE GIFT FUNDS:</t>
  </si>
  <si>
    <t>UNITRUST FUNDS -</t>
  </si>
  <si>
    <t>%,VK0307</t>
  </si>
  <si>
    <t>GOODALE UNITRUST</t>
  </si>
  <si>
    <t>%,FPROGRAM_CODE,TGASB_34_35_PROGRAM,X,NENDOWMENT,NLOAN,NRESTGIFTS,FFUND_CODE,TGASB_34_35_FUND,NUNITRUSTS_EXPENDABLE,NUNITRUSTS_NONEXP</t>
  </si>
  <si>
    <t>TOTAL UNITRUST FUNDS</t>
  </si>
  <si>
    <t>LIFE INCOME FUNDS -</t>
  </si>
  <si>
    <t>%,VK0308</t>
  </si>
  <si>
    <t>E TILFORD LIFE INC</t>
  </si>
  <si>
    <t>%,FPROGRAM_CODE,TGASB_34_35_PROGRAM,X,NENDOWMENT,NLOAN,NRESTGIFTS,FFUND_CODE,TGASB_34_35_FUND,NLIFE_INC_EXPENDABLE,NLIFE_INC_NONEXP</t>
  </si>
  <si>
    <t>TOTAL LIFE INCOME FUNDS</t>
  </si>
  <si>
    <t>CHARITABLE GIFT ANNUITY FUNDS -</t>
  </si>
  <si>
    <t>%,VK0584</t>
  </si>
  <si>
    <t>BOB E. MARTIN CGA - DENTISTRY</t>
  </si>
  <si>
    <t>%,FPROGRAM_CODE,TGASB_34_35_PROGRAM,X,NENDOWMENT,NLOAN,NRESTGIFTS,FFUND_CODE,TGASB_34_35_FUND,NGIFT_ANNUITY_EXPEND</t>
  </si>
  <si>
    <t>TOTAL CHARITABLE GIFT ANNUITY FUNDS</t>
  </si>
  <si>
    <t xml:space="preserve">        TOTAL UNITRUST, LIFE INCOME &amp; CHARITABLE GIFT FUNDS</t>
  </si>
  <si>
    <t xml:space="preserve">            TOTAL ENDOWMENT &amp; SIMILAR FUNDS</t>
  </si>
  <si>
    <t>%,LACTUALS,SYTD,FPROJECT_ID,_</t>
  </si>
  <si>
    <t>%,ATT,FPROGRAM_CODE,UDESCR</t>
  </si>
  <si>
    <t>%,R,FACCOUNT,TGASB_34_35,NGIFTS,NOTHER GOVT GRANTS,NSTATE GRANTS,NFEDERAL GRANTS</t>
  </si>
  <si>
    <t>%,R,FACCOUNT,TGASB_34_35,NINVEST &amp; ENDOW INC,NDISP OF PLANT ASSETS,NINTEREST CAP DEBT,NPAYMENTS TO BENE,NFEDERAL APPROPS,NINTEREST NOTES REC,NLOAN FUND DEDUCT,NOTHER OPERATING REV,NPATIENT MED SERV,NSALES OF AUX/EDUC,NSTUDENT AID,NSTUDENT FEES</t>
  </si>
  <si>
    <t>%,R,FACCOUNT,TGASB_34_35,NINVESTMENT IN PLANT</t>
  </si>
  <si>
    <t>%,FACCOUNT,TGASB_34_35,NOPERATING EXPENSES</t>
  </si>
  <si>
    <t>RESTRICTED AND UNRESTRICTED PLANT FUNDS</t>
  </si>
  <si>
    <t>PGASB15K</t>
  </si>
  <si>
    <t>Program</t>
  </si>
  <si>
    <t>State
Appropriations
and State</t>
  </si>
  <si>
    <t>Investment &amp;</t>
  </si>
  <si>
    <t>Bond</t>
  </si>
  <si>
    <t>Transfers In</t>
  </si>
  <si>
    <t>Code</t>
  </si>
  <si>
    <t>Bond Funds</t>
  </si>
  <si>
    <t>Grants</t>
  </si>
  <si>
    <t>Proceeds</t>
  </si>
  <si>
    <t>(Out)</t>
  </si>
  <si>
    <t>%,V0</t>
  </si>
  <si>
    <t>Unspecified Program</t>
  </si>
  <si>
    <t>0</t>
  </si>
  <si>
    <t>%,VK4716</t>
  </si>
  <si>
    <t>Kemper Gift 5283</t>
  </si>
  <si>
    <t>K4716</t>
  </si>
  <si>
    <t>%,VK4717</t>
  </si>
  <si>
    <t>Nichols Gift 5281</t>
  </si>
  <si>
    <t>K4717</t>
  </si>
  <si>
    <t>%,VK4931</t>
  </si>
  <si>
    <t>ORTHO RENOVATIONS-03</t>
  </si>
  <si>
    <t>K4931</t>
  </si>
  <si>
    <t>%,VK8105</t>
  </si>
  <si>
    <t>KCITY DENTAL SCHOOL CAPITAL</t>
  </si>
  <si>
    <t>K8105</t>
  </si>
  <si>
    <t>%,VK8109</t>
  </si>
  <si>
    <t>HEALTH SCIENCE BLDG CONSTRUCTI</t>
  </si>
  <si>
    <t>K8109</t>
  </si>
  <si>
    <t>%,VK8110</t>
  </si>
  <si>
    <t>DENTAL CLINIC EQUIP REPLACEMNT</t>
  </si>
  <si>
    <t>K8110</t>
  </si>
  <si>
    <t>%,VK8301</t>
  </si>
  <si>
    <t>Parking Structure</t>
  </si>
  <si>
    <t>K8301</t>
  </si>
  <si>
    <t>%,VK8307</t>
  </si>
  <si>
    <t>ARCHIPENKO #5278</t>
  </si>
  <si>
    <t>K8307</t>
  </si>
  <si>
    <t>%,VK8309</t>
  </si>
  <si>
    <t>TWIN OAKS RENOVATION</t>
  </si>
  <si>
    <t>K8309</t>
  </si>
  <si>
    <t>%,VK8312</t>
  </si>
  <si>
    <t>HOSPITAL HILL PARKING STRUCTUR</t>
  </si>
  <si>
    <t>K8312</t>
  </si>
  <si>
    <t>%,VK8501</t>
  </si>
  <si>
    <t>UNIVERSITY WAY</t>
  </si>
  <si>
    <t>K8501</t>
  </si>
  <si>
    <t>%,VK8502</t>
  </si>
  <si>
    <t>OAK STREET HOUSING</t>
  </si>
  <si>
    <t>K8502</t>
  </si>
  <si>
    <t>%,VK8503</t>
  </si>
  <si>
    <t>MNL EXPANSION</t>
  </si>
  <si>
    <t>K8503</t>
  </si>
  <si>
    <t>%,VK8505</t>
  </si>
  <si>
    <t>HEALTH SCIENCE II PROJECT</t>
  </si>
  <si>
    <t>K8505</t>
  </si>
  <si>
    <t>%,VK8506</t>
  </si>
  <si>
    <t>BIXBY LN-CHERRY ST SIDEWALK EX</t>
  </si>
  <si>
    <t>K8506</t>
  </si>
  <si>
    <t>%,VK8507</t>
  </si>
  <si>
    <t>COURTROOM PROJECT</t>
  </si>
  <si>
    <t>K8507</t>
  </si>
  <si>
    <t>%,VK8509</t>
  </si>
  <si>
    <t>DS ORTHODONTICS RENOVAT</t>
  </si>
  <si>
    <t>K8509</t>
  </si>
  <si>
    <t>%,FPROGRAM_CODE,X,_,FFUND_CODE,TGASB_34_35_FUND,NUNEXP_RANDR_RESTEXP</t>
  </si>
  <si>
    <t xml:space="preserve">    TOTAL RESTRICTED</t>
  </si>
  <si>
    <t>%,VK8606</t>
  </si>
  <si>
    <t>Swinney Rec Center R&amp;M</t>
  </si>
  <si>
    <t>K8606</t>
  </si>
  <si>
    <t>%,VK8607</t>
  </si>
  <si>
    <t>U Center Cap Pool R&amp;M</t>
  </si>
  <si>
    <t>K8607</t>
  </si>
  <si>
    <t>%,VK8609</t>
  </si>
  <si>
    <t>Bookstore Cap Pool Repair Main</t>
  </si>
  <si>
    <t>K8609</t>
  </si>
  <si>
    <t>%,VK8610</t>
  </si>
  <si>
    <t>SRC IMPROVEMENTS</t>
  </si>
  <si>
    <t>K8610</t>
  </si>
  <si>
    <t>%,VK8613</t>
  </si>
  <si>
    <t>VENDING PR CAP ACT</t>
  </si>
  <si>
    <t>K8613</t>
  </si>
  <si>
    <t>%,VK8716</t>
  </si>
  <si>
    <t>SYSTEM CONTRIBUTION</t>
  </si>
  <si>
    <t>K8716</t>
  </si>
  <si>
    <t>%,VK8717</t>
  </si>
  <si>
    <t>CAMPUS CONTRIBUTION</t>
  </si>
  <si>
    <t>K8717</t>
  </si>
  <si>
    <t>%,VK8719</t>
  </si>
  <si>
    <t>OAK STREET WEST DEVELOPMENT</t>
  </si>
  <si>
    <t>K8719</t>
  </si>
  <si>
    <t>%,VK8720</t>
  </si>
  <si>
    <t>HS CAMPUS FUNDS</t>
  </si>
  <si>
    <t>K8720</t>
  </si>
  <si>
    <t>%,VK8725</t>
  </si>
  <si>
    <t>FACILITIES CONTRIBUTION</t>
  </si>
  <si>
    <t>K8725</t>
  </si>
  <si>
    <t>%,VK8726</t>
  </si>
  <si>
    <t>SCHOOL ED INSTRUCTION</t>
  </si>
  <si>
    <t>K8726</t>
  </si>
  <si>
    <t>%,VK8728</t>
  </si>
  <si>
    <t>FINANCE CONTRIBUTION</t>
  </si>
  <si>
    <t>K8728</t>
  </si>
  <si>
    <t>%,VK9500</t>
  </si>
  <si>
    <t>HOSPITAL HILL PARKING 2006A</t>
  </si>
  <si>
    <t>K9500</t>
  </si>
  <si>
    <t>%,VK9501</t>
  </si>
  <si>
    <t>BOOKSTORE</t>
  </si>
  <si>
    <t>K9501</t>
  </si>
  <si>
    <t>%,VK9502</t>
  </si>
  <si>
    <t>REC FACILITY</t>
  </si>
  <si>
    <t>K9502</t>
  </si>
  <si>
    <t>%,VK9503</t>
  </si>
  <si>
    <t>HOUSING</t>
  </si>
  <si>
    <t>K9503</t>
  </si>
  <si>
    <t>%,VK9504</t>
  </si>
  <si>
    <t>DORM RENOVATIONS</t>
  </si>
  <si>
    <t>K9504</t>
  </si>
  <si>
    <t>%,VK9505</t>
  </si>
  <si>
    <t>TWIN OAKS</t>
  </si>
  <si>
    <t>K9505</t>
  </si>
  <si>
    <t>%,VK9506</t>
  </si>
  <si>
    <t>PARKING</t>
  </si>
  <si>
    <t>K9506</t>
  </si>
  <si>
    <t>%,VK9507</t>
  </si>
  <si>
    <t>PARKING 2000</t>
  </si>
  <si>
    <t>K9507</t>
  </si>
  <si>
    <t>%,VK9508</t>
  </si>
  <si>
    <t>UNIVERSITY CENTER</t>
  </si>
  <si>
    <t>K9508</t>
  </si>
  <si>
    <t>%,VK9509</t>
  </si>
  <si>
    <t>OAK STREET HOUSING 2003A</t>
  </si>
  <si>
    <t>K9509</t>
  </si>
  <si>
    <t>%,VK9510</t>
  </si>
  <si>
    <t>HOSPITAL HILL PARKING 2006B</t>
  </si>
  <si>
    <t>K9510</t>
  </si>
  <si>
    <t>%,FPROGRAM_CODE,X,_,FFUND_CODE,TGASB_34_35_FUND,NUNEXP_AND_RANDR_UNR</t>
  </si>
  <si>
    <t xml:space="preserve">    TOTAL UNRESTRICTED</t>
  </si>
  <si>
    <t xml:space="preserve">        TOTAL UNEXPENDED PLANT FUNDS</t>
  </si>
  <si>
    <t>%,QAM_CAPITAL_ASSET_BEG_BAL</t>
  </si>
  <si>
    <t>INVESTMENT IN PLANT CAPITAL ASSETS</t>
  </si>
  <si>
    <t>June 30, 2005</t>
  </si>
  <si>
    <t>July 01, 2005</t>
  </si>
  <si>
    <t>Deletions</t>
  </si>
  <si>
    <t>Capital Assets:</t>
  </si>
  <si>
    <t>%,FACCOUNT,V173000,V174000</t>
  </si>
  <si>
    <t xml:space="preserve">     Building</t>
  </si>
  <si>
    <t>%,FACCOUNT,V171000</t>
  </si>
  <si>
    <t xml:space="preserve">     Land</t>
  </si>
  <si>
    <t>%,FACCOUNT,V172000</t>
  </si>
  <si>
    <t xml:space="preserve">     Infrastructure</t>
  </si>
  <si>
    <t>%,FACCOUNT,V175000</t>
  </si>
  <si>
    <t xml:space="preserve">     Equipment</t>
  </si>
  <si>
    <t>%,FACCOUNT,V177000</t>
  </si>
  <si>
    <t xml:space="preserve">     Livestock</t>
  </si>
  <si>
    <t>%,FACCOUNT,V179000</t>
  </si>
  <si>
    <t xml:space="preserve">     Art &amp; Museum Objects</t>
  </si>
  <si>
    <t>%,FACCOUNT,V176000</t>
  </si>
  <si>
    <t xml:space="preserve">     Library Books</t>
  </si>
  <si>
    <t>%,FACCOUNT,V178000</t>
  </si>
  <si>
    <t xml:space="preserve">     Construction In Progress</t>
  </si>
  <si>
    <t xml:space="preserve">        Total Capital Assets</t>
  </si>
  <si>
    <t>Less Accumulated Depreciation:</t>
  </si>
  <si>
    <t>%,FACCOUNT,V173900,V174900</t>
  </si>
  <si>
    <t>Building</t>
  </si>
  <si>
    <t>%,FACCOUNT,V172900</t>
  </si>
  <si>
    <t>%,FACCOUNT,V176900</t>
  </si>
  <si>
    <t>Library Books</t>
  </si>
  <si>
    <t>%,FACCOUNT,V175900</t>
  </si>
  <si>
    <t>Equipment</t>
  </si>
  <si>
    <t xml:space="preserve">        Total Accumulated Depreciation</t>
  </si>
  <si>
    <t xml:space="preserve">            Total Investment in Plant Capital Assets, Net</t>
  </si>
  <si>
    <t xml:space="preserve">University of Missouri - Kansas City                                                         </t>
  </si>
  <si>
    <t xml:space="preserve">              </t>
  </si>
  <si>
    <t xml:space="preserve">BONDS AND NOTES PAYABLE </t>
  </si>
  <si>
    <t>As of June 30, 2006</t>
  </si>
  <si>
    <t xml:space="preserve">                                                                      </t>
  </si>
  <si>
    <t>Original</t>
  </si>
  <si>
    <t>Issue</t>
  </si>
  <si>
    <t>Defeasance</t>
  </si>
  <si>
    <t>Retired</t>
  </si>
  <si>
    <t>Amortization</t>
  </si>
  <si>
    <t xml:space="preserve">Bonds Payable:                                                 </t>
  </si>
  <si>
    <t>721700</t>
  </si>
  <si>
    <t>%,V721800</t>
  </si>
  <si>
    <t>Bus mtg exp- other services</t>
  </si>
  <si>
    <t>721800</t>
  </si>
  <si>
    <t>%,V721900</t>
  </si>
  <si>
    <t>Business travel A-21 exclusion</t>
  </si>
  <si>
    <t>721900</t>
  </si>
  <si>
    <t>%,V722000</t>
  </si>
  <si>
    <t>Faculty &amp; staff training &amp; dev</t>
  </si>
  <si>
    <t>722000</t>
  </si>
  <si>
    <t>%,V722100</t>
  </si>
  <si>
    <t>Fac/staff trng&amp;dev-meeting exp</t>
  </si>
  <si>
    <t>722100</t>
  </si>
  <si>
    <t>%,V722200</t>
  </si>
  <si>
    <t>Fac/staff trng&amp;dev-consultant</t>
  </si>
  <si>
    <t>722200</t>
  </si>
  <si>
    <t>%,V722300</t>
  </si>
  <si>
    <t>F/S t/d-trav prof dev instate</t>
  </si>
  <si>
    <t>722300</t>
  </si>
  <si>
    <t>%,V722400</t>
  </si>
  <si>
    <t>F/S t/d-trav prof dev outstate</t>
  </si>
  <si>
    <t>722400</t>
  </si>
  <si>
    <t>%,V722500</t>
  </si>
  <si>
    <t>F/S t/d-trav prof dev foreign</t>
  </si>
  <si>
    <t>722500</t>
  </si>
  <si>
    <t>%,V722600</t>
  </si>
  <si>
    <t>F/S trng &amp; dev A-21 exclusion</t>
  </si>
  <si>
    <t>722600</t>
  </si>
  <si>
    <t>%,V723000</t>
  </si>
  <si>
    <t>Postage/delivery services</t>
  </si>
  <si>
    <t>723000</t>
  </si>
  <si>
    <t>%,V723100</t>
  </si>
  <si>
    <t>Postage</t>
  </si>
  <si>
    <t>723100</t>
  </si>
  <si>
    <t>%,V723200</t>
  </si>
  <si>
    <t>Courier services</t>
  </si>
  <si>
    <t>723200</t>
  </si>
  <si>
    <t>%,V723300</t>
  </si>
  <si>
    <t>Express mail delivery service</t>
  </si>
  <si>
    <t>723300</t>
  </si>
  <si>
    <t>%,V723400</t>
  </si>
  <si>
    <t>Other shipping charges</t>
  </si>
  <si>
    <t>723400</t>
  </si>
  <si>
    <t>%,V723500</t>
  </si>
  <si>
    <t>Postage A-21 exclusion</t>
  </si>
  <si>
    <t>723500</t>
  </si>
  <si>
    <t>%,V724000</t>
  </si>
  <si>
    <t>Telephone/fax services</t>
  </si>
  <si>
    <t>724000</t>
  </si>
  <si>
    <t>%,V724100</t>
  </si>
  <si>
    <t>Telephone/equipment</t>
  </si>
  <si>
    <t>724100</t>
  </si>
  <si>
    <t>%,V724200</t>
  </si>
  <si>
    <t>Telephone change services</t>
  </si>
  <si>
    <t>724200</t>
  </si>
  <si>
    <t>%,V724400</t>
  </si>
  <si>
    <t>Wire services</t>
  </si>
  <si>
    <t>724400</t>
  </si>
  <si>
    <t>%,V724500</t>
  </si>
  <si>
    <t>Cell phone charges</t>
  </si>
  <si>
    <t>724500</t>
  </si>
  <si>
    <t>%,V724600</t>
  </si>
  <si>
    <t>Beepers</t>
  </si>
  <si>
    <t>724600</t>
  </si>
  <si>
    <t>%,V724700</t>
  </si>
  <si>
    <t>Wats</t>
  </si>
  <si>
    <t>724700</t>
  </si>
  <si>
    <t>%,V724900</t>
  </si>
  <si>
    <t>Telephone A-21 Exclusion</t>
  </si>
  <si>
    <t>724900</t>
  </si>
  <si>
    <t>%,V725000</t>
  </si>
  <si>
    <t>Marketing/advertising expense</t>
  </si>
  <si>
    <t>725000</t>
  </si>
  <si>
    <t>%,V725100</t>
  </si>
  <si>
    <t>Advertising</t>
  </si>
  <si>
    <t>725100</t>
  </si>
  <si>
    <t>%,V725200</t>
  </si>
  <si>
    <t>TV advertising</t>
  </si>
  <si>
    <t>725200</t>
  </si>
  <si>
    <t>%,V725300</t>
  </si>
  <si>
    <t>Radio advertising</t>
  </si>
  <si>
    <t>725300</t>
  </si>
  <si>
    <t>%,V725400</t>
  </si>
  <si>
    <t>Newspaper advertising</t>
  </si>
  <si>
    <t>725400</t>
  </si>
  <si>
    <t>%,V725500</t>
  </si>
  <si>
    <t>Marketing A-21 exclusion</t>
  </si>
  <si>
    <t>725500</t>
  </si>
  <si>
    <t>%,V726000</t>
  </si>
  <si>
    <t>Insurance</t>
  </si>
  <si>
    <t>726000</t>
  </si>
  <si>
    <t>%,V726100</t>
  </si>
  <si>
    <t>Insurance A-21 exclusion</t>
  </si>
  <si>
    <t>726100</t>
  </si>
  <si>
    <t>%,V727000</t>
  </si>
  <si>
    <t>Copy Service</t>
  </si>
  <si>
    <t>727000</t>
  </si>
  <si>
    <t>%,V727100</t>
  </si>
  <si>
    <t>Publishing/printing</t>
  </si>
  <si>
    <t>727100</t>
  </si>
  <si>
    <t>%,V727200</t>
  </si>
  <si>
    <t>Reproduction cost</t>
  </si>
  <si>
    <t>727200</t>
  </si>
  <si>
    <t>%,V727300</t>
  </si>
  <si>
    <t>Copy service A-21 exclusion</t>
  </si>
  <si>
    <t>727300</t>
  </si>
  <si>
    <t>%,V730000</t>
  </si>
  <si>
    <t>Supplies</t>
  </si>
  <si>
    <t>730000</t>
  </si>
  <si>
    <t>%,V730100</t>
  </si>
  <si>
    <t>Office supplies</t>
  </si>
  <si>
    <t>730100</t>
  </si>
  <si>
    <t>%,V730110</t>
  </si>
  <si>
    <t>Reproc Non-Pt Chg Items</t>
  </si>
  <si>
    <t>730110</t>
  </si>
  <si>
    <t>%,V730120</t>
  </si>
  <si>
    <t>Merchandise Variance</t>
  </si>
  <si>
    <t>730120</t>
  </si>
  <si>
    <t>%,V730130</t>
  </si>
  <si>
    <t>Demurrage</t>
  </si>
  <si>
    <t>730130</t>
  </si>
  <si>
    <t>%,V730170</t>
  </si>
  <si>
    <t>Protective Footwear</t>
  </si>
  <si>
    <t>730170</t>
  </si>
  <si>
    <t>%,V730200</t>
  </si>
  <si>
    <t>Subscriptions,books,periodical</t>
  </si>
  <si>
    <t>730200</t>
  </si>
  <si>
    <t>%,V730300</t>
  </si>
  <si>
    <t>Instructional supplies</t>
  </si>
  <si>
    <t>730300</t>
  </si>
  <si>
    <t>%,V730400</t>
  </si>
  <si>
    <t>Athletic supplies</t>
  </si>
  <si>
    <t>730400</t>
  </si>
  <si>
    <t>%,V730450</t>
  </si>
  <si>
    <t>Recruiting Supplies</t>
  </si>
  <si>
    <t>730450</t>
  </si>
  <si>
    <t>%,V730500</t>
  </si>
  <si>
    <t>Lab supplies</t>
  </si>
  <si>
    <t>730500</t>
  </si>
  <si>
    <t>%,V730600</t>
  </si>
  <si>
    <t>Student supplies</t>
  </si>
  <si>
    <t>730600</t>
  </si>
  <si>
    <t>%,V730700</t>
  </si>
  <si>
    <t>Training supplies</t>
  </si>
  <si>
    <t>730700</t>
  </si>
  <si>
    <t>%,V730800</t>
  </si>
  <si>
    <t>Uniforms</t>
  </si>
  <si>
    <t>730800</t>
  </si>
  <si>
    <t>%,V730900</t>
  </si>
  <si>
    <t>Gasoline</t>
  </si>
  <si>
    <t>730900</t>
  </si>
  <si>
    <t>%,V731000</t>
  </si>
  <si>
    <t>Diesel</t>
  </si>
  <si>
    <t>731000</t>
  </si>
  <si>
    <t>%,V731100</t>
  </si>
  <si>
    <t>Diesel  - off road</t>
  </si>
  <si>
    <t>731100</t>
  </si>
  <si>
    <t>%,V731200</t>
  </si>
  <si>
    <t>Photography</t>
  </si>
  <si>
    <t>731200</t>
  </si>
  <si>
    <t>%,V731300</t>
  </si>
  <si>
    <t>Cleaning supplies</t>
  </si>
  <si>
    <t>731300</t>
  </si>
  <si>
    <t>%,V731400</t>
  </si>
  <si>
    <t>Laundry supplies</t>
  </si>
  <si>
    <t>731400</t>
  </si>
  <si>
    <t>%,V731500</t>
  </si>
  <si>
    <t>Linen supplies</t>
  </si>
  <si>
    <t>731500</t>
  </si>
  <si>
    <t>%,V731600</t>
  </si>
  <si>
    <t>Shop supplies</t>
  </si>
  <si>
    <t>731600</t>
  </si>
  <si>
    <t>%,V731700</t>
  </si>
  <si>
    <t>Research animals expense</t>
  </si>
  <si>
    <t>731700</t>
  </si>
  <si>
    <t>%,V731710</t>
  </si>
  <si>
    <t>Research Animals - Feed</t>
  </si>
  <si>
    <t>731710</t>
  </si>
  <si>
    <t>%,V731720</t>
  </si>
  <si>
    <t>Research Animals - Bedding</t>
  </si>
  <si>
    <t>731720</t>
  </si>
  <si>
    <t>%,V731730</t>
  </si>
  <si>
    <t>Research Animals Drugs</t>
  </si>
  <si>
    <t>731730</t>
  </si>
  <si>
    <t>%,V731740</t>
  </si>
  <si>
    <t>Research Animals Misc</t>
  </si>
  <si>
    <t>731740</t>
  </si>
  <si>
    <t>%,V731800</t>
  </si>
  <si>
    <t>Hospital supplies-dietary item</t>
  </si>
  <si>
    <t>731800</t>
  </si>
  <si>
    <t>%,V731900</t>
  </si>
  <si>
    <t>Food stores - misc food</t>
  </si>
  <si>
    <t>731900</t>
  </si>
  <si>
    <t>%,V732000</t>
  </si>
  <si>
    <t>Food stores - paper supplies</t>
  </si>
  <si>
    <t>732000</t>
  </si>
  <si>
    <t>%,V732600</t>
  </si>
  <si>
    <t>Food stores - groceries</t>
  </si>
  <si>
    <t>732600</t>
  </si>
  <si>
    <t>%,V732800</t>
  </si>
  <si>
    <t>Food stores - other</t>
  </si>
  <si>
    <t>732800</t>
  </si>
  <si>
    <t>%,V733000</t>
  </si>
  <si>
    <t>Meat/seafood</t>
  </si>
  <si>
    <t>733000</t>
  </si>
  <si>
    <t>%,V733600</t>
  </si>
  <si>
    <t>Reproduction supplies</t>
  </si>
  <si>
    <t>733600</t>
  </si>
  <si>
    <t>%,V733900</t>
  </si>
  <si>
    <t>E &amp; T course cost</t>
  </si>
  <si>
    <t>733900</t>
  </si>
  <si>
    <t>%,V734100</t>
  </si>
  <si>
    <t>Supplies A-21 exclusion</t>
  </si>
  <si>
    <t>734100</t>
  </si>
  <si>
    <t>%,V738000</t>
  </si>
  <si>
    <t>Dues/memberships</t>
  </si>
  <si>
    <t>738000</t>
  </si>
  <si>
    <t>%,V738100</t>
  </si>
  <si>
    <t>Employees dues to prof assoc</t>
  </si>
  <si>
    <t>738100</t>
  </si>
  <si>
    <t>%,V738200</t>
  </si>
  <si>
    <t>Employees dues to other orgs</t>
  </si>
  <si>
    <t>738200</t>
  </si>
  <si>
    <t>%,V738300</t>
  </si>
  <si>
    <t>University memberships</t>
  </si>
  <si>
    <t>738300</t>
  </si>
  <si>
    <t>%,V738400</t>
  </si>
  <si>
    <t>Dues-Non Medicare Allow-Hospit</t>
  </si>
  <si>
    <t>738400</t>
  </si>
  <si>
    <t>%,V739000</t>
  </si>
  <si>
    <t>Computing expense</t>
  </si>
  <si>
    <t>739000</t>
  </si>
  <si>
    <t>%,V739100</t>
  </si>
  <si>
    <t>Direct computer cost</t>
  </si>
  <si>
    <t>739100</t>
  </si>
  <si>
    <t>%,V739200</t>
  </si>
  <si>
    <t>Computer supplies</t>
  </si>
  <si>
    <t>739200</t>
  </si>
  <si>
    <t>%,V739300</t>
  </si>
  <si>
    <t>Computer software</t>
  </si>
  <si>
    <t>739300</t>
  </si>
  <si>
    <t>%,V739400</t>
  </si>
  <si>
    <t>Network charges</t>
  </si>
  <si>
    <t>739400</t>
  </si>
  <si>
    <t>%,V739500</t>
  </si>
  <si>
    <t>Data port charges reimbursable</t>
  </si>
  <si>
    <t>739500</t>
  </si>
  <si>
    <t>%,V739700</t>
  </si>
  <si>
    <t>Programs/support</t>
  </si>
  <si>
    <t>739700</t>
  </si>
  <si>
    <t>%,V739800</t>
  </si>
  <si>
    <t>Contracts/agreements/license</t>
  </si>
  <si>
    <t>739800</t>
  </si>
  <si>
    <t>%,V740100</t>
  </si>
  <si>
    <t>Computers - Non Capital</t>
  </si>
  <si>
    <t>740100</t>
  </si>
  <si>
    <t>%,V740150</t>
  </si>
  <si>
    <t>Software - Non-Capital</t>
  </si>
  <si>
    <t>740150</t>
  </si>
  <si>
    <t>%,V740200</t>
  </si>
  <si>
    <t>Office Equipment - Non Capital</t>
  </si>
  <si>
    <t>740200</t>
  </si>
  <si>
    <t>%,V740300</t>
  </si>
  <si>
    <t>Other Equipment - Non Capital</t>
  </si>
  <si>
    <t>740300</t>
  </si>
  <si>
    <t>%,V740400</t>
  </si>
  <si>
    <t>Classroom Equip - Non Capital</t>
  </si>
  <si>
    <t>740400</t>
  </si>
  <si>
    <t>%,V740500</t>
  </si>
  <si>
    <t>Laboratory - Non Capital</t>
  </si>
  <si>
    <t>740500</t>
  </si>
  <si>
    <t>%,V740600</t>
  </si>
  <si>
    <t>Furniture - Non Capital</t>
  </si>
  <si>
    <t>740600</t>
  </si>
  <si>
    <t>%,V740700</t>
  </si>
  <si>
    <t>Vehicles - Non- Capital</t>
  </si>
  <si>
    <t>740700</t>
  </si>
  <si>
    <t>%,V740800</t>
  </si>
  <si>
    <t>Field &amp; Fac Equip Non-Capital</t>
  </si>
  <si>
    <t>740800</t>
  </si>
  <si>
    <t>%,V740850</t>
  </si>
  <si>
    <t>Fabricated Equipment - Non Cap</t>
  </si>
  <si>
    <t>740850</t>
  </si>
  <si>
    <t>%,V740900</t>
  </si>
  <si>
    <t>Misc Facilities Charges &lt; 5000</t>
  </si>
  <si>
    <t>740900</t>
  </si>
  <si>
    <t>%,V741000</t>
  </si>
  <si>
    <t>Crop expense</t>
  </si>
  <si>
    <t>741000</t>
  </si>
  <si>
    <t>%,V741600</t>
  </si>
  <si>
    <t>Rent/Lease Office Equipment</t>
  </si>
  <si>
    <t>741600</t>
  </si>
  <si>
    <t>%,V741610</t>
  </si>
  <si>
    <t>Rent/Lease Office Equip A-21</t>
  </si>
  <si>
    <t>741610</t>
  </si>
  <si>
    <t>%,V742000</t>
  </si>
  <si>
    <t>Other misc expense</t>
  </si>
  <si>
    <t>742000</t>
  </si>
  <si>
    <t>%,V742101</t>
  </si>
  <si>
    <t>Vendor Discounts-Earned/Lost</t>
  </si>
  <si>
    <t>742101</t>
  </si>
  <si>
    <t>%,V742300</t>
  </si>
  <si>
    <t>Contracts</t>
  </si>
  <si>
    <t>742300</t>
  </si>
  <si>
    <t>%,V742400</t>
  </si>
  <si>
    <t>Payouts</t>
  </si>
  <si>
    <t>742400</t>
  </si>
  <si>
    <t>%,V742600</t>
  </si>
  <si>
    <t>Service charge</t>
  </si>
  <si>
    <t>742600</t>
  </si>
  <si>
    <t>%,V742860</t>
  </si>
  <si>
    <t>Bad Debt Expense</t>
  </si>
  <si>
    <t>742860</t>
  </si>
  <si>
    <t>%,V743200</t>
  </si>
  <si>
    <t>Awards</t>
  </si>
  <si>
    <t>743200</t>
  </si>
  <si>
    <t>%,V743500</t>
  </si>
  <si>
    <t>Book loan</t>
  </si>
  <si>
    <t>743500</t>
  </si>
  <si>
    <t>%,V743700</t>
  </si>
  <si>
    <t>Credit card charges</t>
  </si>
  <si>
    <t>743700</t>
  </si>
  <si>
    <t>%,V743800</t>
  </si>
  <si>
    <t>Freight(UPS)</t>
  </si>
  <si>
    <t>743800</t>
  </si>
  <si>
    <t>%,V743999</t>
  </si>
  <si>
    <t>Other Expenditures</t>
  </si>
  <si>
    <t>743999</t>
  </si>
  <si>
    <t>%,V750000</t>
  </si>
  <si>
    <t>Professional services</t>
  </si>
  <si>
    <t>750000</t>
  </si>
  <si>
    <t>%,V750100</t>
  </si>
  <si>
    <t>Consulting services</t>
  </si>
  <si>
    <t>750100</t>
  </si>
  <si>
    <t>%,V750110</t>
  </si>
  <si>
    <t>Consulting Travel-Non Taxable</t>
  </si>
  <si>
    <t>750110</t>
  </si>
  <si>
    <t>%,V750120</t>
  </si>
  <si>
    <t>Research Participant Fee</t>
  </si>
  <si>
    <t>750120</t>
  </si>
  <si>
    <t>%,V750200</t>
  </si>
  <si>
    <t>Interpreter services</t>
  </si>
  <si>
    <t>750200</t>
  </si>
  <si>
    <t>%,V750300</t>
  </si>
  <si>
    <t>Moving services</t>
  </si>
  <si>
    <t>750300</t>
  </si>
  <si>
    <t>%,V750400</t>
  </si>
  <si>
    <t>Locksmith services</t>
  </si>
  <si>
    <t>750400</t>
  </si>
  <si>
    <t>%,V750500</t>
  </si>
  <si>
    <t>Recycling pick-up</t>
  </si>
  <si>
    <t>750500</t>
  </si>
  <si>
    <t>%,V750600</t>
  </si>
  <si>
    <t>Brinks services</t>
  </si>
  <si>
    <t>750600</t>
  </si>
  <si>
    <t>%,V750800</t>
  </si>
  <si>
    <t>Trash removal/hauling</t>
  </si>
  <si>
    <t>750800</t>
  </si>
  <si>
    <t>%,V750900</t>
  </si>
  <si>
    <t>Other professional fees</t>
  </si>
  <si>
    <t>750900</t>
  </si>
  <si>
    <t>%,V751000</t>
  </si>
  <si>
    <t>Temp services</t>
  </si>
  <si>
    <t>751000</t>
  </si>
  <si>
    <t>%,V751100</t>
  </si>
  <si>
    <t>Security</t>
  </si>
  <si>
    <t>751100</t>
  </si>
  <si>
    <t>%,V751200</t>
  </si>
  <si>
    <t>Continuing Ed Support</t>
  </si>
  <si>
    <t>751200</t>
  </si>
  <si>
    <t>%,V751300</t>
  </si>
  <si>
    <t>Speaker honorarium</t>
  </si>
  <si>
    <t>751300</t>
  </si>
  <si>
    <t>%,V751400</t>
  </si>
  <si>
    <t>Profess Serv-A-21 exclusion</t>
  </si>
  <si>
    <t>751400</t>
  </si>
  <si>
    <t>%,V755000</t>
  </si>
  <si>
    <t>Use fees</t>
  </si>
  <si>
    <t>755000</t>
  </si>
  <si>
    <t>%,V766200</t>
  </si>
  <si>
    <t>Subcontract &gt;$25,000-other</t>
  </si>
  <si>
    <t>766200</t>
  </si>
  <si>
    <t>%,V788200</t>
  </si>
  <si>
    <t>Library Acquisition-NonCapital</t>
  </si>
  <si>
    <t>788200</t>
  </si>
  <si>
    <t>%,V789000</t>
  </si>
  <si>
    <t>Equipment - M &amp; R Non Capital</t>
  </si>
  <si>
    <t>789000</t>
  </si>
  <si>
    <t>%,V789050</t>
  </si>
  <si>
    <t>Vehicle Maint &amp; Repair Non-Cap</t>
  </si>
  <si>
    <t>789050</t>
  </si>
  <si>
    <t>%,V789200</t>
  </si>
  <si>
    <t>R/MElectr Non-Pat Care Equip</t>
  </si>
  <si>
    <t>789200</t>
  </si>
  <si>
    <t>%,V789300</t>
  </si>
  <si>
    <t>Vendor Serv Contracts Non Cap</t>
  </si>
  <si>
    <t>789300</t>
  </si>
  <si>
    <t>%,V789400</t>
  </si>
  <si>
    <t>Non-Contracted Service</t>
  </si>
  <si>
    <t>789400</t>
  </si>
  <si>
    <t>%,V789500</t>
  </si>
  <si>
    <t>Rent/Lease Space &amp; Cap Equip</t>
  </si>
  <si>
    <t>789500</t>
  </si>
  <si>
    <t>%,V789510</t>
  </si>
  <si>
    <t>Rent/Lease Space (buildings)</t>
  </si>
  <si>
    <t>789510</t>
  </si>
  <si>
    <t>%,V789520</t>
  </si>
  <si>
    <t>Rent/Lease Capital Equipment</t>
  </si>
  <si>
    <t>789520</t>
  </si>
  <si>
    <t>%,V791000</t>
  </si>
  <si>
    <t>Landscape &amp; Grnds M&amp;R-Non Cap</t>
  </si>
  <si>
    <t>791000</t>
  </si>
  <si>
    <t>%,V792000</t>
  </si>
  <si>
    <t>Infrastructure Repairs-Non Cap</t>
  </si>
  <si>
    <t>792000</t>
  </si>
  <si>
    <t>%,V794000</t>
  </si>
  <si>
    <t>Building services Non Cap</t>
  </si>
  <si>
    <t>794000</t>
  </si>
  <si>
    <t>%,V795000</t>
  </si>
  <si>
    <t>Bldgs-M&amp;R-non capital</t>
  </si>
  <si>
    <t>795000</t>
  </si>
  <si>
    <t>%,V796000</t>
  </si>
  <si>
    <t>Minor renova/rehab non capital</t>
  </si>
  <si>
    <t>796000</t>
  </si>
  <si>
    <t>%,V810100</t>
  </si>
  <si>
    <t>Vendor electricity</t>
  </si>
  <si>
    <t>810100</t>
  </si>
  <si>
    <t>%,V810200</t>
  </si>
  <si>
    <t>Vendor water</t>
  </si>
  <si>
    <t>810200</t>
  </si>
  <si>
    <t>%,V810500</t>
  </si>
  <si>
    <t>Vendor natural gas</t>
  </si>
  <si>
    <t>810500</t>
  </si>
  <si>
    <t>%,V810700</t>
  </si>
  <si>
    <t>Vendor storm sewer</t>
  </si>
  <si>
    <t>810700</t>
  </si>
  <si>
    <t>%,V863100</t>
  </si>
  <si>
    <t>Full costing</t>
  </si>
  <si>
    <t>863100</t>
  </si>
  <si>
    <t>%,V863101</t>
  </si>
  <si>
    <t>Full Costing  - 8511</t>
  </si>
  <si>
    <t>863101</t>
  </si>
  <si>
    <t>%,V893800</t>
  </si>
  <si>
    <t>Legal expense</t>
  </si>
  <si>
    <t>893800</t>
  </si>
  <si>
    <t>%,FACCOUNT,TGASB_34_35,X,NAUX &amp; EDUC ACTIV,NOTHER DEPT OPERATING,NPROFESSIONAL &amp; CONSU,NSUPPLY_NONCAP ASSET,NUTILITIES,NINVESTMENT IN PLANT,NSELF INSURANCE BENE</t>
  </si>
  <si>
    <t>%,V764000</t>
  </si>
  <si>
    <t>GASB35 Scholar&amp;Fellow Primary</t>
  </si>
  <si>
    <t>764000</t>
  </si>
  <si>
    <t>%,FACCOUNT,TGASB_34_35,X,NSCHOLAR &amp; FELLOW</t>
  </si>
  <si>
    <t>%,V777100</t>
  </si>
  <si>
    <t>Computers - Capital</t>
  </si>
  <si>
    <t>777100</t>
  </si>
  <si>
    <t>%,V777200</t>
  </si>
  <si>
    <t>Software - Capital</t>
  </si>
  <si>
    <t>777200</t>
  </si>
  <si>
    <t>%,V777300</t>
  </si>
  <si>
    <t>Office Equipment - Capital</t>
  </si>
  <si>
    <t>777300</t>
  </si>
  <si>
    <t>%,V777400</t>
  </si>
  <si>
    <t>Other Equipment - Capital</t>
  </si>
  <si>
    <t>777400</t>
  </si>
  <si>
    <t>%,V777600</t>
  </si>
  <si>
    <t>Laboratory - Capital</t>
  </si>
  <si>
    <t>777600</t>
  </si>
  <si>
    <t>%,V777800</t>
  </si>
  <si>
    <t>Vehicles - Capital</t>
  </si>
  <si>
    <t>777800</t>
  </si>
  <si>
    <t>%,V777900</t>
  </si>
  <si>
    <t>Field &amp; facilities equip - Cap</t>
  </si>
  <si>
    <t>777900</t>
  </si>
  <si>
    <t>%,V788100</t>
  </si>
  <si>
    <t>Library Acquisition-Capital</t>
  </si>
  <si>
    <t>788100</t>
  </si>
  <si>
    <t>%,V796500</t>
  </si>
  <si>
    <t>Bldg reno/rehab capital</t>
  </si>
  <si>
    <t xml:space="preserve"> System Facilities Revenue Bond Dated May, 1997,</t>
  </si>
  <si>
    <t xml:space="preserve">   Interest Rate  4.1% to 5.8%, Due Serially to 2027</t>
  </si>
  <si>
    <t xml:space="preserve"> System Facilities Revenue Bond Dated May, 2000,</t>
  </si>
  <si>
    <t xml:space="preserve">   Fixed Interest Rate 5.03% Series 2000a and Variable </t>
  </si>
  <si>
    <t xml:space="preserve">   Interest Rate Series 2000b, Due Serially to 2030</t>
  </si>
  <si>
    <t xml:space="preserve"> System Facilities Revenue Bond Dated Aug, 2001,</t>
  </si>
  <si>
    <t xml:space="preserve">   Series 2001b Fixed Interest Rate 5.12%, Due Serially to 2031</t>
  </si>
  <si>
    <t xml:space="preserve">   (Refunded a Portion of the Outstanding Srs 1997 Bonds)</t>
  </si>
  <si>
    <t xml:space="preserve"> System Facilities Revenue Bond Dated November, 2003,</t>
  </si>
  <si>
    <t xml:space="preserve">   Series 2003a Fixed Interest Rate  4% to 5%, Due November 2031</t>
  </si>
  <si>
    <t xml:space="preserve">   Series 2003b Fixed Interest Rate  2% to 4.6%, Due November 2031</t>
  </si>
  <si>
    <t xml:space="preserve"> System Facilities Revenue Bond Dated February, 2006,</t>
  </si>
  <si>
    <t xml:space="preserve">   Series 2006b Variable Rate, Due November 2035</t>
  </si>
  <si>
    <t xml:space="preserve">        Less Unamortized Premium/Discount</t>
  </si>
  <si>
    <t xml:space="preserve">        Less Loss on Defeasance</t>
  </si>
  <si>
    <t xml:space="preserve">            Total Bonds Payable    </t>
  </si>
  <si>
    <r>
      <t xml:space="preserve">   Series 2006a Fixed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Interest Rate  3.1% to 5%, Due November 2028</t>
    </r>
  </si>
  <si>
    <t>%,LACTUALS,SBAL</t>
  </si>
  <si>
    <t>%,AFT,FDEPTID</t>
  </si>
  <si>
    <t>%,LACTUALS,SBAL,R,FACCOUNT,V300000</t>
  </si>
  <si>
    <t>%,QUGL_GASB_AGENCY_REVENUES,CA.POSTED_TOTAL_AMT,SYTD,R</t>
  </si>
  <si>
    <t>%,QUGL_GASB_AGENCY_EXPENSES,CA.POSTED_TOTAL_AMT,SYTD</t>
  </si>
  <si>
    <t>GASB19K</t>
  </si>
  <si>
    <t>FUNDS HELD FOR OTHERS</t>
  </si>
  <si>
    <t>AGENCY</t>
  </si>
  <si>
    <t>Department Description</t>
  </si>
  <si>
    <t>Hide Column in final report - DEPTID</t>
  </si>
  <si>
    <t>Balance
July 1, 2005</t>
  </si>
  <si>
    <t>Withdrawals</t>
  </si>
  <si>
    <t>Balance
June 30, 2006</t>
  </si>
  <si>
    <t>%,VK0301026</t>
  </si>
  <si>
    <t>AGENCY SCHOLARSHIP</t>
  </si>
  <si>
    <t>K0301026</t>
  </si>
  <si>
    <t>%,VK0301028</t>
  </si>
  <si>
    <t>STIUDENT INSURANCE</t>
  </si>
  <si>
    <t>K0301028</t>
  </si>
  <si>
    <t>%,VK0301029</t>
  </si>
  <si>
    <t>BREAKAGE DEPOSIT</t>
  </si>
  <si>
    <t>K0301029</t>
  </si>
  <si>
    <t>%,VK0301030</t>
  </si>
  <si>
    <t>ROY J RINEHART FOUNDATION</t>
  </si>
  <si>
    <t>K0301030</t>
  </si>
  <si>
    <t>%,VK0301031</t>
  </si>
  <si>
    <t>UNIVERSITY OF KANSAS CITY</t>
  </si>
  <si>
    <t>K0301031</t>
  </si>
  <si>
    <t>%,VK0308007</t>
  </si>
  <si>
    <t>UMKC FAC/STAFF RETIREMT ASSN</t>
  </si>
  <si>
    <t>K0308007</t>
  </si>
  <si>
    <t>%,VK0311003</t>
  </si>
  <si>
    <t>WAGE EARNINGS ATTACHMENTS</t>
  </si>
  <si>
    <t>K0311003</t>
  </si>
  <si>
    <t>%,VK0313001</t>
  </si>
  <si>
    <t>REAL ESTATE OFFICE</t>
  </si>
  <si>
    <t>K0313001</t>
  </si>
  <si>
    <t>%,VK0318134</t>
  </si>
  <si>
    <t>VAC PAY ACRL- AGEN</t>
  </si>
  <si>
    <t>K0318134</t>
  </si>
  <si>
    <t>%,VK0318902</t>
  </si>
  <si>
    <t>STUDENT REV DEFERRAL-AGENCY</t>
  </si>
  <si>
    <t>K0318902</t>
  </si>
  <si>
    <t>%,VK0601049</t>
  </si>
  <si>
    <t>SOCCER KICKIN' ROO'S CLUB</t>
  </si>
  <si>
    <t>K0601049</t>
  </si>
  <si>
    <t>%,VK0601052</t>
  </si>
  <si>
    <t>ATHLETIC ASSOCIATION INC</t>
  </si>
  <si>
    <t>K0601052</t>
  </si>
  <si>
    <t>%,VK0601059</t>
  </si>
  <si>
    <t>HOSPITAL HILL RUN</t>
  </si>
  <si>
    <t>K0601059</t>
  </si>
  <si>
    <t>%,VK0706001</t>
  </si>
  <si>
    <t>UNIV RESIDENCE CNTR</t>
  </si>
  <si>
    <t>K0706001</t>
  </si>
  <si>
    <t>%,VK0706002</t>
  </si>
  <si>
    <t>TWIN OAK HOUSING</t>
  </si>
  <si>
    <t>K0706002</t>
  </si>
  <si>
    <t>%,VK0714011</t>
  </si>
  <si>
    <t>RESIDENCE HALL COUNCIL DUES</t>
  </si>
  <si>
    <t>K0714011</t>
  </si>
  <si>
    <t>%,VK0715007</t>
  </si>
  <si>
    <t>MO STUDENT GRANT PROGRAM</t>
  </si>
  <si>
    <t>K0715007</t>
  </si>
  <si>
    <t>%,VK0715008</t>
  </si>
  <si>
    <t>MO HIGHER EDUCATION BRIGHT FLI</t>
  </si>
  <si>
    <t>K0715008</t>
  </si>
  <si>
    <t>%,VK0715025</t>
  </si>
  <si>
    <t>ADVANTAGE MISSOURI LOAN PROGRA</t>
  </si>
  <si>
    <t>K0715025</t>
  </si>
  <si>
    <t>%,VK0715026</t>
  </si>
  <si>
    <t>MARGUERITE R BARNETT SCHOLARSH</t>
  </si>
  <si>
    <t>K0715026</t>
  </si>
  <si>
    <t>%,VK0715035</t>
  </si>
  <si>
    <t>MO COLLEGE GUARANTEE PROG</t>
  </si>
  <si>
    <t>K0715035</t>
  </si>
  <si>
    <t>%,VK0715041</t>
  </si>
  <si>
    <t>FEDERAL FAMILY EDUCATION LOAN</t>
  </si>
  <si>
    <t>K0715041</t>
  </si>
  <si>
    <t>%,VK0715049</t>
  </si>
  <si>
    <t>CASL PREMIER 01-02</t>
  </si>
  <si>
    <t>K0715049</t>
  </si>
  <si>
    <t>%,VK0715055</t>
  </si>
  <si>
    <t>2002-2003 CASL</t>
  </si>
  <si>
    <t>K0715055</t>
  </si>
  <si>
    <t>%,VK0715056</t>
  </si>
  <si>
    <t>2002-2003 FFELP</t>
  </si>
  <si>
    <t>K0715056</t>
  </si>
  <si>
    <t>%,VK0715058</t>
  </si>
  <si>
    <t>UMKC LENDER FEES</t>
  </si>
  <si>
    <t>K0715058</t>
  </si>
  <si>
    <t>%,VK0801012</t>
  </si>
  <si>
    <t>UNIVERSITY ASSOCIATES</t>
  </si>
  <si>
    <t>K0801012</t>
  </si>
  <si>
    <t>%,VK0801013</t>
  </si>
  <si>
    <t>UMKC ALUMNI ASSOCIATION</t>
  </si>
  <si>
    <t>K0801013</t>
  </si>
  <si>
    <t>%,VK0801014</t>
  </si>
  <si>
    <t>WOMEN'S COUNCIL GRAD ASST FD</t>
  </si>
  <si>
    <t>K0801014</t>
  </si>
  <si>
    <t>%,VK0801016</t>
  </si>
  <si>
    <t>Prof Direct Marketers Assn</t>
  </si>
  <si>
    <t>K0801016</t>
  </si>
  <si>
    <t>%,VK0801019</t>
  </si>
  <si>
    <t>25TH ANNIV BALL ASSN MEDICINE</t>
  </si>
  <si>
    <t>K0801019</t>
  </si>
  <si>
    <t>%,VK0801021</t>
  </si>
  <si>
    <t>Youngblood Society</t>
  </si>
  <si>
    <t>K0801021</t>
  </si>
  <si>
    <t>%,VK0805005</t>
  </si>
  <si>
    <t>LAW FDN</t>
  </si>
  <si>
    <t>K0805005</t>
  </si>
  <si>
    <t>%,VK0805006</t>
  </si>
  <si>
    <t>EDGAR SNOW FUND AGENCY</t>
  </si>
  <si>
    <t>K0805006</t>
  </si>
  <si>
    <t>%,VK0805008</t>
  </si>
  <si>
    <t>St Louis Friends School of Med</t>
  </si>
  <si>
    <t>K0805008</t>
  </si>
  <si>
    <t>%,VK0907017</t>
  </si>
  <si>
    <t>NATIONAL DEBATE TOURNAMENT - S</t>
  </si>
  <si>
    <t>K0907017</t>
  </si>
  <si>
    <t>%,VK0909084</t>
  </si>
  <si>
    <t>SPARK UNRESTRICTED GIFTS</t>
  </si>
  <si>
    <t>K0909084</t>
  </si>
  <si>
    <t>%,VK0909085</t>
  </si>
  <si>
    <t>SENIOR PEERS ACTIVELY RENEWING</t>
  </si>
  <si>
    <t>K0909085</t>
  </si>
  <si>
    <t>%,VK1301025</t>
  </si>
  <si>
    <t>UMKC CONSERVATORY TRUSTEES - A</t>
  </si>
  <si>
    <t>K1301025</t>
  </si>
  <si>
    <t>%,VK1303031</t>
  </si>
  <si>
    <t>UMKC CONSERVATORY TRUSTEES - B</t>
  </si>
  <si>
    <t>K1303031</t>
  </si>
  <si>
    <t>%,VK1303032</t>
  </si>
  <si>
    <t>CONSERVATORY LOCK DEPOSIT</t>
  </si>
  <si>
    <t>K1303032</t>
  </si>
  <si>
    <t>%,VK1303033</t>
  </si>
  <si>
    <t>UMKC CONSERVATORY TRUSTEES - M</t>
  </si>
  <si>
    <t>K1303033</t>
  </si>
  <si>
    <t>%,VK1402044</t>
  </si>
  <si>
    <t>ROY J RINEHART MEM FDN</t>
  </si>
  <si>
    <t>K1402044</t>
  </si>
  <si>
    <t>%,VK1402048</t>
  </si>
  <si>
    <t>UMKC SCHOOL OF DENTISTRY DENTA</t>
  </si>
  <si>
    <t>K1402048</t>
  </si>
  <si>
    <t>%,VK1403009</t>
  </si>
  <si>
    <t>ICIMS DEPOSIT- REV</t>
  </si>
  <si>
    <t>K1403009</t>
  </si>
  <si>
    <t>%,VK1802028</t>
  </si>
  <si>
    <t>INNOCENCE PROJECT</t>
  </si>
  <si>
    <t>K1802028</t>
  </si>
  <si>
    <t>%,VK1901990</t>
  </si>
  <si>
    <t>FRIENDS OF THE LIBRARY</t>
  </si>
  <si>
    <t>K1901990</t>
  </si>
  <si>
    <t>%,VK2002029</t>
  </si>
  <si>
    <t>DEAN SCHOOL OF MEDICINE 1151</t>
  </si>
  <si>
    <t>K2002029</t>
  </si>
  <si>
    <t>%,VK2302021</t>
  </si>
  <si>
    <t>SCHOOL OF PHARMACY FDN</t>
  </si>
  <si>
    <t>K2302021</t>
  </si>
  <si>
    <t>%,VK3101002</t>
  </si>
  <si>
    <t>RENT 4405-07 HARRIS.</t>
  </si>
  <si>
    <t>K3101002</t>
  </si>
  <si>
    <t>%,VK3201001</t>
  </si>
  <si>
    <t>UKC-RENTAL OPERATION</t>
  </si>
  <si>
    <t>K3201001</t>
  </si>
  <si>
    <t>%,VK3202002</t>
  </si>
  <si>
    <t>UKC REAL ESTATE 5305 CHARLOTTE</t>
  </si>
  <si>
    <t>K3202002</t>
  </si>
  <si>
    <t>%,VK3202009</t>
  </si>
  <si>
    <t>UKC REAL ESTATE     5409 CHARL</t>
  </si>
  <si>
    <t>K3202009</t>
  </si>
  <si>
    <t>%,VK3202016</t>
  </si>
  <si>
    <t>UKC REAL ESTATE     5436 CHARL</t>
  </si>
  <si>
    <t>K3202016</t>
  </si>
  <si>
    <t>%,VK3202019</t>
  </si>
  <si>
    <t>UKC REAL ESTATE 5439 CHARLOTTE</t>
  </si>
  <si>
    <t>K3202019</t>
  </si>
  <si>
    <t>%,VK3202020</t>
  </si>
  <si>
    <t>UKC REAL ESTATE 5446 CHARLOTTE</t>
  </si>
  <si>
    <t>K3202020</t>
  </si>
  <si>
    <t>%,VK3202023</t>
  </si>
  <si>
    <t>UKC REAL ESTATE 5347 CHARLOTTE</t>
  </si>
  <si>
    <t>K3202023</t>
  </si>
  <si>
    <t>%,VK3202024</t>
  </si>
  <si>
    <t>UKC REAL ESTATE 5414 CHARLOTTE</t>
  </si>
  <si>
    <t>K3202024</t>
  </si>
  <si>
    <t>%,VK3202025</t>
  </si>
  <si>
    <t>UKC REAL ESTATE 5303 CHARLOTTE</t>
  </si>
  <si>
    <t>K3202025</t>
  </si>
  <si>
    <t>%,VK3202026</t>
  </si>
  <si>
    <t>UKC REAL ESTATE 5411 CHARLOTTE</t>
  </si>
  <si>
    <t>K3202026</t>
  </si>
  <si>
    <t>%,VK3202032</t>
  </si>
  <si>
    <t>UKC REALESTATE 5408 HARRISON</t>
  </si>
  <si>
    <t>K3202032</t>
  </si>
  <si>
    <t>%,VK3202033</t>
  </si>
  <si>
    <t>UKC-5435 HARRISON</t>
  </si>
  <si>
    <t>K3202033</t>
  </si>
  <si>
    <t>%,VK3202037</t>
  </si>
  <si>
    <t>UKC REAL ESTATE 714 E 54 TERR</t>
  </si>
  <si>
    <t>K3202037</t>
  </si>
  <si>
    <t>%,VK3202040</t>
  </si>
  <si>
    <t>UKC REAL ESTATE  707 E 54TH TE</t>
  </si>
  <si>
    <t>K3202040</t>
  </si>
  <si>
    <t>%,VK3202041</t>
  </si>
  <si>
    <t>UKC REAL ESTATE  709 E 54TH TE</t>
  </si>
  <si>
    <t>K3202041</t>
  </si>
  <si>
    <t>%,VK3202042</t>
  </si>
  <si>
    <t>UKC REAL ESTATE 709 E 54TH STR</t>
  </si>
  <si>
    <t>K3202042</t>
  </si>
  <si>
    <t>%,VK3202043</t>
  </si>
  <si>
    <t>UKC REAL ESTATE 710 E 55TH</t>
  </si>
  <si>
    <t>K3202043</t>
  </si>
  <si>
    <t>%,VK3202044</t>
  </si>
  <si>
    <t>UKC REAL ESTATE 714 E. 55TH ST</t>
  </si>
  <si>
    <t>K3202044</t>
  </si>
  <si>
    <t>%,VK3202045</t>
  </si>
  <si>
    <t>UKC REAL ESTATE 5428 HARRISON</t>
  </si>
  <si>
    <t>K3202045</t>
  </si>
  <si>
    <t>%,VK3202046</t>
  </si>
  <si>
    <t>UKC REAL ESTATE     5405-7 HAR</t>
  </si>
  <si>
    <t>K3202046</t>
  </si>
  <si>
    <t>%,VK3202047</t>
  </si>
  <si>
    <t>UKC REAL ESTATE     5409-11 HA</t>
  </si>
  <si>
    <t>K3202047</t>
  </si>
  <si>
    <t>%,VK3202048</t>
  </si>
  <si>
    <t>UKC REAL ESTATE     5431 HARRI</t>
  </si>
  <si>
    <t>K3202048</t>
  </si>
  <si>
    <t>%,VK3202049</t>
  </si>
  <si>
    <t>UKC REAL ESTATE     5436 HARRI</t>
  </si>
  <si>
    <t>K3202049</t>
  </si>
  <si>
    <t>%,VK3202050</t>
  </si>
  <si>
    <t>UKC REAL ESTATE     5441 HARRI</t>
  </si>
  <si>
    <t>K3202050</t>
  </si>
  <si>
    <t>%,VK3202051</t>
  </si>
  <si>
    <t>UKC REAL ESTATE - 5446 HARRISO</t>
  </si>
  <si>
    <t>K3202051</t>
  </si>
  <si>
    <t>%,VK3202052</t>
  </si>
  <si>
    <t>UKC REAL ESTATE- 5425 HARRISON</t>
  </si>
  <si>
    <t>K3202052</t>
  </si>
  <si>
    <t>%,VK3202053</t>
  </si>
  <si>
    <t>UKC REAL ESTATE - 5429 HARRISO</t>
  </si>
  <si>
    <t>K3202053</t>
  </si>
  <si>
    <t>%,VK3202054</t>
  </si>
  <si>
    <t>UKC REAL ESTATE 5419 HOLMES</t>
  </si>
  <si>
    <t>K3202054</t>
  </si>
  <si>
    <t>%,VK3202055</t>
  </si>
  <si>
    <t>UKC REAL ESTATE 5425 HOLMES</t>
  </si>
  <si>
    <t>K3202055</t>
  </si>
  <si>
    <t>%,VK3202056</t>
  </si>
  <si>
    <t>UKC REAL ESTATE 5431 HOLMES</t>
  </si>
  <si>
    <t>K3202056</t>
  </si>
  <si>
    <t>%,VK3202057</t>
  </si>
  <si>
    <t>UKC REAL ESTATE 5435 HOLMES</t>
  </si>
  <si>
    <t>K3202057</t>
  </si>
  <si>
    <t>%,VK3202058</t>
  </si>
  <si>
    <t>UKC REAL ESTATE 5437 HOLMES</t>
  </si>
  <si>
    <t>K3202058</t>
  </si>
  <si>
    <t>%,VK3202060</t>
  </si>
  <si>
    <t>UKC-REAL ESTATE 5424-26 HARRIS</t>
  </si>
  <si>
    <t>K3202060</t>
  </si>
  <si>
    <t>%,VK3202063</t>
  </si>
  <si>
    <t>UKC REAL ESTATE 5312 ROCKHILL</t>
  </si>
  <si>
    <t>K3202063</t>
  </si>
  <si>
    <t>%,VK3202067</t>
  </si>
  <si>
    <t>UKC REAL ESTATE 5340 ROCKHILL</t>
  </si>
  <si>
    <t>K3202067</t>
  </si>
  <si>
    <t>%,VK3202068</t>
  </si>
  <si>
    <t>UKC REAL ESTATE 5401 ROCKHILL</t>
  </si>
  <si>
    <t>K3202068</t>
  </si>
  <si>
    <t>%,VK3202069</t>
  </si>
  <si>
    <t>UKC REAL ESTATE 5408 ROCKHILL</t>
  </si>
  <si>
    <t>K3202069</t>
  </si>
  <si>
    <t>%,VK3202070</t>
  </si>
  <si>
    <t>UKC REAL ESTATE 5411 ROCKHILL</t>
  </si>
  <si>
    <t>K3202070</t>
  </si>
  <si>
    <t>%,VK3202071</t>
  </si>
  <si>
    <t>UKC REAL ESTATE 5418 ROCKHILL</t>
  </si>
  <si>
    <t>K3202071</t>
  </si>
  <si>
    <t>%,VK3202072</t>
  </si>
  <si>
    <t>UKC REAL ESTATE 5433 ROCKHILL</t>
  </si>
  <si>
    <t>K3202072</t>
  </si>
  <si>
    <t>%,VK3202073</t>
  </si>
  <si>
    <t>UKC REAL ESTATE 5434 ROCKHILL</t>
  </si>
  <si>
    <t>K3202073</t>
  </si>
  <si>
    <t>%,VK3202074</t>
  </si>
  <si>
    <t>UKC REAL ESTATE 5441 ROCKHILL</t>
  </si>
  <si>
    <t>K3202074</t>
  </si>
  <si>
    <t>%,VK3202075</t>
  </si>
  <si>
    <t>UKC - REAL ESTATE 5409 ROCKHIL</t>
  </si>
  <si>
    <t>K3202075</t>
  </si>
  <si>
    <t>%,VK3202076</t>
  </si>
  <si>
    <t>UKC REAL ESTATE - 5420 ROCKHIL</t>
  </si>
  <si>
    <t>K3202076</t>
  </si>
  <si>
    <t>%,VK3202077</t>
  </si>
  <si>
    <t>UKC REAL ESTATE 5435 ROCKHILL</t>
  </si>
  <si>
    <t>K3202077</t>
  </si>
  <si>
    <t>%,VK3202082</t>
  </si>
  <si>
    <t>UKC REAL ESTATE 5306 ROCKHILL</t>
  </si>
  <si>
    <t>K3202082</t>
  </si>
  <si>
    <t>%,VK3202083</t>
  </si>
  <si>
    <t>UKC REALESTATE 5442 HARRISON</t>
  </si>
  <si>
    <t>K3202083</t>
  </si>
  <si>
    <t>%,VK3202084</t>
  </si>
  <si>
    <t>UKC REAL ESTATE 5400 HARRISON</t>
  </si>
  <si>
    <t>K3202084</t>
  </si>
  <si>
    <t>%,VK3202086</t>
  </si>
  <si>
    <t>UKC REAL ESTATE 7100-02 VIRGIN</t>
  </si>
  <si>
    <t>K3202086</t>
  </si>
  <si>
    <t>%,VK3202088</t>
  </si>
  <si>
    <t>UKC REAL ESTATE OPERATIONS CLE</t>
  </si>
  <si>
    <t>K3202088</t>
  </si>
  <si>
    <t>%,VK3202089</t>
  </si>
  <si>
    <t>UKC REAL ESTATE PAYABLES CLEAR</t>
  </si>
  <si>
    <t>K3202089</t>
  </si>
  <si>
    <t>%,VK3202090</t>
  </si>
  <si>
    <t>UKC 5329 ROCKHILL</t>
  </si>
  <si>
    <t>K3202090</t>
  </si>
  <si>
    <t>%,VK3202091</t>
  </si>
  <si>
    <t>UKC 5430 32 HARRISON</t>
  </si>
  <si>
    <t>K3202091</t>
  </si>
  <si>
    <t>%,VK3202092</t>
  </si>
  <si>
    <t>UKC 5339 HARRISON</t>
  </si>
  <si>
    <t>K3202092</t>
  </si>
  <si>
    <t>%,VK3202093</t>
  </si>
  <si>
    <t>UKC 5429 ROCKHILL ROAD</t>
  </si>
  <si>
    <t>K3202093</t>
  </si>
  <si>
    <t>%,VK3202094</t>
  </si>
  <si>
    <t>UKC 5440 Rockhill</t>
  </si>
  <si>
    <t>K3202094</t>
  </si>
  <si>
    <t>%,VK3202096</t>
  </si>
  <si>
    <t>UKC 715 E 54TH STREET</t>
  </si>
  <si>
    <t>K3202096</t>
  </si>
  <si>
    <t>%,VK3202097</t>
  </si>
  <si>
    <t>UKC 5314 ROCKHILL ROAD</t>
  </si>
  <si>
    <t>K3202097</t>
  </si>
  <si>
    <t>%,VK3202098</t>
  </si>
  <si>
    <t>UKC 5318 ROCKHILL ROAD</t>
  </si>
  <si>
    <t>K3202098</t>
  </si>
  <si>
    <t>%,VK3202099</t>
  </si>
  <si>
    <t>UKC 5304 HARRISON</t>
  </si>
  <si>
    <t>K3202099</t>
  </si>
  <si>
    <t>%,VK3202100</t>
  </si>
  <si>
    <t>UKC 5345 CHARLOTTE</t>
  </si>
  <si>
    <t>K3202100</t>
  </si>
  <si>
    <t>%,VK3202101</t>
  </si>
  <si>
    <t>UKC 5410 HARRISON</t>
  </si>
  <si>
    <t>K3202101</t>
  </si>
  <si>
    <t>%,VK3202102</t>
  </si>
  <si>
    <t>UKC 5300 CHARLOTTE</t>
  </si>
  <si>
    <t>K3202102</t>
  </si>
  <si>
    <t>%,VK3601112</t>
  </si>
  <si>
    <t>MCDAVID LOAN</t>
  </si>
  <si>
    <t>K3601112</t>
  </si>
  <si>
    <t>%,FFUND_CODE,TGASB_34_35_FUND,NAGENCY_FUNDS_NONEXP,FDEPTID,X,_</t>
  </si>
  <si>
    <t>TOTAL AGENCY FUNDS</t>
  </si>
  <si>
    <t>502000</t>
  </si>
  <si>
    <t>%,V503000</t>
  </si>
  <si>
    <t>Land offset</t>
  </si>
  <si>
    <t>503000</t>
  </si>
  <si>
    <t>%,V504000</t>
  </si>
  <si>
    <t>Library Books offset</t>
  </si>
  <si>
    <t>504000</t>
  </si>
  <si>
    <t>%,V505500</t>
  </si>
  <si>
    <t>Artwork offset</t>
  </si>
  <si>
    <t>505500</t>
  </si>
  <si>
    <t>%,V778100</t>
  </si>
  <si>
    <t>Fabricated Equipment - Capital</t>
  </si>
  <si>
    <t>778100</t>
  </si>
  <si>
    <t>%,V793000</t>
  </si>
  <si>
    <t>Landscape/Grounds capital</t>
  </si>
  <si>
    <t>793000</t>
  </si>
  <si>
    <t>%,V798500</t>
  </si>
  <si>
    <t>Land</t>
  </si>
  <si>
    <t>798500</t>
  </si>
  <si>
    <t>%,V799000</t>
  </si>
  <si>
    <t>New construction proj-building</t>
  </si>
  <si>
    <t>799000</t>
  </si>
  <si>
    <t>%,V799500</t>
  </si>
  <si>
    <t>Other capital improvements</t>
  </si>
  <si>
    <t>799500</t>
  </si>
  <si>
    <t>%,V821000</t>
  </si>
  <si>
    <t>Building depreciation</t>
  </si>
  <si>
    <t>821000</t>
  </si>
  <si>
    <t>%,V822000</t>
  </si>
  <si>
    <t>Equipment depreciation</t>
  </si>
  <si>
    <t>822000</t>
  </si>
  <si>
    <t>%,V822500</t>
  </si>
  <si>
    <t>Infrastructure depreciation</t>
  </si>
  <si>
    <t>822500</t>
  </si>
  <si>
    <t>%,V822600</t>
  </si>
  <si>
    <t>Library Book Depreciation</t>
  </si>
  <si>
    <t>822600</t>
  </si>
  <si>
    <t>Income (Loss) after State Appropriations, before</t>
  </si>
  <si>
    <t xml:space="preserve">   Nonoperating Revenues (Expenses)</t>
  </si>
  <si>
    <t>%,V470100</t>
  </si>
  <si>
    <t>Endowment income-balanced pool</t>
  </si>
  <si>
    <t>470100</t>
  </si>
  <si>
    <t>%,V470200</t>
  </si>
  <si>
    <t>Endowment income - fixed pool</t>
  </si>
  <si>
    <t>470200</t>
  </si>
  <si>
    <t>%,V470400</t>
  </si>
  <si>
    <t>Endowment income -state match</t>
  </si>
  <si>
    <t>470400</t>
  </si>
  <si>
    <t>%,V470500</t>
  </si>
  <si>
    <t>Endowment income -sep invested</t>
  </si>
  <si>
    <t>470500</t>
  </si>
  <si>
    <t>%,V470600</t>
  </si>
  <si>
    <t>Invest Income-Spec Instruction</t>
  </si>
  <si>
    <t>470600</t>
  </si>
  <si>
    <t>%,V470950</t>
  </si>
  <si>
    <t>Endowment Income - Fd Trusts</t>
  </si>
  <si>
    <t>470950</t>
  </si>
  <si>
    <t>%,V475600</t>
  </si>
  <si>
    <t>Real gain(loss)-sale of invest</t>
  </si>
  <si>
    <t>475600</t>
  </si>
  <si>
    <t>%,V475700</t>
  </si>
  <si>
    <t>Unrealized gain(loss)</t>
  </si>
  <si>
    <t>475700</t>
  </si>
  <si>
    <t>%,V506000</t>
  </si>
  <si>
    <t>Retire of Indebtedness</t>
  </si>
  <si>
    <t>506000</t>
  </si>
  <si>
    <t>%,V900000</t>
  </si>
  <si>
    <t>Debt service - principal</t>
  </si>
  <si>
    <t>900000</t>
  </si>
  <si>
    <t>%,V901000</t>
  </si>
  <si>
    <t>Debt service - interest</t>
  </si>
  <si>
    <t>901000</t>
  </si>
  <si>
    <t>%,V901002</t>
  </si>
  <si>
    <t>Amortized Discount</t>
  </si>
  <si>
    <t>901002</t>
  </si>
  <si>
    <t>%,V901003</t>
  </si>
  <si>
    <t>Amortized Issue Costs</t>
  </si>
  <si>
    <t>901003</t>
  </si>
  <si>
    <t>%,V901004</t>
  </si>
  <si>
    <t>Amortized Bond Loss</t>
  </si>
  <si>
    <t>901004</t>
  </si>
  <si>
    <t>%,V930000</t>
  </si>
  <si>
    <t>Payments to beneficiaries</t>
  </si>
  <si>
    <t>930000</t>
  </si>
  <si>
    <t xml:space="preserve">    Income (Loss) before Capital and Endowment</t>
  </si>
  <si>
    <t xml:space="preserve">        Additions and Transfers</t>
  </si>
  <si>
    <t xml:space="preserve">    Net Other Nonoperating Revenues (Expenses) before Transfers </t>
  </si>
  <si>
    <t>%,V390000</t>
  </si>
  <si>
    <t>Mandatory Transfers In</t>
  </si>
  <si>
    <t>390000</t>
  </si>
  <si>
    <t>%,V390100</t>
  </si>
  <si>
    <t>Mandatory Trfs In-DRT</t>
  </si>
  <si>
    <t>390100</t>
  </si>
  <si>
    <t>%,V390300</t>
  </si>
  <si>
    <t>Mandatory Trf In -Other</t>
  </si>
  <si>
    <t>390300</t>
  </si>
  <si>
    <t>%,V860001</t>
  </si>
  <si>
    <t>Mandatory Trfs Out</t>
  </si>
  <si>
    <t>860001</t>
  </si>
  <si>
    <t>%,V391100</t>
  </si>
  <si>
    <t>Non Man Trf In R&amp;R(NonCapPl)</t>
  </si>
  <si>
    <t>391100</t>
  </si>
  <si>
    <t>%,V391200</t>
  </si>
  <si>
    <t>NonMand Trf In R&amp;R(Cap Pool)</t>
  </si>
  <si>
    <t>391200</t>
  </si>
  <si>
    <t>%,V867000</t>
  </si>
  <si>
    <t>Trans Out fixed price contract</t>
  </si>
  <si>
    <t>867000</t>
  </si>
  <si>
    <t>%,V868000</t>
  </si>
  <si>
    <t>868000</t>
  </si>
  <si>
    <t xml:space="preserve">    Net Nonoperating Revenues (Expenses) and Transfers </t>
  </si>
  <si>
    <t xml:space="preserve">    Nonoperating Revenues (Expenses) and Transfers</t>
  </si>
  <si>
    <t>%,QKRDJ_UGL_GASB_35_FIN_STMTS_BS,CA.POSTED_TOTAL_AMT,SBAL</t>
  </si>
  <si>
    <t>%,FFUND_CODE,TGASB_34_35_FUND,NUNEXP_AND_RANDR_UNR</t>
  </si>
  <si>
    <t>%,FFUND_CODE,TGASB_34_35_FUND,NNET_INV_PLT_NONEXP</t>
  </si>
  <si>
    <t>STATEMENT OF NET ASSETS - BY FUND</t>
  </si>
  <si>
    <t>Plant</t>
  </si>
  <si>
    <t>Including</t>
  </si>
  <si>
    <t>%,FACCOUNT,TGASB_34_35,X,NCASH AND CASH EQ</t>
  </si>
  <si>
    <t>%,V112000</t>
  </si>
  <si>
    <t>Petty cash</t>
  </si>
  <si>
    <t>112000</t>
  </si>
  <si>
    <t>%,V121000</t>
  </si>
  <si>
    <t>Temp Invest - Gen Pool 2</t>
  </si>
  <si>
    <t>121000</t>
  </si>
  <si>
    <t>%,V121200</t>
  </si>
  <si>
    <t>Temp Invest - Spec Instruction</t>
  </si>
  <si>
    <t>121200</t>
  </si>
  <si>
    <t>%,V121400</t>
  </si>
  <si>
    <t>Temp investments-miscellaneous</t>
  </si>
  <si>
    <t>121400</t>
  </si>
  <si>
    <t>%,V121500</t>
  </si>
  <si>
    <t>Temp invest - Fixed Pool</t>
  </si>
  <si>
    <t>121500</t>
  </si>
  <si>
    <t>%,V121600</t>
  </si>
  <si>
    <t>Temp invest - Balanced Pool</t>
  </si>
  <si>
    <t>121600</t>
  </si>
  <si>
    <t>%,V121700</t>
  </si>
  <si>
    <t>Temp invest - Sep Invested</t>
  </si>
  <si>
    <t>121700</t>
  </si>
  <si>
    <t>%,V121900</t>
  </si>
  <si>
    <t>Temp invest - securities lend</t>
  </si>
  <si>
    <t>121900</t>
  </si>
  <si>
    <t>%,V190000</t>
  </si>
  <si>
    <t>Cash</t>
  </si>
  <si>
    <t>190000</t>
  </si>
  <si>
    <t>%,FACCOUNT,TGASB_34_35,X,NSHORT_TERM INVESTMEN</t>
  </si>
  <si>
    <t>Short Term Investments</t>
  </si>
  <si>
    <t>%,V131000</t>
  </si>
  <si>
    <t>State approp rec</t>
  </si>
  <si>
    <t>131000</t>
  </si>
  <si>
    <t>%,FACCOUNT,TGASB_34_35,X,NSTATE APPROP REC</t>
  </si>
  <si>
    <t>State Appropriations Receivable</t>
  </si>
  <si>
    <t>%,V133000</t>
  </si>
  <si>
    <t>Awards AR - Year End Manual</t>
  </si>
  <si>
    <t>133000</t>
  </si>
  <si>
    <t>%,V133050</t>
  </si>
  <si>
    <t>Awards Receivable-PS AR/BI</t>
  </si>
  <si>
    <t>133050</t>
  </si>
  <si>
    <t>%,V133160</t>
  </si>
  <si>
    <t>Accts Rec - Unbilled AR-Grants</t>
  </si>
  <si>
    <t>133160</t>
  </si>
  <si>
    <t>%,V133900</t>
  </si>
  <si>
    <t>Allowance AR Grants</t>
  </si>
  <si>
    <t>133900</t>
  </si>
  <si>
    <t>%,FACCOUNT,TGASB_34_35,X,NGRANTS_RECEIVABLE</t>
  </si>
  <si>
    <t>Grants and Contracts Receivable, net</t>
  </si>
  <si>
    <t>%,FACCOUNT,TGASB_34_35,X,NPATIENTS_RECEIVABLE</t>
  </si>
  <si>
    <t>Patient Services Receivable, net</t>
  </si>
  <si>
    <t>%,V130000</t>
  </si>
  <si>
    <t>Current Pledges Receivable</t>
  </si>
  <si>
    <t>130000</t>
  </si>
  <si>
    <t>%,FACCOUNT,TGASB_34_35,X,NCURRENT PLEDGES REC</t>
  </si>
  <si>
    <t>%,V132000</t>
  </si>
  <si>
    <t>Accts rec - students</t>
  </si>
  <si>
    <t>132000</t>
  </si>
  <si>
    <t>%,V132200</t>
  </si>
  <si>
    <t>Accounts Receivable-PS AR/BI</t>
  </si>
  <si>
    <t>132200</t>
  </si>
  <si>
    <t>%,V132500</t>
  </si>
  <si>
    <t>Accts rec - miscellaneous</t>
  </si>
  <si>
    <t>132500</t>
  </si>
  <si>
    <t>%,V140000</t>
  </si>
  <si>
    <t>Allow for uncoll student accts</t>
  </si>
  <si>
    <t>140000</t>
  </si>
  <si>
    <t>%,V140500</t>
  </si>
  <si>
    <t>Allow for uncoll misc accts</t>
  </si>
  <si>
    <t>140500</t>
  </si>
  <si>
    <t>%,V160000</t>
  </si>
  <si>
    <t>Suspense</t>
  </si>
  <si>
    <t>160000</t>
  </si>
  <si>
    <t>%,FACCOUNT,TGASB_34_35,X,NACCOUNTS RECEIVABLE</t>
  </si>
  <si>
    <t>Other Accounts Receivable, net</t>
  </si>
  <si>
    <t>%,FACCOUNT,TGASB_34_35,X,NINVESTMENT RECEIVE</t>
  </si>
  <si>
    <t>Investment Settlements Receivable</t>
  </si>
  <si>
    <t>%,FACCOUNT,TGASB_34_35,X,NSUSPENSE/CLEARING</t>
  </si>
  <si>
    <t>Suspense/Clearing</t>
  </si>
  <si>
    <t>%,V150000</t>
  </si>
  <si>
    <t>150000</t>
  </si>
  <si>
    <t>%,FACCOUNT,TGASB_34_35,X,NINVENTORIES</t>
  </si>
  <si>
    <t>%,V161000</t>
  </si>
  <si>
    <t>Prepaid expense</t>
  </si>
  <si>
    <t>161000</t>
  </si>
  <si>
    <t>%,FACCOUNT,TGASB_34_35,X,NPREPAID EXPENSE</t>
  </si>
  <si>
    <t>Prepaid Expenses</t>
  </si>
  <si>
    <t>%,V138250</t>
  </si>
  <si>
    <t>Student Loans Outstanding-S T</t>
  </si>
  <si>
    <t>138250</t>
  </si>
  <si>
    <t>%,V138500</t>
  </si>
  <si>
    <t>Allow Uncoll Stud Loans-S T</t>
  </si>
  <si>
    <t>138500</t>
  </si>
  <si>
    <t>%,FACCOUNT,TGASB_34_35,X,NCURRENT NOTES REC</t>
  </si>
  <si>
    <t>%,FACCOUNT,TGASB_34_35,X,NDUE FROM OTHER FUNDS</t>
  </si>
  <si>
    <t>Due from Other Funds</t>
  </si>
  <si>
    <t xml:space="preserve">        Total Current Assets</t>
  </si>
  <si>
    <t>%,FACCOUNT,TGASB_34_35,X,NRESTRICTED CASH</t>
  </si>
  <si>
    <t>Restricted Cash and Cash Equivalents</t>
  </si>
  <si>
    <t>%,V130500</t>
  </si>
  <si>
    <t>Pledges Receivable</t>
  </si>
  <si>
    <t>130500</t>
  </si>
  <si>
    <t>%,FACCOUNT,TGASB_34_35,X,NPLEDGES RECEIVABLE</t>
  </si>
  <si>
    <t>%,V135000</t>
  </si>
  <si>
    <t>Student loans rec -collections</t>
  </si>
  <si>
    <t>135000</t>
  </si>
  <si>
    <t>%,V136000</t>
  </si>
  <si>
    <t>Student loans rec-loans issued</t>
  </si>
  <si>
    <t>136000</t>
  </si>
  <si>
    <t>%,V137000</t>
  </si>
  <si>
    <t>Student loans-outstanding loan</t>
  </si>
  <si>
    <t>137000</t>
  </si>
  <si>
    <t>%,V137500</t>
  </si>
  <si>
    <t>Allow for uncoll student loans</t>
  </si>
  <si>
    <t>137500</t>
  </si>
  <si>
    <t>%,FACCOUNT,TGASB_34_35,X,NNOTES  RECEIVABLE</t>
  </si>
  <si>
    <t>%,V165100</t>
  </si>
  <si>
    <t>Bond issue cost</t>
  </si>
  <si>
    <t>165100</t>
  </si>
  <si>
    <t>%,FACCOUNT,TGASB_34_35,X,NDEFERRED AND OTHER</t>
  </si>
  <si>
    <t>%,V122100</t>
  </si>
  <si>
    <t>Long term-fixed pool-balance</t>
  </si>
  <si>
    <t>122100</t>
  </si>
  <si>
    <t>%,V122200</t>
  </si>
  <si>
    <t>Long term inv-bal pool-balance</t>
  </si>
  <si>
    <t>122200</t>
  </si>
  <si>
    <t>%,V122300</t>
  </si>
  <si>
    <t>Long term inv-sep inv-balance</t>
  </si>
  <si>
    <t>122300</t>
  </si>
  <si>
    <t>%,V124000</t>
  </si>
  <si>
    <t>Long Term Inv - Gen Pool 2</t>
  </si>
  <si>
    <t>124000</t>
  </si>
  <si>
    <t>%,V125000</t>
  </si>
  <si>
    <t>Accrued investment income</t>
  </si>
  <si>
    <t>125000</t>
  </si>
  <si>
    <t>%,FACCOUNT,TGASB_34_35,X,NLONG_TERM INVESTMENT</t>
  </si>
  <si>
    <t>%,V171000</t>
  </si>
  <si>
    <t>171000</t>
  </si>
  <si>
    <t>%,V172000</t>
  </si>
  <si>
    <t>Infrastructure</t>
  </si>
  <si>
    <t>172000</t>
  </si>
  <si>
    <t>%,V172900</t>
  </si>
  <si>
    <t>Infrastructure - accum deprec</t>
  </si>
  <si>
    <t>172900</t>
  </si>
  <si>
    <t>%,V173000</t>
  </si>
  <si>
    <t>Buildings</t>
  </si>
  <si>
    <t>173000</t>
  </si>
  <si>
    <t>%,V173900</t>
  </si>
  <si>
    <t>Buildings - accum depreciation</t>
  </si>
  <si>
    <t>173900</t>
  </si>
  <si>
    <t>%,V175000</t>
  </si>
  <si>
    <t>Furniture &amp; equipment</t>
  </si>
  <si>
    <t>175000</t>
  </si>
  <si>
    <t>%,V175500</t>
  </si>
  <si>
    <t>Equipment in Process</t>
  </si>
  <si>
    <t>175500</t>
  </si>
  <si>
    <t>%,V175900</t>
  </si>
  <si>
    <t>Furn &amp; equip - accum deprec</t>
  </si>
  <si>
    <t>175900</t>
  </si>
  <si>
    <t>%,V176000</t>
  </si>
  <si>
    <t>Books</t>
  </si>
  <si>
    <t>176000</t>
  </si>
  <si>
    <t>%,V176900</t>
  </si>
  <si>
    <t>Books - accumulated deprec</t>
  </si>
  <si>
    <t>176900</t>
  </si>
  <si>
    <t>%,V178000</t>
  </si>
  <si>
    <t>Construction in progress</t>
  </si>
  <si>
    <t>178000</t>
  </si>
  <si>
    <t>%,V179000</t>
  </si>
  <si>
    <t>Art &amp; museum objects</t>
  </si>
  <si>
    <t>179000</t>
  </si>
  <si>
    <t>%,FACCOUNT,TGASB_34_35,X,NCAPITAL_ASSETS</t>
  </si>
  <si>
    <t xml:space="preserve">        Total Noncurrent Assets</t>
  </si>
  <si>
    <t xml:space="preserve">            Total Assets</t>
  </si>
  <si>
    <t>%,V210000</t>
  </si>
  <si>
    <t>Accts payable (automated feed)</t>
  </si>
  <si>
    <t>210000</t>
  </si>
  <si>
    <t>%,V211000</t>
  </si>
  <si>
    <t>Accts payable year end upload</t>
  </si>
  <si>
    <t>211000</t>
  </si>
  <si>
    <t>%,V211003</t>
  </si>
  <si>
    <t>Estimated payables (manual)</t>
  </si>
  <si>
    <t>211003</t>
  </si>
  <si>
    <t>%,V223000</t>
  </si>
  <si>
    <t>Other accruals</t>
  </si>
  <si>
    <t>223000</t>
  </si>
  <si>
    <t>%,R,FACCOUNT,TGASB_34_35,X,NACCOUNTS_PAYABLE,NOTHER_ACCRUALS</t>
  </si>
  <si>
    <t>%,V220000</t>
  </si>
  <si>
    <t>Accr salary &amp; ben (auto feed)</t>
  </si>
  <si>
    <t>220000</t>
  </si>
  <si>
    <t>%,V221000</t>
  </si>
  <si>
    <t>Accrued sal (manual entries)</t>
  </si>
  <si>
    <t>221000</t>
  </si>
  <si>
    <t>%,R,FACCOUNT,TGASB_34_35,X,NACCRUED_PAYROLL</t>
  </si>
  <si>
    <t>Accrued Payroll</t>
  </si>
  <si>
    <t>%,V225000</t>
  </si>
  <si>
    <t>Vacation pay accrual</t>
  </si>
  <si>
    <t>225000</t>
  </si>
  <si>
    <t>%,R,FACCOUNT,TGASB_34_35,X,NACCRUED VACATION</t>
  </si>
  <si>
    <t>Accrued Vacation</t>
  </si>
  <si>
    <t>%,R,FACCOUNT,TGASB_34_35,X,NACCRUED INTEREST</t>
  </si>
  <si>
    <t>Accrued Interest Payable</t>
  </si>
  <si>
    <t>%,R,FACCOUNT,TGASB_34_35,X,NACCRUED SELF INSURAN</t>
  </si>
  <si>
    <t>Accrued Self-Insurance Claims</t>
  </si>
  <si>
    <t>%,V231000</t>
  </si>
  <si>
    <t>Def rev-student fees</t>
  </si>
  <si>
    <t>231000</t>
  </si>
  <si>
    <t>%,V233000</t>
  </si>
  <si>
    <t>Def rev - other</t>
  </si>
  <si>
    <t>233000</t>
  </si>
  <si>
    <t>%,V234000</t>
  </si>
  <si>
    <t>Deferred Revenue - Grants</t>
  </si>
  <si>
    <t>234000</t>
  </si>
  <si>
    <t>%,V240000</t>
  </si>
  <si>
    <t>Deposits</t>
  </si>
  <si>
    <t>240000</t>
  </si>
  <si>
    <t>%,R,FACCOUNT,TGASB_34_35,X,NDEFERRED_REV</t>
  </si>
  <si>
    <t>Deferred Revenue, Current</t>
  </si>
  <si>
    <t>%,V226000</t>
  </si>
  <si>
    <t>Payroll Withholdings-Employee</t>
  </si>
  <si>
    <t>226000</t>
  </si>
  <si>
    <t>%,V227500</t>
  </si>
  <si>
    <t>Payroll Withholding-Payments</t>
  </si>
  <si>
    <t>227500</t>
  </si>
  <si>
    <t>%,R,FACCOUNT,TGASB_34_35,X,NPAYROLL WITHHOLDINGS</t>
  </si>
  <si>
    <t>Payroll Withholdings and Other Employee Benefits</t>
  </si>
  <si>
    <t>%,R,FACCOUNT,TGASB_34_35,X,NINVESTMENT PAYABLES</t>
  </si>
  <si>
    <t>Investment Settlements Payable</t>
  </si>
  <si>
    <t>%,V219900</t>
  </si>
  <si>
    <t>Collateral for sec (sec lend)</t>
  </si>
  <si>
    <t>219900</t>
  </si>
  <si>
    <t>%,R,FACCOUNT,TGASB_34_35,X,NCOLLATERAL SEC LEND</t>
  </si>
  <si>
    <t>%,R,FACCOUNT,TGASB_34_35,X,NCURRENT CAP LSE OBLI</t>
  </si>
  <si>
    <t>Capital Lease Obligations, current</t>
  </si>
  <si>
    <t>%,V252500</t>
  </si>
  <si>
    <t>Current Bonds Payable</t>
  </si>
  <si>
    <t>252500</t>
  </si>
  <si>
    <t>%,R,FACCOUNT,TGASB_34_35,X,NCURRENT BONDS PAYABL</t>
  </si>
  <si>
    <t>%,R,FACCOUNT,TGASB_34_35,X,NDUE TO OTHER FUNDS</t>
  </si>
  <si>
    <t>Other Nonoperating Revenues (Expenses) and Transfers:</t>
  </si>
  <si>
    <t xml:space="preserve">    Investment and Endowment Income</t>
  </si>
  <si>
    <t>%,R,FACCOUNT,TGASB_34_35,X,NGIFTS</t>
  </si>
  <si>
    <t xml:space="preserve">    Private Gifts</t>
  </si>
  <si>
    <t>%,FACCOUNT,TGASB_34_35,X,NINTEREST CAP DEBT</t>
  </si>
  <si>
    <t xml:space="preserve">    Interest Expense</t>
  </si>
  <si>
    <t>%,R,FACCOUNT,TGASB_34_35,X,NFEDERAL APPROPS,NPAYMENTS TO BENE,NRETIREMENT BENEFITS,NSTATE APPROPS</t>
  </si>
  <si>
    <t xml:space="preserve">    Other Nonoperating Revenues and Expenses</t>
  </si>
  <si>
    <t>%,R,FACCOUNT,TGASB_34_35,X,NTRANSFERS</t>
  </si>
  <si>
    <t xml:space="preserve">    Transfers</t>
  </si>
  <si>
    <t xml:space="preserve">        Net Other Nonoperating Revenues (Expenses)</t>
  </si>
  <si>
    <t xml:space="preserve">          and Transfers</t>
  </si>
  <si>
    <t xml:space="preserve">            Increase (Decrease) in Net Assets</t>
  </si>
  <si>
    <t>%,SBEGBAL,R,FACCOUNT,V300000</t>
  </si>
  <si>
    <t>%,R,FACCOUNT,TGASB_34_35,NFEDERAL GRANTS,NGIFTS,NOTHER GOVT GRANTS,NPRIVATE GRANTS,NSTATE GRANTS</t>
  </si>
  <si>
    <t>%,R,FACCOUNT,TGASB_34_35,NINTEREST NOTES REC,NLOAN FUND DEDUCT</t>
  </si>
  <si>
    <t>%,R,FACCOUNT,TGASB_34_35,NINVEST INC ENDOW,NINVESTMENT INCOME,NOTHER OPERATING REV</t>
  </si>
  <si>
    <t>%,FACCOUNT,TGASB_34_35,NAUX &amp; EDUC ACTIV,NDEPRECIATION,NOTHER DEPT OPERATING,NPROFESSIONAL &amp; CONSU,NSALARIES,NSTAFF BENEFITS,NSUPPLY_NONCAP ASSET,NUTILITIES,NSCHOLAR &amp; FELLOW,NSELF INSURANCE BENE</t>
  </si>
  <si>
    <t>%,R,FACCOUNT,TGASB_34_35,NTRANSFERS</t>
  </si>
  <si>
    <t>LOAN FUNDS</t>
  </si>
  <si>
    <t>PGASB13K</t>
  </si>
  <si>
    <t>Balance</t>
  </si>
  <si>
    <t>Gifts, Grants</t>
  </si>
  <si>
    <t>Income From</t>
  </si>
  <si>
    <t>Investments &amp;</t>
  </si>
  <si>
    <t>&amp; Contracts</t>
  </si>
  <si>
    <t>Student Loans</t>
  </si>
  <si>
    <t>Other Income</t>
  </si>
  <si>
    <t>Deductions</t>
  </si>
  <si>
    <t>In(Out)</t>
  </si>
  <si>
    <t>RESTRICTED:</t>
  </si>
  <si>
    <t>%,VK6001</t>
  </si>
  <si>
    <t>HPL-DENTAL</t>
  </si>
  <si>
    <t>%,VK6002</t>
  </si>
  <si>
    <t>H P L-MEDICINE</t>
  </si>
  <si>
    <t>%,VK6003</t>
  </si>
  <si>
    <t>H P L-PHARMACY</t>
  </si>
  <si>
    <t>%,VK6004</t>
  </si>
  <si>
    <t>NATIONAL DIRECT</t>
  </si>
  <si>
    <t>%,VK6005</t>
  </si>
  <si>
    <t>DHHS-LDS - PHARMACY</t>
  </si>
  <si>
    <t>%,VK6006</t>
  </si>
  <si>
    <t>DHHS-LDS - DENTAL</t>
  </si>
  <si>
    <t>%,VK6007</t>
  </si>
  <si>
    <t>DHHS-LDS - MEDICINE</t>
  </si>
  <si>
    <t>%,VK6008</t>
  </si>
  <si>
    <t>NURSING LOAN-GRAD</t>
  </si>
  <si>
    <t>%,VK6009</t>
  </si>
  <si>
    <t>DOUBTFUL LOAN-FED</t>
  </si>
  <si>
    <t>%,VK6010</t>
  </si>
  <si>
    <t>ALQUIST STUDENT LOAN</t>
  </si>
  <si>
    <t>%,VK6011</t>
  </si>
  <si>
    <t>AM DENT ASSN LOAN</t>
  </si>
  <si>
    <t>%,VK6012</t>
  </si>
  <si>
    <t>AUDITED HPLP LOAN FD</t>
  </si>
  <si>
    <t>%,VK6013</t>
  </si>
  <si>
    <t>FRED BAXTER LOAN</t>
  </si>
  <si>
    <t>%,VK6014</t>
  </si>
  <si>
    <t>EUNICE BEIMDIEK LN</t>
  </si>
  <si>
    <t>%,VK6015</t>
  </si>
  <si>
    <t>DR D J BLANFORD LOAN</t>
  </si>
  <si>
    <t>%,VK6016</t>
  </si>
  <si>
    <t>MRS H J BONE LOAN</t>
  </si>
  <si>
    <t>%,VK6017</t>
  </si>
  <si>
    <t>DR E L BRADDOCK LOAN</t>
  </si>
  <si>
    <t>%,VK6018</t>
  </si>
  <si>
    <t>GRACIA BREMMER LN FD</t>
  </si>
  <si>
    <t>%,VK6019</t>
  </si>
  <si>
    <t>R L BRIGGS MEM LN</t>
  </si>
  <si>
    <t>%,VK6020</t>
  </si>
  <si>
    <t>HUGH AND FLO BRYANT</t>
  </si>
  <si>
    <t>%,VK6021</t>
  </si>
  <si>
    <t>CENTRAL DISTRICT LN</t>
  </si>
  <si>
    <t>%,VK6022</t>
  </si>
  <si>
    <t>DENTAL LOAN FUND</t>
  </si>
  <si>
    <t>%,VK6023</t>
  </si>
  <si>
    <t>DR E A DEVINS LOAN</t>
  </si>
  <si>
    <t>%,VK6024</t>
  </si>
  <si>
    <t>RUSSELL ELLIOTT ED</t>
  </si>
  <si>
    <t>%,VK6025</t>
  </si>
  <si>
    <t>EXCHANGE CLUB LOAN</t>
  </si>
  <si>
    <t>%,VK6026</t>
  </si>
  <si>
    <t>FACULTY-STAFF LOAN</t>
  </si>
  <si>
    <t>%,VK6027</t>
  </si>
  <si>
    <t>FERGUSON LOAN FUND</t>
  </si>
  <si>
    <t>%,VK6028</t>
  </si>
  <si>
    <t>GENERAL STUDENT LOAN</t>
  </si>
  <si>
    <t>%,VK6029</t>
  </si>
  <si>
    <t>JOE GILBERT LOAN</t>
  </si>
  <si>
    <t>%,VK6030</t>
  </si>
  <si>
    <t>TED GILMORE FUND</t>
  </si>
  <si>
    <t>%,VK6031</t>
  </si>
  <si>
    <t>GR PLAINS DENTAL LN</t>
  </si>
  <si>
    <t>%,VK6032</t>
  </si>
  <si>
    <t>HARGRAVE LOAN FD</t>
  </si>
  <si>
    <t>%,VK6033</t>
  </si>
  <si>
    <t>HARTVIGENSEN LOAN FD</t>
  </si>
  <si>
    <t>%,VK6034</t>
  </si>
  <si>
    <t>HAWKINS LOAN FUND</t>
  </si>
  <si>
    <t>%,VK6035</t>
  </si>
  <si>
    <t>INDIAN STU CLB LOAN</t>
  </si>
  <si>
    <t>%,VK6036</t>
  </si>
  <si>
    <t>INTL COLL DENTIST LN</t>
  </si>
  <si>
    <t>%,VK6037</t>
  </si>
  <si>
    <t>WM R JACQUES FUND</t>
  </si>
  <si>
    <t>%,VK6038</t>
  </si>
  <si>
    <t>JAPAN-AMER EMER LOAN</t>
  </si>
  <si>
    <t>%,VK6039</t>
  </si>
  <si>
    <t>R W JOHNSON FDN-DENT</t>
  </si>
  <si>
    <t>%,VK6040</t>
  </si>
  <si>
    <t>R W JOHNSON FDN</t>
  </si>
  <si>
    <t>%,VK6041</t>
  </si>
  <si>
    <t>KANSAS DENTAL AUX LN</t>
  </si>
  <si>
    <t>%,VK6042</t>
  </si>
  <si>
    <t>KELLOGG STUDENT LOAN</t>
  </si>
  <si>
    <t>%,VK6043</t>
  </si>
  <si>
    <t>MAX LEUPOLD SCHP LN</t>
  </si>
  <si>
    <t>%,VK6044</t>
  </si>
  <si>
    <t>LOGAN STUDY CLUD FD</t>
  </si>
  <si>
    <t>%,VK6045</t>
  </si>
  <si>
    <t>H E &amp; D D LOUGH LOAN</t>
  </si>
  <si>
    <t>%,VK6046</t>
  </si>
  <si>
    <t>NADINE C LOUGH LOAN</t>
  </si>
  <si>
    <t>%,VK6047</t>
  </si>
  <si>
    <t>A D MARTIN MEMORIAL</t>
  </si>
  <si>
    <t>%,VK6048</t>
  </si>
  <si>
    <t>MCCREIGHT LOAN FUND</t>
  </si>
  <si>
    <t>%,VK6049</t>
  </si>
  <si>
    <t>MEDICAL STUDENT LOAN</t>
  </si>
  <si>
    <t>%,VK6050</t>
  </si>
  <si>
    <t>MEDLINK LOAN FUND</t>
  </si>
  <si>
    <t>%,VK6051</t>
  </si>
  <si>
    <t>MID-CENT DENT LOAN</t>
  </si>
  <si>
    <t>%,VK6052</t>
  </si>
  <si>
    <t>MO REPERTORY LOAN</t>
  </si>
  <si>
    <t>%,VK6053</t>
  </si>
  <si>
    <t>MO REXALLITE LOAN</t>
  </si>
  <si>
    <t>%,VK6054</t>
  </si>
  <si>
    <t>DR G ROTH DENT ST LN</t>
  </si>
  <si>
    <t>%,VK6055</t>
  </si>
  <si>
    <t>J R SWARTZ MEMORIAL</t>
  </si>
  <si>
    <t>%,VK6056</t>
  </si>
  <si>
    <t>MURRAY STUDENT LOAN</t>
  </si>
  <si>
    <t>%,VK6057</t>
  </si>
  <si>
    <t>ARTHUR NELSON LOAN</t>
  </si>
  <si>
    <t>%,VK6058</t>
  </si>
  <si>
    <t>O'DELL DENTAL LOAN</t>
  </si>
  <si>
    <t>%,VK6059</t>
  </si>
  <si>
    <t>ORTHO STUDENT LOAN</t>
  </si>
  <si>
    <t>%,VK6060</t>
  </si>
  <si>
    <t>RODDY OSBORNE FUND</t>
  </si>
  <si>
    <t>%,VK6061</t>
  </si>
  <si>
    <t>PARROTT FDN LOAN</t>
  </si>
  <si>
    <t>%,VK6062</t>
  </si>
  <si>
    <t>J C PENTICUFF MEMOR</t>
  </si>
  <si>
    <t>%,VK6063</t>
  </si>
  <si>
    <t>PHARMACY ALUMNI LOAN</t>
  </si>
  <si>
    <t>%,VK6064</t>
  </si>
  <si>
    <t>PHARM-CHEM ALLIED CO</t>
  </si>
  <si>
    <t>%,VK6065</t>
  </si>
  <si>
    <t>PHARMACY-I KATZ MEM</t>
  </si>
  <si>
    <t>%,VK6066</t>
  </si>
  <si>
    <t>PHARM-J S WATKINS LN</t>
  </si>
  <si>
    <t>%,VK6067</t>
  </si>
  <si>
    <t>PETER POTTER LOAN</t>
  </si>
  <si>
    <t>%,VK6068</t>
  </si>
  <si>
    <t>POWELL REVOLVING LN</t>
  </si>
  <si>
    <t>%,VK6069</t>
  </si>
  <si>
    <t>RUEBEN RHODES MEM</t>
  </si>
  <si>
    <t>%,VK6070</t>
  </si>
  <si>
    <t>SCHOOL OF PHARMACY</t>
  </si>
  <si>
    <t>%,VK6071</t>
  </si>
  <si>
    <t>O M SCOTT LOAN FUND</t>
  </si>
  <si>
    <t>%,VK6072</t>
  </si>
  <si>
    <t>SECOND PRESB INTL LN</t>
  </si>
  <si>
    <t>%,VK6073</t>
  </si>
  <si>
    <t>R A SHANNON LOAN</t>
  </si>
  <si>
    <t>%,VK6074</t>
  </si>
  <si>
    <t>SMALL LOAN EMERG FD</t>
  </si>
  <si>
    <t>%,VK6075</t>
  </si>
  <si>
    <t>R &amp; H SMITH LOAN</t>
  </si>
  <si>
    <t>%,VK6076</t>
  </si>
  <si>
    <t>SOC OF NEW ENG WOMEN</t>
  </si>
  <si>
    <t>%,VK6077</t>
  </si>
  <si>
    <t>SW DIST DENT STU LN</t>
  </si>
  <si>
    <t>%,VK6078</t>
  </si>
  <si>
    <t>T DUFF STEWARD MEM</t>
  </si>
  <si>
    <t>%,VK6079</t>
  </si>
  <si>
    <t>FRIENDS MEDICAL LOAN</t>
  </si>
  <si>
    <t>%,VK6080</t>
  </si>
  <si>
    <t>STUDENT AID FUND</t>
  </si>
  <si>
    <t>%,VK6081</t>
  </si>
  <si>
    <t>TOPEKA DENT AUX LN</t>
  </si>
  <si>
    <t>%,VK6082</t>
  </si>
  <si>
    <t>UNITED STUDENT AID</t>
  </si>
  <si>
    <t>%,VK6083</t>
  </si>
  <si>
    <t>UMKC ALUMNI EMERG LN</t>
  </si>
  <si>
    <t>%,VK6084</t>
  </si>
  <si>
    <t>UMKC S-T LOANS</t>
  </si>
  <si>
    <t>%,VK6085</t>
  </si>
  <si>
    <t>C E VIRDEN MED STULN</t>
  </si>
  <si>
    <t>%,VK6087</t>
  </si>
  <si>
    <t>W CENT RET DRUG ASSN</t>
  </si>
  <si>
    <t>%,VK6088</t>
  </si>
  <si>
    <t>WEST MO FRIEND EM LN</t>
  </si>
  <si>
    <t>%,VK6089</t>
  </si>
  <si>
    <t>W WILLIAMS LOAN FUND</t>
  </si>
  <si>
    <t>%,VK6091</t>
  </si>
  <si>
    <t>R W WORTS MEM ST LN</t>
  </si>
  <si>
    <t>%,VK6092</t>
  </si>
  <si>
    <t>WYANDOTTE CO DENT SO</t>
  </si>
  <si>
    <t>%,VK6094</t>
  </si>
  <si>
    <t>STUDENT LOAN SUSPENS</t>
  </si>
  <si>
    <t>%,VK6095</t>
  </si>
  <si>
    <t>ALW-DBFL LN N-FD RE</t>
  </si>
  <si>
    <t>%,VK6097</t>
  </si>
  <si>
    <t>UMKC ALUM ASSN LOAN</t>
  </si>
  <si>
    <t>%,VK6099</t>
  </si>
  <si>
    <t>IVA E BASORE LOAN</t>
  </si>
  <si>
    <t>%,VK6100</t>
  </si>
  <si>
    <t>CHRISTIAN LOAN FUND</t>
  </si>
  <si>
    <t>%,FPROGRAM_CODE,TPROGRAM,X,NR_LOANPGM,NA_LOANPGM,NK_LOANPGM,NC_LOANPGM,NE_LOANPGM,NS_LOANPGM,NU_LOANPGM,FFUND_CODE,TGASB_34_35_FUND,NLOAN_FUNDS_RESTEXP,NLOAN_FUNDS_NONEXP</t>
  </si>
  <si>
    <t>TOTAL RESTRICTED</t>
  </si>
  <si>
    <t>UNRESTRICTED:</t>
  </si>
  <si>
    <t>%,VK6090</t>
  </si>
  <si>
    <t>M WOODSON MEM STU LN</t>
  </si>
  <si>
    <t>%,VK6093</t>
  </si>
  <si>
    <t>ALLOW DTFL NOTE-NF-U</t>
  </si>
  <si>
    <t>%,FPROGRAM_CODE,TPROGRAM,X,NR_LOANPGM,NA_LOANPGM,NC_LOANPGM,NK_LOANPGM,NS_LOANPGM,NU_LOANPGM,FFUND_CODE,TGASB_34_35_FUND,NUNRESTRICTED</t>
  </si>
  <si>
    <t>TOTAL UNRESTRICTED</t>
  </si>
  <si>
    <t xml:space="preserve">         TOTAL LOAN FUNDS</t>
  </si>
  <si>
    <t xml:space="preserve">        TOTAL LOAN FUNDS</t>
  </si>
  <si>
    <t>%,ATF,FDESCR</t>
  </si>
  <si>
    <t>%,R,FACCOUNT,TGASB_34_35,NGIFTS,NOTHER OPERATING REV</t>
  </si>
  <si>
    <t>%,R,FACCOUNT,TGASB_34_35,NINVESTMENT INCOME,NINVEST INC ENDOW</t>
  </si>
  <si>
    <t>%,R,FACCOUNT,TGASB_34_35,NREALIZED GAIN(LOSS),NUNREALIZED GAIN(LOSS</t>
  </si>
  <si>
    <t>%,FACCOUNT,TGASB_34_35,NAUX &amp; EDUC ACTIV,NDEPRECIATION,NLOAN FUND DEDUCT,NOTHER DEPT OPERATING,NPROFESSIONAL &amp; CONSU,NSALARIES,NSTAFF BENEFITS,NSUPPLY_NONCAP ASSET,NUTILITIES,NPAYMENTS TO BENE</t>
  </si>
  <si>
    <t>ENDOWMENT AND SIMILAR FUNDS</t>
  </si>
  <si>
    <t>PGASB14K</t>
  </si>
  <si>
    <t>Gifts and</t>
  </si>
  <si>
    <t>Income (Loss)</t>
  </si>
  <si>
    <t>Gain (Loss)</t>
  </si>
  <si>
    <t>Other</t>
  </si>
  <si>
    <t>added to</t>
  </si>
  <si>
    <t>on Sale of</t>
  </si>
  <si>
    <t>Transfers
In (Out)</t>
  </si>
  <si>
    <t>Balance
%ASD%</t>
  </si>
  <si>
    <t>Additions</t>
  </si>
  <si>
    <t>Principal</t>
  </si>
  <si>
    <t>Securities</t>
  </si>
  <si>
    <t>In (Out)</t>
  </si>
  <si>
    <t>ENDOWMENT FUNDS:</t>
  </si>
  <si>
    <t>INCOME RESTRICTED -</t>
  </si>
  <si>
    <t>%,VK0000</t>
  </si>
  <si>
    <t>A&amp;S FAMILY FD SCHP</t>
  </si>
  <si>
    <t>%,VK0002</t>
  </si>
  <si>
    <t>ADV ART GUILD GRANT</t>
  </si>
  <si>
    <t>%,VK0003</t>
  </si>
  <si>
    <t>C C ALLEN SCHP</t>
  </si>
  <si>
    <t>%,VK0005</t>
  </si>
  <si>
    <t>AZIMA SCHP</t>
  </si>
  <si>
    <t>%,VK0006</t>
  </si>
  <si>
    <t>J &amp; P ANDERSON SCHP</t>
  </si>
  <si>
    <t>%,VK0007</t>
  </si>
  <si>
    <t>W J BALDUS SCHP</t>
  </si>
  <si>
    <t>%,VK0008</t>
  </si>
  <si>
    <t>BIOLOGICAL SCI ENDOW</t>
  </si>
  <si>
    <t>%,VK0009</t>
  </si>
  <si>
    <t>BARGAR SCHOLARSHIP</t>
  </si>
  <si>
    <t>%,VK0010</t>
  </si>
  <si>
    <t>BALDUS SCHOLARS FUND</t>
  </si>
  <si>
    <t>%,VK0011</t>
  </si>
  <si>
    <t>GERALDINE BARROWS SC</t>
  </si>
  <si>
    <t>%,VK0013</t>
  </si>
  <si>
    <t>WHEADON BLOCH SCHP</t>
  </si>
  <si>
    <t>%,VK0014</t>
  </si>
  <si>
    <t>BRENNER TRANS SCHP</t>
  </si>
  <si>
    <t>%,VK0016</t>
  </si>
  <si>
    <t>J E BROWN AWARD</t>
  </si>
  <si>
    <t>%,VK0017</t>
  </si>
  <si>
    <t>R M BROWN MEM SCHP</t>
  </si>
  <si>
    <t>%,VK0018</t>
  </si>
  <si>
    <t>BURKHOLDER MEM SCHP</t>
  </si>
  <si>
    <t>%,VK0019</t>
  </si>
  <si>
    <t>CAIRNS SCHP IN BUS</t>
  </si>
  <si>
    <t>%,VK0020</t>
  </si>
  <si>
    <t>CAVANAUGH SCHP</t>
  </si>
  <si>
    <t>%,VK0021</t>
  </si>
  <si>
    <t>CIVIC ORCHESTRA FUND</t>
  </si>
  <si>
    <t>%,VK0022</t>
  </si>
  <si>
    <t>P K COCKEFAIR SCHP</t>
  </si>
  <si>
    <t>%,VK0023</t>
  </si>
  <si>
    <t>A &amp; J COLEMAN SCHP</t>
  </si>
  <si>
    <t>%,VK0024</t>
  </si>
  <si>
    <t>CALMES MEM SCHP FD</t>
  </si>
  <si>
    <t>%,VK0025</t>
  </si>
  <si>
    <t>FONG WU CHENG SCHP</t>
  </si>
  <si>
    <t>%,VK0026</t>
  </si>
  <si>
    <t>COLLEGE CLUB TEAGUE</t>
  </si>
  <si>
    <t>%,VK0027</t>
  </si>
  <si>
    <t>W COOK PIANO SCHP</t>
  </si>
  <si>
    <t>%,VK0028</t>
  </si>
  <si>
    <t>H W COOKINGHAM SCHP</t>
  </si>
  <si>
    <t>%,VK0030</t>
  </si>
  <si>
    <t>E &amp; H DARBY SCHP</t>
  </si>
  <si>
    <t>%,VK0031</t>
  </si>
  <si>
    <t>DE CLERCK PHARMACY</t>
  </si>
  <si>
    <t>%,VK0032</t>
  </si>
  <si>
    <t>DELTA CHI SCHP</t>
  </si>
  <si>
    <t>%,VK0033</t>
  </si>
  <si>
    <t>L L DEXTER SCHP</t>
  </si>
  <si>
    <t>%,VK0034</t>
  </si>
  <si>
    <t>DIGGS SCHOLARSHIP</t>
  </si>
  <si>
    <t>%,VK0035</t>
  </si>
  <si>
    <t>EVA R DONNELL SCHOLR</t>
  </si>
  <si>
    <t>%,VK0037</t>
  </si>
  <si>
    <t>EDUCATION ALUMNI SCH</t>
  </si>
  <si>
    <t>%,VK0038</t>
  </si>
  <si>
    <t>ESTERLY SCHOLARSHIP</t>
  </si>
  <si>
    <t>%,VK0040</t>
  </si>
  <si>
    <t>FIELD WRITING SCHP</t>
  </si>
  <si>
    <t>%,VK0041</t>
  </si>
  <si>
    <t>FINTER SCHOL COSTUME</t>
  </si>
  <si>
    <t>%,VK0042</t>
  </si>
  <si>
    <t>FLAKE SCHOLARSHIP</t>
  </si>
  <si>
    <t>%,VK0043</t>
  </si>
  <si>
    <t>FLARSHEIM SCHP</t>
  </si>
  <si>
    <t>%,VK0047</t>
  </si>
  <si>
    <t>FD DEAN FOUNDERS AWD</t>
  </si>
  <si>
    <t>%,VK0048</t>
  </si>
  <si>
    <t>MARY E FOWLER FD</t>
  </si>
  <si>
    <t>%,VK0049</t>
  </si>
  <si>
    <t>FRIENDS OF TRUMAN CA</t>
  </si>
  <si>
    <t>%,VK0050</t>
  </si>
  <si>
    <t>GEORGE &amp; GRACE FOX</t>
  </si>
  <si>
    <t>%,VK0051</t>
  </si>
  <si>
    <t>RYAN GREENBERG SCHP</t>
  </si>
  <si>
    <t>%,VK0052</t>
  </si>
  <si>
    <t>FULLERTON SCHP</t>
  </si>
  <si>
    <t>%,VK0053</t>
  </si>
  <si>
    <t>RUTH GANT MEM SCHP</t>
  </si>
  <si>
    <t>%,VK0054</t>
  </si>
  <si>
    <t>OTIS GENTRY SCHP</t>
  </si>
  <si>
    <t>%,VK0055</t>
  </si>
  <si>
    <t>GOLD STAR MOTHERS KC</t>
  </si>
  <si>
    <t>%,VK0056</t>
  </si>
  <si>
    <t>ESTATE PLANNING SOC</t>
  </si>
  <si>
    <t>%,VK0057</t>
  </si>
  <si>
    <t>M W &amp; W S GORDON FD</t>
  </si>
  <si>
    <t>%,VK0058</t>
  </si>
  <si>
    <t>FG HALL-WS GORDON FD</t>
  </si>
  <si>
    <t>%,VK0059</t>
  </si>
  <si>
    <t>S H HARE LIBRARY FD</t>
  </si>
  <si>
    <t>%,VK0060</t>
  </si>
  <si>
    <t>HARMON SCHOLARS FUND</t>
  </si>
  <si>
    <t>%,VK0062</t>
  </si>
  <si>
    <t>MIKE GREENE MEMORIAL</t>
  </si>
  <si>
    <t>%,VK0063</t>
  </si>
  <si>
    <t>HALLEY SCHP FUND</t>
  </si>
  <si>
    <t>%,VK0064</t>
  </si>
  <si>
    <t>DR DAN HEDGE SCHP</t>
  </si>
  <si>
    <t>%,VK0065</t>
  </si>
  <si>
    <t>GUERRON LEACH SCHP</t>
  </si>
  <si>
    <t>%,VK0066</t>
  </si>
  <si>
    <t>E B HODGES MEM</t>
  </si>
  <si>
    <t>%,VK0067</t>
  </si>
  <si>
    <t>HOWARD E HUSELTON SC</t>
  </si>
  <si>
    <t>%,VK0068</t>
  </si>
  <si>
    <t>IND AAUW END SCHOLAR</t>
  </si>
  <si>
    <t>%,VK0069</t>
  </si>
  <si>
    <t>INDEPEN JAYCEES SCSP</t>
  </si>
  <si>
    <t>%,VK0070</t>
  </si>
  <si>
    <t>INDEP YOUNG MATRONS</t>
  </si>
  <si>
    <t>%,VK0071</t>
  </si>
  <si>
    <t>STATEMENT OF NET ASSETS</t>
  </si>
  <si>
    <t xml:space="preserve">STATEMENT OF REVENUES, EXPENSES AND CHANGES IN NET ASSETS </t>
  </si>
  <si>
    <t>STATEMENT OF CASH FLOWS</t>
  </si>
  <si>
    <t>Depreciation</t>
  </si>
  <si>
    <t>As of June 30, 2006 and 2005</t>
  </si>
  <si>
    <t>Expendable</t>
  </si>
  <si>
    <t>Invested in Capital Assets, Net of Related Debt</t>
  </si>
  <si>
    <t>Prepaid Expenses and Other Current Assets</t>
  </si>
  <si>
    <t>Tuition and Fees</t>
  </si>
  <si>
    <t>For the Years Ended June 30, 2006 and 2005</t>
  </si>
  <si>
    <t>Payments to Suppliers</t>
  </si>
  <si>
    <t>Payments to Employees</t>
  </si>
  <si>
    <t>Purchase of Capital Assets</t>
  </si>
  <si>
    <t>Notes Receivable Interest Income, net of Fees</t>
  </si>
  <si>
    <t>Other Operating Revenues</t>
  </si>
  <si>
    <t>Staff Benefits</t>
  </si>
  <si>
    <t>Supplies, Services and Other Operating Expenses</t>
  </si>
  <si>
    <t>Scholarships and Fellowships</t>
  </si>
  <si>
    <t xml:space="preserve">          Total Current Assets</t>
  </si>
  <si>
    <t xml:space="preserve">          Total Noncurrent Assets</t>
  </si>
  <si>
    <t xml:space="preserve">          Total Current Liabilities</t>
  </si>
  <si>
    <t xml:space="preserve">          Total Noncurrent Liabilities</t>
  </si>
  <si>
    <t>State Capital Appropriations and State Bond Funds</t>
  </si>
  <si>
    <t>Intra Fund Transfers In (Out)</t>
  </si>
  <si>
    <t>Purchase of Investments, net of Sales and Maturities</t>
  </si>
  <si>
    <t>Payments on Cost of Debt Issuance</t>
  </si>
  <si>
    <t>State Appropriations</t>
  </si>
  <si>
    <t>Nonoperating Revenues (Expenses):</t>
  </si>
  <si>
    <t>Investment and Endowment Income (Loss)</t>
  </si>
  <si>
    <t>Private Gifts</t>
  </si>
  <si>
    <t>Interest Expense</t>
  </si>
  <si>
    <t>Other Nonoperating Expenses (Transfers)</t>
  </si>
  <si>
    <t>Capital State Appropriations</t>
  </si>
  <si>
    <t>Capital Gifts and Grants</t>
  </si>
  <si>
    <t>Private Gifts for Endowment Purposes</t>
  </si>
  <si>
    <t>Mandatory Transfers In (Out)</t>
  </si>
  <si>
    <t>Non Mandatory Transfers In (Out)</t>
  </si>
  <si>
    <t>Net Assets, End of Year</t>
  </si>
  <si>
    <t>Cash Flows from Operating Activities:</t>
  </si>
  <si>
    <t>Federal, State and Private Grants and Contracts</t>
  </si>
  <si>
    <t>Sales and Services of Educational Activities and Other Auxiliaries</t>
  </si>
  <si>
    <t>Student Housing Fees</t>
  </si>
  <si>
    <t>Bookstore Collections</t>
  </si>
  <si>
    <t>Payments for Benefits</t>
  </si>
  <si>
    <t>Payments for Scholarships and Fellowships</t>
  </si>
  <si>
    <t>Student Loans Issued</t>
  </si>
  <si>
    <t>Student Loans Collected</t>
  </si>
  <si>
    <t>Student Loan Interest and Fees</t>
  </si>
  <si>
    <t>Other Receipts, net</t>
  </si>
  <si>
    <t>Net Cash Used in Operating Activities</t>
  </si>
  <si>
    <t>Cash Flows from Investing Activities:</t>
  </si>
  <si>
    <t>Interest and Dividends on Investments</t>
  </si>
  <si>
    <t>Net Cash Provided by (Used In) Investing Activities</t>
  </si>
  <si>
    <t>Cash Flows from Capital and Related Financing Activities:</t>
  </si>
  <si>
    <t>Proceeds from Sales of Capital Assets</t>
  </si>
  <si>
    <t>Proceeds from Issuance of Capital Debt, net</t>
  </si>
  <si>
    <t>Principal Payments on Capital Debt</t>
  </si>
  <si>
    <t>Escrow Deposit on Defeasance</t>
  </si>
  <si>
    <t>Interest Payments on Capital Debt</t>
  </si>
  <si>
    <t>Net Cash Used in Capital and Related Financing Activities</t>
  </si>
  <si>
    <t>Cash Flows from Noncapital Financing Activities:</t>
  </si>
  <si>
    <t>State Educational Appropriations</t>
  </si>
  <si>
    <t>Endowment and Similar Funds Gifts</t>
  </si>
  <si>
    <t>Other Noncapital Receipts, including net Transfers</t>
  </si>
  <si>
    <t>Deposits of Affiliates</t>
  </si>
  <si>
    <t>Net Cash Provided by Noncapital Financing Activities</t>
  </si>
  <si>
    <t>Net Increase (Decrease) in Cash and Cash Equivalents</t>
  </si>
  <si>
    <t>Cash and Cash Equivalents, Beginning of Year</t>
  </si>
  <si>
    <t>Cash and Cash Equivalents, End of Year</t>
  </si>
  <si>
    <t xml:space="preserve">Reconciliation of Operating Income (Loss) to Net Cash </t>
  </si>
  <si>
    <t>Provided by (Used in) Operating Activities:</t>
  </si>
  <si>
    <t>Operating Income (Loss)</t>
  </si>
  <si>
    <t xml:space="preserve">Adjustments to Reconcile Operating Income (Loss) to Net Cash </t>
  </si>
  <si>
    <t>Depreciation Expense</t>
  </si>
  <si>
    <t>Changes in Assets and Liabilities:</t>
  </si>
  <si>
    <t xml:space="preserve">     Accounts Receivable, Net</t>
  </si>
  <si>
    <t xml:space="preserve">     Inventory, Prepaid Expenses and Other Assets</t>
  </si>
  <si>
    <t xml:space="preserve">     Notes Receivable</t>
  </si>
  <si>
    <t xml:space="preserve">     Accounts Payable</t>
  </si>
  <si>
    <t xml:space="preserve">     Accrued Liabilities</t>
  </si>
  <si>
    <t xml:space="preserve">    Deferred Revenue</t>
  </si>
  <si>
    <t>Net Cash Provided by (Used in) Operating Activities</t>
  </si>
  <si>
    <t xml:space="preserve">Operating Income (Loss) </t>
  </si>
  <si>
    <t>Income (Loss) after State Appropriations, before Nonoperating</t>
  </si>
  <si>
    <t xml:space="preserve">    Revenues (Expenses) and Transfers</t>
  </si>
  <si>
    <t>Income before Capital Contributions and Additions to Permanent Endowment</t>
  </si>
  <si>
    <t>Net Assets, Beginning of Year</t>
  </si>
  <si>
    <t xml:space="preserve"> </t>
  </si>
  <si>
    <t>%,ATF,FDESCR,UDESCR</t>
  </si>
  <si>
    <t>%,C</t>
  </si>
  <si>
    <t>University of Missouri - Kansas City</t>
  </si>
  <si>
    <t>(in thousands of dollars)</t>
  </si>
  <si>
    <t>Assets</t>
  </si>
  <si>
    <t>Current Assets:</t>
  </si>
  <si>
    <t>Cash and Cash Equivalents</t>
  </si>
  <si>
    <t>{A}</t>
  </si>
  <si>
    <t>Accounts Receivable, net</t>
  </si>
  <si>
    <t>{B}</t>
  </si>
  <si>
    <t>Current Notes Receivable, net</t>
  </si>
  <si>
    <t>Inventories</t>
  </si>
  <si>
    <t>Noncurrent Assets:</t>
  </si>
  <si>
    <t>Notes Receivable, net</t>
  </si>
  <si>
    <t>Long Term Investments</t>
  </si>
  <si>
    <t>Liabilities</t>
  </si>
  <si>
    <t>Current Liabilities:</t>
  </si>
  <si>
    <t>Accrued Liabilities</t>
  </si>
  <si>
    <t>{C}</t>
  </si>
  <si>
    <t>Funds Held for Others</t>
  </si>
  <si>
    <t>{D}</t>
  </si>
  <si>
    <t>Collateral for Securities on Loan</t>
  </si>
  <si>
    <t>Bonds and Notes Payable, current</t>
  </si>
  <si>
    <t>Noncurrent Liabilities:</t>
  </si>
  <si>
    <t>Bonds and Notes Payable</t>
  </si>
  <si>
    <t>Net Assets</t>
  </si>
  <si>
    <t>Restricted:</t>
  </si>
  <si>
    <t>{A}  Includes short term investments with maturities of 90 days or less.</t>
  </si>
  <si>
    <t>{B}  Includes State appropriations, grants and contracts, patient services and other accounts receivable</t>
  </si>
  <si>
    <t>{C}  Includes accrued payroll, accrued vacation and accrued interest payable</t>
  </si>
  <si>
    <t>{D}  Includes amounts held in agency fund - payroll withholdings and other employee benefits and funds held for others</t>
  </si>
  <si>
    <t>Operating Revenues:</t>
  </si>
  <si>
    <t xml:space="preserve">     Net Tuition and Fees</t>
  </si>
  <si>
    <t>Federal Grants and Contracts</t>
  </si>
  <si>
    <t>State and Local Grants and Contracts</t>
  </si>
  <si>
    <t>Private Grants and Contracts</t>
  </si>
  <si>
    <t>Sales and Services of Educational Activities</t>
  </si>
  <si>
    <t>Auxilliary Enterprises:</t>
  </si>
  <si>
    <t xml:space="preserve">              Total Assets</t>
  </si>
  <si>
    <t xml:space="preserve">              Total Liabilities</t>
  </si>
  <si>
    <t xml:space="preserve">              Total Net Assets</t>
  </si>
  <si>
    <t xml:space="preserve">                   Total Liabilities and Net Assets</t>
  </si>
  <si>
    <t>Nonexpendable</t>
  </si>
  <si>
    <t>Increase in Net Assets</t>
  </si>
  <si>
    <t xml:space="preserve">        Total Operating Revenues</t>
  </si>
  <si>
    <t xml:space="preserve">        Total Operating Expenses</t>
  </si>
  <si>
    <t xml:space="preserve">        Net Nonoperating Revenues (Expenses) </t>
  </si>
  <si>
    <t xml:space="preserve">    Housing and Dining Services</t>
  </si>
  <si>
    <t xml:space="preserve">    Bookstores</t>
  </si>
  <si>
    <t xml:space="preserve">    Other Auxilliary Enterprises</t>
  </si>
  <si>
    <t>*Certain 2004 balances have been restated to conform with the 2005 presentation.</t>
  </si>
  <si>
    <t>Operationg Expenses:</t>
  </si>
  <si>
    <t>Unrestricted</t>
  </si>
  <si>
    <t>Current Pledges Receivable, net</t>
  </si>
  <si>
    <t>Pledges Receivable, net</t>
  </si>
  <si>
    <t>Deferred Charges and Other Assets</t>
  </si>
  <si>
    <t>Capital Assets, net</t>
  </si>
  <si>
    <t>Accounts Payable</t>
  </si>
  <si>
    <t>Deferred Revenue</t>
  </si>
  <si>
    <t>Less:  Scholarship Allowances</t>
  </si>
  <si>
    <t>Salaries and Wages</t>
  </si>
  <si>
    <t>%,QKRDJ_UGL_GASB_35_FIN_STMTS,CA.POSTED_TOTAL_AMT</t>
  </si>
  <si>
    <t>%,ATT,FDESCR,UDESCR</t>
  </si>
  <si>
    <t>%,ATT,FACCOUNT,UACCOUNT</t>
  </si>
  <si>
    <t>%,FFUND_CODE,TGASB_34_35_FUND,NOPERATIONS_UNR,NCLEARING_ACCTS_UNR</t>
  </si>
  <si>
    <t>%,FFUND_CODE,TGASB_34_35_FUND,NAUXILIARIES_CONT_ED</t>
  </si>
  <si>
    <t>%,V0720</t>
  </si>
  <si>
    <t>%,V0725</t>
  </si>
  <si>
    <t>%,V0730</t>
  </si>
  <si>
    <t>%,V0795</t>
  </si>
  <si>
    <t>%,V0800</t>
  </si>
  <si>
    <t>%,V0815</t>
  </si>
  <si>
    <t>%,V0820</t>
  </si>
  <si>
    <t>%,V0825</t>
  </si>
  <si>
    <t>%,FFUND_CODE,TGASB_34_35_FUND,X,NSVC_OPER_UNR</t>
  </si>
  <si>
    <t>%,FFUND_CODE,TGASB_34_35_FUND,X,NSELF_INS_UNR</t>
  </si>
  <si>
    <t>STATEMENT OF REVENUES, EXPENSES AND CHANGES IN NET ASSETS - UNRESTRICTED CURRENT FUNDS ONLY</t>
  </si>
  <si>
    <t>Kansas City</t>
  </si>
  <si>
    <t>2006-06-30</t>
  </si>
  <si>
    <t>Unrestricted Current Funds</t>
  </si>
  <si>
    <t>General Operating - Fund 0000</t>
  </si>
  <si>
    <t>Continuing Education - Fund 0445 and 0450</t>
  </si>
  <si>
    <t>Auxiliary Operations - Funds 0100 through 0699</t>
  </si>
  <si>
    <t>Building Services</t>
  </si>
  <si>
    <t>Campus Plng, Design, Constr</t>
  </si>
  <si>
    <t>Central Mail</t>
  </si>
  <si>
    <t>Printing</t>
  </si>
  <si>
    <t>Public Communications</t>
  </si>
  <si>
    <t>Telecommunications</t>
  </si>
  <si>
    <t>University Garage</t>
  </si>
  <si>
    <t>Other Service Oper</t>
  </si>
  <si>
    <t>Service Operations - Funds 0700 through 0899</t>
  </si>
  <si>
    <t>Self Insurance Funds - Funds 0900 through 0999</t>
  </si>
  <si>
    <t>Total Unrestricted Current Funds</t>
  </si>
  <si>
    <t>%,V400100</t>
  </si>
  <si>
    <t>Undergrad summer fees-resident</t>
  </si>
  <si>
    <t>400100</t>
  </si>
  <si>
    <t>%,V400200</t>
  </si>
  <si>
    <t>Undergrad summer fees-non res</t>
  </si>
  <si>
    <t>400200</t>
  </si>
  <si>
    <t>%,V400300</t>
  </si>
  <si>
    <t>Undergrad fall fees - resident</t>
  </si>
  <si>
    <t>400300</t>
  </si>
  <si>
    <t>%,V400400</t>
  </si>
  <si>
    <t>Undergrad fall fees - non res</t>
  </si>
  <si>
    <t>400400</t>
  </si>
  <si>
    <t>%,V400500</t>
  </si>
  <si>
    <t>Undergrad winter fees - res</t>
  </si>
  <si>
    <t>400500</t>
  </si>
  <si>
    <t>%,V400600</t>
  </si>
  <si>
    <t>Undergrad winter fees -non res</t>
  </si>
  <si>
    <t>400600</t>
  </si>
  <si>
    <t>%,V400700</t>
  </si>
  <si>
    <t>Undergrad intersession sum-res</t>
  </si>
  <si>
    <t>400700</t>
  </si>
  <si>
    <t>%,V400800</t>
  </si>
  <si>
    <t>Undergrad interses sum-non res</t>
  </si>
  <si>
    <t>400800</t>
  </si>
  <si>
    <t>%,V400900</t>
  </si>
  <si>
    <t>Undergrad interses winter- res</t>
  </si>
  <si>
    <t>400900</t>
  </si>
  <si>
    <t>%,V400950</t>
  </si>
  <si>
    <t>Undergrad inter winter-non res</t>
  </si>
  <si>
    <t>400950</t>
  </si>
  <si>
    <t>%,V401000</t>
  </si>
  <si>
    <t>Prof educ summer fees- res</t>
  </si>
  <si>
    <t>401000</t>
  </si>
  <si>
    <t>%,V401100</t>
  </si>
  <si>
    <t>Prof educ summer fees non-res</t>
  </si>
  <si>
    <t>401100</t>
  </si>
  <si>
    <t>%,V401200</t>
  </si>
  <si>
    <t>Prof educ fall fees - resident</t>
  </si>
  <si>
    <t>401200</t>
  </si>
  <si>
    <t>%,V401300</t>
  </si>
  <si>
    <t>Prof educ fall fees-non-res</t>
  </si>
  <si>
    <t>401300</t>
  </si>
  <si>
    <t>%,V401400</t>
  </si>
  <si>
    <t>Prof educ winter fees-resident</t>
  </si>
  <si>
    <t>401400</t>
  </si>
  <si>
    <t>%,V401500</t>
  </si>
  <si>
    <t>Prof educ winter fees-non-res</t>
  </si>
  <si>
    <t>401500</t>
  </si>
  <si>
    <t>%,V402000</t>
  </si>
  <si>
    <t>Grad educ summer fees- res</t>
  </si>
  <si>
    <t>402000</t>
  </si>
  <si>
    <t>%,V402100</t>
  </si>
  <si>
    <t>Grad educ summer fees- non-res</t>
  </si>
  <si>
    <t>402100</t>
  </si>
  <si>
    <t>%,V402200</t>
  </si>
  <si>
    <t>Grad educ fall fees-resident</t>
  </si>
  <si>
    <t>402200</t>
  </si>
  <si>
    <t>%,V402300</t>
  </si>
  <si>
    <t>Grad educ fall fees-non-res</t>
  </si>
  <si>
    <t>402300</t>
  </si>
  <si>
    <t>%,V402400</t>
  </si>
  <si>
    <t>Grad educ winter fees-resident</t>
  </si>
  <si>
    <t>402400</t>
  </si>
  <si>
    <t>%,V402500</t>
  </si>
  <si>
    <t>Grad educ winter fees-non-res</t>
  </si>
  <si>
    <t>402500</t>
  </si>
  <si>
    <t>%,V402600</t>
  </si>
  <si>
    <t>Grad educ intersession-sum-res</t>
  </si>
  <si>
    <t>402600</t>
  </si>
  <si>
    <t>%,V402800</t>
  </si>
  <si>
    <t>RALPH I.PARISH JR. MEMOR SCHOL</t>
  </si>
  <si>
    <t>%,VK0374</t>
  </si>
  <si>
    <t>RUTH TULEY SCHOLARSHIP</t>
  </si>
  <si>
    <t>%,VK0375</t>
  </si>
  <si>
    <t>EVERETT TROST SCHOLARSHIP</t>
  </si>
  <si>
    <t>%,VK0376</t>
  </si>
  <si>
    <t>DICKSON CHAIR</t>
  </si>
  <si>
    <t>%,VK0377</t>
  </si>
  <si>
    <t>WILLIAM &amp; FAY SOLLNER SCHP</t>
  </si>
  <si>
    <t>%,VK0378</t>
  </si>
  <si>
    <t>LEE MARTS SCHOLARSHIP</t>
  </si>
  <si>
    <t>%,VK0382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</si>
</sst>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yyyy\-mm\-dd"/>
    <numFmt numFmtId="167" formatCode="mm/dd/yyyy"/>
    <numFmt numFmtId="168" formatCode="mmmm\ d\,\ yyyy"/>
    <numFmt numFmtId="169" formatCode="0.0%"/>
    <numFmt numFmtId="170" formatCode="_(* #,##0.0_);_(* \(#,##0.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-409]dddd\,\ mmmm\ dd\,\ yyyy"/>
    <numFmt numFmtId="175" formatCode="_(&quot;$&quot;* #,##0.0_);_(&quot;$&quot;* \(#,##0.0\);_(&quot;$&quot;* &quot;-&quot;??_);_(@_)"/>
    <numFmt numFmtId="176" formatCode="mm/dd/yy"/>
    <numFmt numFmtId="177" formatCode="[$-409]h:mm:ss\ AM/PM"/>
    <numFmt numFmtId="178" formatCode="[$-F800]dddd\,\ mmmm\ dd\,\ yyyy"/>
    <numFmt numFmtId="179" formatCode="&quot;$&quot;#,##0"/>
    <numFmt numFmtId="180" formatCode="0.0000"/>
    <numFmt numFmtId="181" formatCode="[$-409]mmmm\ d\,\ yyyy;@"/>
    <numFmt numFmtId="182" formatCode="[$€-2]\ #,##0.00_);[Red]\([$€-2]\ #,##0.00\)"/>
    <numFmt numFmtId="183" formatCode="&quot;$&quot;#,##0.00"/>
    <numFmt numFmtId="184" formatCode="#,##0.0_);\(#,##0.0\)"/>
    <numFmt numFmtId="185" formatCode="#,##0.000_);\(#,##0.000\)"/>
    <numFmt numFmtId="186" formatCode="0.000"/>
    <numFmt numFmtId="187" formatCode="0.0"/>
  </numFmts>
  <fonts count="28">
    <font>
      <sz val="10"/>
      <name val="Arial"/>
      <family val="0"/>
    </font>
    <font>
      <sz val="8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Times New Roman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u val="single"/>
      <sz val="7.5"/>
      <color indexed="36"/>
      <name val="Times New Roman"/>
      <family val="0"/>
    </font>
    <font>
      <u val="single"/>
      <sz val="7.5"/>
      <color indexed="12"/>
      <name val="Times New Roman"/>
      <family val="0"/>
    </font>
    <font>
      <sz val="10"/>
      <color indexed="8"/>
      <name val="Arial"/>
      <family val="2"/>
    </font>
    <font>
      <i/>
      <sz val="12"/>
      <color indexed="9"/>
      <name val="Arial"/>
      <family val="2"/>
    </font>
    <font>
      <i/>
      <sz val="12"/>
      <name val="Arial"/>
      <family val="2"/>
    </font>
    <font>
      <sz val="9"/>
      <name val="Verdana"/>
      <family val="0"/>
    </font>
    <font>
      <sz val="9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1" applyFill="0">
      <alignment horizontal="center" wrapText="1"/>
      <protection/>
    </xf>
    <xf numFmtId="41" fontId="0" fillId="0" borderId="1" applyFont="0" applyFill="0">
      <alignment horizontal="center" wrapText="1"/>
      <protection/>
    </xf>
    <xf numFmtId="41" fontId="9" fillId="0" borderId="2" applyFill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37" fontId="0" fillId="0" borderId="2" applyFill="0" applyBorder="0" applyAlignment="0">
      <protection/>
    </xf>
  </cellStyleXfs>
  <cellXfs count="638">
    <xf numFmtId="0" fontId="0" fillId="0" borderId="0" xfId="0" applyAlignment="1">
      <alignment/>
    </xf>
    <xf numFmtId="164" fontId="0" fillId="0" borderId="0" xfId="18" applyNumberFormat="1" applyFont="1" applyFill="1" applyAlignment="1">
      <alignment/>
    </xf>
    <xf numFmtId="164" fontId="0" fillId="0" borderId="0" xfId="18" applyNumberFormat="1" applyFont="1" applyFill="1" applyBorder="1" applyAlignment="1">
      <alignment/>
    </xf>
    <xf numFmtId="164" fontId="0" fillId="0" borderId="3" xfId="18" applyNumberFormat="1" applyFont="1" applyFill="1" applyBorder="1" applyAlignment="1">
      <alignment/>
    </xf>
    <xf numFmtId="164" fontId="1" fillId="0" borderId="0" xfId="18" applyNumberFormat="1" applyFont="1" applyFill="1" applyBorder="1" applyAlignment="1">
      <alignment/>
    </xf>
    <xf numFmtId="164" fontId="2" fillId="2" borderId="4" xfId="18" applyNumberFormat="1" applyFont="1" applyFill="1" applyBorder="1" applyAlignment="1">
      <alignment horizontal="left"/>
    </xf>
    <xf numFmtId="164" fontId="3" fillId="2" borderId="5" xfId="18" applyNumberFormat="1" applyFont="1" applyFill="1" applyBorder="1" applyAlignment="1">
      <alignment/>
    </xf>
    <xf numFmtId="164" fontId="4" fillId="2" borderId="5" xfId="18" applyNumberFormat="1" applyFont="1" applyFill="1" applyBorder="1" applyAlignment="1">
      <alignment/>
    </xf>
    <xf numFmtId="164" fontId="5" fillId="2" borderId="5" xfId="18" applyNumberFormat="1" applyFont="1" applyFill="1" applyBorder="1" applyAlignment="1">
      <alignment/>
    </xf>
    <xf numFmtId="164" fontId="4" fillId="2" borderId="6" xfId="18" applyNumberFormat="1" applyFont="1" applyFill="1" applyBorder="1" applyAlignment="1">
      <alignment/>
    </xf>
    <xf numFmtId="164" fontId="6" fillId="0" borderId="0" xfId="18" applyNumberFormat="1" applyFont="1" applyFill="1" applyAlignment="1">
      <alignment/>
    </xf>
    <xf numFmtId="164" fontId="3" fillId="2" borderId="7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5" fillId="2" borderId="0" xfId="18" applyNumberFormat="1" applyFont="1" applyFill="1" applyBorder="1" applyAlignment="1">
      <alignment/>
    </xf>
    <xf numFmtId="164" fontId="4" fillId="2" borderId="3" xfId="18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164" fontId="7" fillId="2" borderId="7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/>
    </xf>
    <xf numFmtId="164" fontId="7" fillId="2" borderId="0" xfId="18" applyNumberFormat="1" applyFont="1" applyFill="1" applyBorder="1" applyAlignment="1">
      <alignment horizontal="center"/>
    </xf>
    <xf numFmtId="164" fontId="8" fillId="2" borderId="0" xfId="18" applyNumberFormat="1" applyFont="1" applyFill="1" applyBorder="1" applyAlignment="1">
      <alignment horizontal="center"/>
    </xf>
    <xf numFmtId="164" fontId="7" fillId="2" borderId="3" xfId="18" applyNumberFormat="1" applyFont="1" applyFill="1" applyBorder="1" applyAlignment="1">
      <alignment/>
    </xf>
    <xf numFmtId="164" fontId="9" fillId="0" borderId="0" xfId="18" applyNumberFormat="1" applyFont="1" applyFill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9" xfId="18" applyNumberFormat="1" applyFont="1" applyFill="1" applyBorder="1" applyAlignment="1">
      <alignment/>
    </xf>
    <xf numFmtId="1" fontId="9" fillId="0" borderId="1" xfId="18" applyNumberFormat="1" applyFont="1" applyFill="1" applyBorder="1" applyAlignment="1">
      <alignment horizontal="center"/>
    </xf>
    <xf numFmtId="1" fontId="10" fillId="0" borderId="1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164" fontId="10" fillId="0" borderId="9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8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/>
    </xf>
    <xf numFmtId="164" fontId="1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42" fontId="1" fillId="0" borderId="9" xfId="18" applyNumberFormat="1" applyFont="1" applyFill="1" applyBorder="1" applyAlignment="1" quotePrefix="1">
      <alignment/>
    </xf>
    <xf numFmtId="41" fontId="0" fillId="0" borderId="1" xfId="18" applyNumberFormat="1" applyFont="1" applyFill="1" applyBorder="1" applyAlignment="1">
      <alignment/>
    </xf>
    <xf numFmtId="41" fontId="1" fillId="0" borderId="9" xfId="18" applyNumberFormat="1" applyFont="1" applyFill="1" applyBorder="1" applyAlignment="1" quotePrefix="1">
      <alignment/>
    </xf>
    <xf numFmtId="41" fontId="1" fillId="0" borderId="9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1" fontId="10" fillId="0" borderId="9" xfId="18" applyNumberFormat="1" applyFont="1" applyFill="1" applyBorder="1" applyAlignment="1">
      <alignment/>
    </xf>
    <xf numFmtId="42" fontId="9" fillId="0" borderId="1" xfId="18" applyNumberFormat="1" applyFont="1" applyFill="1" applyBorder="1" applyAlignment="1">
      <alignment/>
    </xf>
    <xf numFmtId="164" fontId="1" fillId="0" borderId="8" xfId="18" applyNumberFormat="1" applyFont="1" applyFill="1" applyBorder="1" applyAlignment="1">
      <alignment/>
    </xf>
    <xf numFmtId="164" fontId="1" fillId="0" borderId="1" xfId="18" applyNumberFormat="1" applyFont="1" applyFill="1" applyBorder="1" applyAlignment="1">
      <alignment/>
    </xf>
    <xf numFmtId="164" fontId="1" fillId="0" borderId="0" xfId="18" applyNumberFormat="1" applyFont="1" applyFill="1" applyAlignment="1">
      <alignment/>
    </xf>
    <xf numFmtId="164" fontId="1" fillId="0" borderId="8" xfId="18" applyNumberFormat="1" applyFont="1" applyFill="1" applyBorder="1" applyAlignment="1" quotePrefix="1">
      <alignment/>
    </xf>
    <xf numFmtId="164" fontId="2" fillId="2" borderId="4" xfId="18" applyNumberFormat="1" applyFont="1" applyFill="1" applyBorder="1" applyAlignment="1">
      <alignment/>
    </xf>
    <xf numFmtId="164" fontId="3" fillId="2" borderId="5" xfId="18" applyNumberFormat="1" applyFont="1" applyFill="1" applyBorder="1" applyAlignment="1">
      <alignment horizontal="left"/>
    </xf>
    <xf numFmtId="164" fontId="3" fillId="2" borderId="0" xfId="18" applyNumberFormat="1" applyFont="1" applyFill="1" applyBorder="1" applyAlignment="1">
      <alignment horizontal="left"/>
    </xf>
    <xf numFmtId="0" fontId="4" fillId="2" borderId="6" xfId="24" applyFont="1" applyFill="1" applyBorder="1">
      <alignment/>
      <protection/>
    </xf>
    <xf numFmtId="0" fontId="6" fillId="0" borderId="0" xfId="24" applyFont="1">
      <alignment/>
      <protection/>
    </xf>
    <xf numFmtId="164" fontId="3" fillId="2" borderId="7" xfId="18" applyNumberFormat="1" applyFont="1" applyFill="1" applyBorder="1" applyAlignment="1">
      <alignment/>
    </xf>
    <xf numFmtId="0" fontId="12" fillId="2" borderId="3" xfId="24" applyFont="1" applyFill="1" applyBorder="1">
      <alignment/>
      <protection/>
    </xf>
    <xf numFmtId="0" fontId="0" fillId="0" borderId="0" xfId="24" applyFont="1">
      <alignment/>
      <protection/>
    </xf>
    <xf numFmtId="0" fontId="4" fillId="2" borderId="3" xfId="24" applyFont="1" applyFill="1" applyBorder="1">
      <alignment/>
      <protection/>
    </xf>
    <xf numFmtId="164" fontId="3" fillId="2" borderId="10" xfId="18" applyNumberFormat="1" applyFont="1" applyFill="1" applyBorder="1" applyAlignment="1">
      <alignment horizontal="left"/>
    </xf>
    <xf numFmtId="0" fontId="12" fillId="2" borderId="11" xfId="24" applyFont="1" applyFill="1" applyBorder="1">
      <alignment/>
      <protection/>
    </xf>
    <xf numFmtId="164" fontId="13" fillId="0" borderId="8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1" xfId="24" applyFont="1" applyBorder="1" applyAlignment="1">
      <alignment horizontal="center"/>
      <protection/>
    </xf>
    <xf numFmtId="164" fontId="9" fillId="0" borderId="0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left"/>
    </xf>
    <xf numFmtId="164" fontId="9" fillId="0" borderId="9" xfId="18" applyNumberFormat="1" applyFont="1" applyFill="1" applyBorder="1" applyAlignment="1">
      <alignment horizontal="left"/>
    </xf>
    <xf numFmtId="10" fontId="0" fillId="0" borderId="1" xfId="32" applyNumberFormat="1" applyFont="1" applyFill="1" applyBorder="1" applyAlignment="1">
      <alignment/>
    </xf>
    <xf numFmtId="10" fontId="0" fillId="0" borderId="0" xfId="32" applyNumberFormat="1" applyFont="1" applyFill="1" applyBorder="1" applyAlignment="1">
      <alignment/>
    </xf>
    <xf numFmtId="0" fontId="0" fillId="0" borderId="1" xfId="24" applyFont="1" applyBorder="1">
      <alignment/>
      <protection/>
    </xf>
    <xf numFmtId="42" fontId="0" fillId="0" borderId="0" xfId="18" applyNumberFormat="1" applyFont="1" applyFill="1" applyBorder="1" applyAlignment="1">
      <alignment/>
    </xf>
    <xf numFmtId="0" fontId="0" fillId="0" borderId="0" xfId="24" applyFont="1" applyBorder="1">
      <alignment/>
      <protection/>
    </xf>
    <xf numFmtId="41" fontId="0" fillId="0" borderId="0" xfId="18" applyNumberFormat="1" applyFont="1" applyFill="1" applyBorder="1" applyAlignment="1">
      <alignment/>
    </xf>
    <xf numFmtId="41" fontId="9" fillId="0" borderId="0" xfId="18" applyNumberFormat="1" applyFont="1" applyFill="1" applyBorder="1" applyAlignment="1">
      <alignment/>
    </xf>
    <xf numFmtId="0" fontId="9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164" fontId="9" fillId="0" borderId="9" xfId="18" applyNumberFormat="1" applyFont="1" applyFill="1" applyBorder="1" applyAlignment="1">
      <alignment/>
    </xf>
    <xf numFmtId="0" fontId="9" fillId="0" borderId="0" xfId="24" applyFont="1" applyBorder="1">
      <alignment/>
      <protection/>
    </xf>
    <xf numFmtId="0" fontId="9" fillId="0" borderId="1" xfId="24" applyFont="1" applyBorder="1">
      <alignment/>
      <protection/>
    </xf>
    <xf numFmtId="42" fontId="9" fillId="0" borderId="0" xfId="18" applyNumberFormat="1" applyFont="1" applyFill="1" applyBorder="1" applyAlignment="1">
      <alignment/>
    </xf>
    <xf numFmtId="0" fontId="0" fillId="0" borderId="5" xfId="24" applyFont="1" applyBorder="1">
      <alignment/>
      <protection/>
    </xf>
    <xf numFmtId="38" fontId="14" fillId="2" borderId="5" xfId="0" applyNumberFormat="1" applyFont="1" applyFill="1" applyBorder="1" applyAlignment="1">
      <alignment/>
    </xf>
    <xf numFmtId="37" fontId="12" fillId="2" borderId="5" xfId="0" applyNumberFormat="1" applyFont="1" applyFill="1" applyBorder="1" applyAlignment="1">
      <alignment/>
    </xf>
    <xf numFmtId="39" fontId="12" fillId="2" borderId="6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12" fillId="2" borderId="0" xfId="0" applyNumberFormat="1" applyFont="1" applyFill="1" applyBorder="1" applyAlignment="1">
      <alignment/>
    </xf>
    <xf numFmtId="37" fontId="12" fillId="2" borderId="0" xfId="0" applyNumberFormat="1" applyFont="1" applyFill="1" applyBorder="1" applyAlignment="1">
      <alignment/>
    </xf>
    <xf numFmtId="39" fontId="12" fillId="2" borderId="3" xfId="0" applyNumberFormat="1" applyFont="1" applyFill="1" applyBorder="1" applyAlignment="1">
      <alignment/>
    </xf>
    <xf numFmtId="164" fontId="7" fillId="2" borderId="7" xfId="18" applyNumberFormat="1" applyFont="1" applyFill="1" applyBorder="1" applyAlignment="1">
      <alignment horizontal="left"/>
    </xf>
    <xf numFmtId="164" fontId="13" fillId="0" borderId="4" xfId="18" applyNumberFormat="1" applyFont="1" applyFill="1" applyBorder="1" applyAlignment="1">
      <alignment horizontal="left"/>
    </xf>
    <xf numFmtId="38" fontId="0" fillId="0" borderId="5" xfId="0" applyNumberFormat="1" applyFont="1" applyFill="1" applyBorder="1" applyAlignment="1">
      <alignment/>
    </xf>
    <xf numFmtId="0" fontId="9" fillId="0" borderId="8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38" fontId="9" fillId="0" borderId="8" xfId="0" applyNumberFormat="1" applyFont="1" applyFill="1" applyBorder="1" applyAlignment="1">
      <alignment/>
    </xf>
    <xf numFmtId="38" fontId="9" fillId="0" borderId="12" xfId="0" applyNumberFormat="1" applyFont="1" applyFill="1" applyBorder="1" applyAlignment="1">
      <alignment/>
    </xf>
    <xf numFmtId="38" fontId="9" fillId="0" borderId="9" xfId="0" applyNumberFormat="1" applyFont="1" applyFill="1" applyBorder="1" applyAlignment="1">
      <alignment/>
    </xf>
    <xf numFmtId="37" fontId="0" fillId="0" borderId="8" xfId="18" applyNumberFormat="1" applyFont="1" applyFill="1" applyBorder="1" applyAlignment="1">
      <alignment/>
    </xf>
    <xf numFmtId="39" fontId="9" fillId="0" borderId="1" xfId="0" applyNumberFormat="1" applyFont="1" applyFill="1" applyBorder="1" applyAlignment="1">
      <alignment/>
    </xf>
    <xf numFmtId="38" fontId="9" fillId="0" borderId="0" xfId="0" applyNumberFormat="1" applyFont="1" applyFill="1" applyAlignment="1">
      <alignment/>
    </xf>
    <xf numFmtId="38" fontId="0" fillId="0" borderId="8" xfId="0" applyNumberFormat="1" applyFont="1" applyFill="1" applyBorder="1" applyAlignment="1">
      <alignment/>
    </xf>
    <xf numFmtId="38" fontId="0" fillId="0" borderId="1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42" fontId="0" fillId="0" borderId="8" xfId="20" applyNumberFormat="1" applyFont="1" applyFill="1" applyBorder="1" applyAlignment="1">
      <alignment/>
    </xf>
    <xf numFmtId="41" fontId="0" fillId="0" borderId="8" xfId="18" applyNumberFormat="1" applyFont="1" applyFill="1" applyBorder="1" applyAlignment="1">
      <alignment/>
    </xf>
    <xf numFmtId="41" fontId="9" fillId="0" borderId="8" xfId="18" applyNumberFormat="1" applyFont="1" applyFill="1" applyBorder="1" applyAlignment="1">
      <alignment/>
    </xf>
    <xf numFmtId="41" fontId="9" fillId="0" borderId="1" xfId="18" applyNumberFormat="1" applyFont="1" applyFill="1" applyBorder="1" applyAlignment="1">
      <alignment/>
    </xf>
    <xf numFmtId="42" fontId="9" fillId="0" borderId="8" xfId="2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7" fontId="0" fillId="0" borderId="0" xfId="18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8" fontId="9" fillId="0" borderId="0" xfId="0" applyNumberFormat="1" applyFont="1" applyFill="1" applyBorder="1" applyAlignment="1">
      <alignment/>
    </xf>
    <xf numFmtId="42" fontId="0" fillId="0" borderId="0" xfId="18" applyNumberFormat="1" applyFont="1" applyFill="1" applyAlignment="1">
      <alignment/>
    </xf>
    <xf numFmtId="37" fontId="0" fillId="0" borderId="10" xfId="18" applyNumberFormat="1" applyFont="1" applyFill="1" applyBorder="1" applyAlignment="1">
      <alignment/>
    </xf>
    <xf numFmtId="39" fontId="1" fillId="0" borderId="0" xfId="18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2" fontId="9" fillId="0" borderId="13" xfId="0" applyNumberFormat="1" applyFont="1" applyFill="1" applyBorder="1" applyAlignment="1">
      <alignment/>
    </xf>
    <xf numFmtId="39" fontId="9" fillId="0" borderId="0" xfId="0" applyNumberFormat="1" applyFont="1" applyFill="1" applyAlignment="1">
      <alignment/>
    </xf>
    <xf numFmtId="164" fontId="0" fillId="0" borderId="5" xfId="18" applyNumberFormat="1" applyFont="1" applyFill="1" applyBorder="1" applyAlignment="1">
      <alignment/>
    </xf>
    <xf numFmtId="0" fontId="9" fillId="0" borderId="0" xfId="24" applyFont="1">
      <alignment/>
      <protection/>
    </xf>
    <xf numFmtId="164" fontId="15" fillId="0" borderId="0" xfId="18" applyNumberFormat="1" applyFont="1" applyFill="1" applyBorder="1" applyAlignment="1">
      <alignment/>
    </xf>
    <xf numFmtId="42" fontId="0" fillId="0" borderId="1" xfId="20" applyNumberFormat="1" applyFont="1" applyFill="1" applyBorder="1" applyAlignment="1">
      <alignment/>
    </xf>
    <xf numFmtId="41" fontId="0" fillId="0" borderId="1" xfId="18" applyNumberFormat="1" applyFont="1" applyFill="1" applyBorder="1" applyAlignment="1">
      <alignment/>
    </xf>
    <xf numFmtId="37" fontId="0" fillId="0" borderId="1" xfId="18" applyNumberFormat="1" applyFont="1" applyFill="1" applyBorder="1" applyAlignment="1">
      <alignment/>
    </xf>
    <xf numFmtId="42" fontId="9" fillId="0" borderId="1" xfId="20" applyNumberFormat="1" applyFont="1" applyFill="1" applyBorder="1" applyAlignment="1">
      <alignment/>
    </xf>
    <xf numFmtId="164" fontId="18" fillId="0" borderId="0" xfId="18" applyNumberFormat="1" applyFont="1" applyFill="1" applyAlignment="1">
      <alignment/>
    </xf>
    <xf numFmtId="164" fontId="18" fillId="0" borderId="0" xfId="18" applyNumberFormat="1" applyFont="1" applyFill="1" applyBorder="1" applyAlignment="1">
      <alignment/>
    </xf>
    <xf numFmtId="0" fontId="18" fillId="0" borderId="0" xfId="25" applyFont="1" applyFill="1" applyAlignment="1">
      <alignment/>
      <protection/>
    </xf>
    <xf numFmtId="164" fontId="4" fillId="0" borderId="0" xfId="18" applyNumberFormat="1" applyFont="1" applyFill="1" applyAlignment="1">
      <alignment/>
    </xf>
    <xf numFmtId="164" fontId="3" fillId="2" borderId="6" xfId="18" applyNumberFormat="1" applyFont="1" applyFill="1" applyBorder="1" applyAlignment="1">
      <alignment horizontal="left"/>
    </xf>
    <xf numFmtId="0" fontId="12" fillId="0" borderId="0" xfId="25" applyFont="1" applyFill="1" applyAlignment="1">
      <alignment/>
      <protection/>
    </xf>
    <xf numFmtId="164" fontId="3" fillId="2" borderId="3" xfId="18" applyNumberFormat="1" applyFont="1" applyFill="1" applyBorder="1" applyAlignment="1">
      <alignment horizontal="left"/>
    </xf>
    <xf numFmtId="164" fontId="4" fillId="0" borderId="0" xfId="18" applyNumberFormat="1" applyFont="1" applyFill="1" applyAlignment="1" quotePrefix="1">
      <alignment/>
    </xf>
    <xf numFmtId="164" fontId="12" fillId="2" borderId="7" xfId="18" applyNumberFormat="1" applyFont="1" applyFill="1" applyBorder="1" applyAlignment="1">
      <alignment/>
    </xf>
    <xf numFmtId="164" fontId="3" fillId="2" borderId="0" xfId="18" applyNumberFormat="1" applyFont="1" applyFill="1" applyBorder="1" applyAlignment="1">
      <alignment/>
    </xf>
    <xf numFmtId="164" fontId="4" fillId="2" borderId="0" xfId="18" applyNumberFormat="1" applyFont="1" applyFill="1" applyBorder="1" applyAlignment="1">
      <alignment/>
    </xf>
    <xf numFmtId="164" fontId="3" fillId="2" borderId="3" xfId="18" applyNumberFormat="1" applyFont="1" applyFill="1" applyBorder="1" applyAlignment="1">
      <alignment horizontal="centerContinuous"/>
    </xf>
    <xf numFmtId="164" fontId="0" fillId="0" borderId="0" xfId="18" applyNumberFormat="1" applyFont="1" applyFill="1" applyAlignment="1">
      <alignment/>
    </xf>
    <xf numFmtId="164" fontId="9" fillId="0" borderId="4" xfId="18" applyNumberFormat="1" applyFont="1" applyFill="1" applyBorder="1" applyAlignment="1">
      <alignment horizontal="center"/>
    </xf>
    <xf numFmtId="164" fontId="9" fillId="0" borderId="5" xfId="18" applyNumberFormat="1" applyFont="1" applyFill="1" applyBorder="1" applyAlignment="1">
      <alignment horizontal="center"/>
    </xf>
    <xf numFmtId="164" fontId="9" fillId="0" borderId="6" xfId="18" applyNumberFormat="1" applyFont="1" applyFill="1" applyBorder="1" applyAlignment="1">
      <alignment horizontal="center"/>
    </xf>
    <xf numFmtId="164" fontId="9" fillId="0" borderId="8" xfId="18" applyNumberFormat="1" applyFont="1" applyFill="1" applyBorder="1" applyAlignment="1">
      <alignment horizontal="centerContinuous"/>
    </xf>
    <xf numFmtId="164" fontId="9" fillId="0" borderId="12" xfId="18" applyNumberFormat="1" applyFont="1" applyFill="1" applyBorder="1" applyAlignment="1">
      <alignment horizontal="centerContinuous"/>
    </xf>
    <xf numFmtId="164" fontId="9" fillId="0" borderId="9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 horizontal="center"/>
    </xf>
    <xf numFmtId="0" fontId="0" fillId="0" borderId="0" xfId="25" applyFont="1" applyFill="1" applyAlignment="1">
      <alignment/>
      <protection/>
    </xf>
    <xf numFmtId="164" fontId="0" fillId="0" borderId="0" xfId="18" applyNumberFormat="1" applyFont="1" applyFill="1" applyAlignment="1">
      <alignment wrapText="1"/>
    </xf>
    <xf numFmtId="164" fontId="9" fillId="0" borderId="14" xfId="18" applyNumberFormat="1" applyFont="1" applyFill="1" applyBorder="1" applyAlignment="1">
      <alignment horizontal="centerContinuous" wrapText="1"/>
    </xf>
    <xf numFmtId="164" fontId="9" fillId="0" borderId="10" xfId="18" applyNumberFormat="1" applyFont="1" applyFill="1" applyBorder="1" applyAlignment="1">
      <alignment horizontal="centerContinuous" wrapText="1"/>
    </xf>
    <xf numFmtId="164" fontId="9" fillId="0" borderId="11" xfId="18" applyNumberFormat="1" applyFont="1" applyFill="1" applyBorder="1" applyAlignment="1">
      <alignment horizontal="centerContinuous" wrapText="1"/>
    </xf>
    <xf numFmtId="164" fontId="9" fillId="0" borderId="1" xfId="18" applyNumberFormat="1" applyFont="1" applyFill="1" applyBorder="1" applyAlignment="1">
      <alignment horizontal="center" wrapText="1"/>
    </xf>
    <xf numFmtId="164" fontId="9" fillId="0" borderId="15" xfId="18" applyNumberFormat="1" applyFont="1" applyFill="1" applyBorder="1" applyAlignment="1">
      <alignment horizontal="center" wrapText="1"/>
    </xf>
    <xf numFmtId="0" fontId="0" fillId="0" borderId="0" xfId="25" applyFont="1" applyFill="1" applyAlignment="1">
      <alignment wrapText="1"/>
      <protection/>
    </xf>
    <xf numFmtId="164" fontId="0" fillId="0" borderId="8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Continuous"/>
    </xf>
    <xf numFmtId="164" fontId="0" fillId="0" borderId="12" xfId="18" applyNumberFormat="1" applyFont="1" applyFill="1" applyBorder="1" applyAlignment="1">
      <alignment/>
    </xf>
    <xf numFmtId="0" fontId="0" fillId="0" borderId="0" xfId="25" applyFont="1" applyFill="1" applyBorder="1" applyAlignment="1">
      <alignment/>
      <protection/>
    </xf>
    <xf numFmtId="0" fontId="0" fillId="0" borderId="12" xfId="25" applyFont="1" applyFill="1" applyBorder="1" applyAlignment="1">
      <alignment/>
      <protection/>
    </xf>
    <xf numFmtId="164" fontId="6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 horizontal="left"/>
    </xf>
    <xf numFmtId="164" fontId="0" fillId="0" borderId="1" xfId="18" applyNumberFormat="1" applyFont="1" applyFill="1" applyBorder="1" applyAlignment="1">
      <alignment/>
    </xf>
    <xf numFmtId="164" fontId="6" fillId="0" borderId="12" xfId="18" applyNumberFormat="1" applyFont="1" applyFill="1" applyBorder="1" applyAlignment="1">
      <alignment/>
    </xf>
    <xf numFmtId="164" fontId="0" fillId="0" borderId="9" xfId="18" applyNumberFormat="1" applyFont="1" applyFill="1" applyBorder="1" applyAlignment="1">
      <alignment/>
    </xf>
    <xf numFmtId="42" fontId="0" fillId="0" borderId="1" xfId="18" applyNumberFormat="1" applyFont="1" applyFill="1" applyBorder="1" applyAlignment="1">
      <alignment/>
    </xf>
    <xf numFmtId="164" fontId="13" fillId="0" borderId="8" xfId="18" applyNumberFormat="1" applyFont="1" applyFill="1" applyBorder="1" applyAlignment="1">
      <alignment/>
    </xf>
    <xf numFmtId="164" fontId="9" fillId="0" borderId="8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164" fontId="13" fillId="0" borderId="12" xfId="18" applyNumberFormat="1" applyFont="1" applyFill="1" applyBorder="1" applyAlignment="1">
      <alignment/>
    </xf>
    <xf numFmtId="0" fontId="9" fillId="0" borderId="0" xfId="25" applyFont="1" applyFill="1" applyBorder="1" applyAlignment="1">
      <alignment/>
      <protection/>
    </xf>
    <xf numFmtId="0" fontId="9" fillId="0" borderId="12" xfId="25" applyFont="1" applyFill="1" applyBorder="1" applyAlignment="1">
      <alignment/>
      <protection/>
    </xf>
    <xf numFmtId="164" fontId="0" fillId="0" borderId="10" xfId="18" applyNumberFormat="1" applyFont="1" applyFill="1" applyBorder="1" applyAlignment="1">
      <alignment/>
    </xf>
    <xf numFmtId="164" fontId="13" fillId="0" borderId="0" xfId="18" applyNumberFormat="1" applyFont="1" applyFill="1" applyAlignment="1">
      <alignment/>
    </xf>
    <xf numFmtId="164" fontId="6" fillId="0" borderId="0" xfId="18" applyNumberFormat="1" applyFont="1" applyFill="1" applyAlignment="1">
      <alignment/>
    </xf>
    <xf numFmtId="0" fontId="9" fillId="0" borderId="0" xfId="25" applyFont="1" applyFill="1" applyAlignment="1">
      <alignment/>
      <protection/>
    </xf>
    <xf numFmtId="164" fontId="0" fillId="0" borderId="5" xfId="18" applyNumberFormat="1" applyFont="1" applyFill="1" applyBorder="1" applyAlignment="1">
      <alignment/>
    </xf>
    <xf numFmtId="164" fontId="9" fillId="0" borderId="0" xfId="18" applyNumberFormat="1" applyFont="1" applyFill="1" applyBorder="1" applyAlignment="1">
      <alignment/>
    </xf>
    <xf numFmtId="164" fontId="0" fillId="0" borderId="0" xfId="18" applyNumberFormat="1" applyFont="1" applyFill="1" applyBorder="1" applyAlignment="1">
      <alignment/>
    </xf>
    <xf numFmtId="164" fontId="13" fillId="0" borderId="0" xfId="18" applyNumberFormat="1" applyFont="1" applyFill="1" applyBorder="1" applyAlignment="1">
      <alignment/>
    </xf>
    <xf numFmtId="164" fontId="6" fillId="0" borderId="0" xfId="18" applyNumberFormat="1" applyFont="1" applyFill="1" applyBorder="1" applyAlignment="1">
      <alignment/>
    </xf>
    <xf numFmtId="0" fontId="6" fillId="0" borderId="0" xfId="25" applyFont="1" applyFill="1" applyAlignment="1">
      <alignment/>
      <protection/>
    </xf>
    <xf numFmtId="42" fontId="9" fillId="0" borderId="1" xfId="18" applyNumberFormat="1" applyFont="1" applyFill="1" applyBorder="1" applyAlignment="1">
      <alignment/>
    </xf>
    <xf numFmtId="0" fontId="0" fillId="0" borderId="0" xfId="30" applyFont="1" applyFill="1" applyAlignment="1">
      <alignment/>
      <protection/>
    </xf>
    <xf numFmtId="164" fontId="19" fillId="2" borderId="0" xfId="18" applyNumberFormat="1" applyFont="1" applyFill="1" applyAlignment="1">
      <alignment/>
    </xf>
    <xf numFmtId="164" fontId="2" fillId="2" borderId="5" xfId="18" applyNumberFormat="1" applyFont="1" applyFill="1" applyBorder="1" applyAlignment="1">
      <alignment horizontal="left"/>
    </xf>
    <xf numFmtId="164" fontId="19" fillId="2" borderId="5" xfId="18" applyNumberFormat="1" applyFont="1" applyFill="1" applyBorder="1" applyAlignment="1">
      <alignment/>
    </xf>
    <xf numFmtId="164" fontId="2" fillId="2" borderId="6" xfId="18" applyNumberFormat="1" applyFont="1" applyFill="1" applyBorder="1" applyAlignment="1">
      <alignment horizontal="left"/>
    </xf>
    <xf numFmtId="0" fontId="14" fillId="2" borderId="0" xfId="30" applyFont="1" applyFill="1" applyAlignment="1">
      <alignment/>
      <protection/>
    </xf>
    <xf numFmtId="0" fontId="14" fillId="2" borderId="0" xfId="30" applyFont="1" applyFill="1" applyAlignment="1" quotePrefix="1">
      <alignment/>
      <protection/>
    </xf>
    <xf numFmtId="164" fontId="4" fillId="2" borderId="0" xfId="18" applyNumberFormat="1" applyFont="1" applyFill="1" applyAlignment="1">
      <alignment/>
    </xf>
    <xf numFmtId="0" fontId="3" fillId="2" borderId="7" xfId="30" applyFont="1" applyFill="1" applyBorder="1">
      <alignment/>
      <protection/>
    </xf>
    <xf numFmtId="0" fontId="12" fillId="2" borderId="0" xfId="30" applyFont="1" applyFill="1" applyAlignment="1">
      <alignment/>
      <protection/>
    </xf>
    <xf numFmtId="164" fontId="4" fillId="2" borderId="0" xfId="18" applyNumberFormat="1" applyFont="1" applyFill="1" applyAlignment="1" quotePrefix="1">
      <alignment/>
    </xf>
    <xf numFmtId="164" fontId="3" fillId="2" borderId="14" xfId="18" applyNumberFormat="1" applyFont="1" applyFill="1" applyBorder="1" applyAlignment="1">
      <alignment horizontal="left"/>
    </xf>
    <xf numFmtId="164" fontId="0" fillId="0" borderId="4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0" fillId="0" borderId="6" xfId="18" applyNumberFormat="1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164" fontId="9" fillId="0" borderId="1" xfId="18" applyNumberFormat="1" applyFont="1" applyFill="1" applyBorder="1" applyAlignment="1">
      <alignment horizontal="center"/>
    </xf>
    <xf numFmtId="164" fontId="9" fillId="0" borderId="2" xfId="18" applyNumberFormat="1" applyFont="1" applyFill="1" applyBorder="1" applyAlignment="1">
      <alignment horizontal="centerContinuous"/>
    </xf>
    <xf numFmtId="164" fontId="9" fillId="0" borderId="2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0" fillId="0" borderId="3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16" xfId="18" applyNumberFormat="1" applyFont="1" applyFill="1" applyBorder="1" applyAlignment="1">
      <alignment horizontal="center"/>
    </xf>
    <xf numFmtId="164" fontId="9" fillId="0" borderId="16" xfId="18" applyNumberFormat="1" applyFont="1" applyFill="1" applyBorder="1" applyAlignment="1">
      <alignment/>
    </xf>
    <xf numFmtId="164" fontId="9" fillId="0" borderId="16" xfId="18" applyNumberFormat="1" applyFont="1" applyFill="1" applyBorder="1" applyAlignment="1">
      <alignment horizontal="centerContinuous"/>
    </xf>
    <xf numFmtId="164" fontId="9" fillId="0" borderId="7" xfId="18" applyNumberFormat="1" applyFont="1" applyFill="1" applyBorder="1" applyAlignment="1">
      <alignment horizontal="center"/>
    </xf>
    <xf numFmtId="164" fontId="9" fillId="0" borderId="3" xfId="18" applyNumberFormat="1" applyFont="1" applyFill="1" applyBorder="1" applyAlignment="1">
      <alignment horizontal="center"/>
    </xf>
    <xf numFmtId="164" fontId="9" fillId="0" borderId="14" xfId="18" applyNumberFormat="1" applyFont="1" applyFill="1" applyBorder="1" applyAlignment="1">
      <alignment horizontal="centerContinuous"/>
    </xf>
    <xf numFmtId="164" fontId="9" fillId="0" borderId="10" xfId="18" applyNumberFormat="1" applyFont="1" applyFill="1" applyBorder="1" applyAlignment="1">
      <alignment horizontal="centerContinuous"/>
    </xf>
    <xf numFmtId="164" fontId="9" fillId="0" borderId="11" xfId="18" applyNumberFormat="1" applyFont="1" applyFill="1" applyBorder="1" applyAlignment="1">
      <alignment horizontal="centerContinuous"/>
    </xf>
    <xf numFmtId="164" fontId="9" fillId="0" borderId="15" xfId="18" applyNumberFormat="1" applyFont="1" applyFill="1" applyBorder="1" applyAlignment="1">
      <alignment horizontal="center"/>
    </xf>
    <xf numFmtId="164" fontId="9" fillId="0" borderId="1" xfId="18" applyNumberFormat="1" applyFont="1" applyFill="1" applyBorder="1" applyAlignment="1">
      <alignment/>
    </xf>
    <xf numFmtId="0" fontId="9" fillId="0" borderId="0" xfId="30" applyFont="1" applyFill="1" applyAlignment="1">
      <alignment/>
      <protection/>
    </xf>
    <xf numFmtId="0" fontId="6" fillId="0" borderId="0" xfId="30" applyFont="1" applyFill="1" applyAlignment="1">
      <alignment/>
      <protection/>
    </xf>
    <xf numFmtId="0" fontId="0" fillId="0" borderId="0" xfId="30" applyFont="1" applyFill="1">
      <alignment/>
      <protection/>
    </xf>
    <xf numFmtId="164" fontId="0" fillId="0" borderId="0" xfId="18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4" fontId="20" fillId="2" borderId="0" xfId="18" applyNumberFormat="1" applyFont="1" applyFill="1" applyAlignment="1">
      <alignment/>
    </xf>
    <xf numFmtId="164" fontId="2" fillId="2" borderId="5" xfId="18" applyNumberFormat="1" applyFont="1" applyFill="1" applyBorder="1" applyAlignment="1">
      <alignment/>
    </xf>
    <xf numFmtId="164" fontId="19" fillId="2" borderId="5" xfId="18" applyNumberFormat="1" applyFont="1" applyFill="1" applyBorder="1" applyAlignment="1">
      <alignment/>
    </xf>
    <xf numFmtId="164" fontId="19" fillId="2" borderId="6" xfId="18" applyNumberFormat="1" applyFont="1" applyFill="1" applyBorder="1" applyAlignment="1">
      <alignment horizontal="center"/>
    </xf>
    <xf numFmtId="0" fontId="19" fillId="2" borderId="6" xfId="0" applyFont="1" applyFill="1" applyBorder="1" applyAlignment="1">
      <alignment/>
    </xf>
    <xf numFmtId="0" fontId="20" fillId="0" borderId="0" xfId="0" applyFont="1" applyFill="1" applyAlignment="1">
      <alignment/>
    </xf>
    <xf numFmtId="164" fontId="6" fillId="2" borderId="0" xfId="18" applyNumberFormat="1" applyFont="1" applyFill="1" applyAlignment="1">
      <alignment/>
    </xf>
    <xf numFmtId="164" fontId="4" fillId="2" borderId="3" xfId="18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6" fillId="0" borderId="0" xfId="0" applyFont="1" applyFill="1" applyAlignment="1">
      <alignment/>
    </xf>
    <xf numFmtId="164" fontId="0" fillId="2" borderId="0" xfId="18" applyNumberFormat="1" applyFont="1" applyFill="1" applyAlignment="1">
      <alignment/>
    </xf>
    <xf numFmtId="0" fontId="7" fillId="2" borderId="7" xfId="0" applyFont="1" applyFill="1" applyBorder="1" applyAlignment="1">
      <alignment horizontal="left"/>
    </xf>
    <xf numFmtId="164" fontId="12" fillId="2" borderId="0" xfId="18" applyNumberFormat="1" applyFont="1" applyFill="1" applyBorder="1" applyAlignment="1">
      <alignment/>
    </xf>
    <xf numFmtId="164" fontId="12" fillId="2" borderId="3" xfId="18" applyNumberFormat="1" applyFont="1" applyFill="1" applyBorder="1" applyAlignment="1">
      <alignment horizontal="center"/>
    </xf>
    <xf numFmtId="0" fontId="12" fillId="2" borderId="3" xfId="0" applyFont="1" applyFill="1" applyBorder="1" applyAlignment="1">
      <alignment/>
    </xf>
    <xf numFmtId="164" fontId="0" fillId="0" borderId="0" xfId="18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3" fillId="2" borderId="1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164" fontId="12" fillId="2" borderId="10" xfId="18" applyNumberFormat="1" applyFont="1" applyFill="1" applyBorder="1" applyAlignment="1">
      <alignment/>
    </xf>
    <xf numFmtId="164" fontId="12" fillId="2" borderId="11" xfId="18" applyNumberFormat="1" applyFont="1" applyFill="1" applyBorder="1" applyAlignment="1">
      <alignment horizontal="center"/>
    </xf>
    <xf numFmtId="0" fontId="12" fillId="2" borderId="11" xfId="0" applyFont="1" applyFill="1" applyBorder="1" applyAlignment="1">
      <alignment/>
    </xf>
    <xf numFmtId="164" fontId="9" fillId="0" borderId="4" xfId="18" applyNumberFormat="1" applyFont="1" applyFill="1" applyBorder="1" applyAlignment="1">
      <alignment/>
    </xf>
    <xf numFmtId="164" fontId="9" fillId="0" borderId="5" xfId="18" applyNumberFormat="1" applyFont="1" applyFill="1" applyBorder="1" applyAlignment="1">
      <alignment/>
    </xf>
    <xf numFmtId="164" fontId="9" fillId="0" borderId="6" xfId="18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164" fontId="9" fillId="0" borderId="2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/>
    </xf>
    <xf numFmtId="164" fontId="9" fillId="0" borderId="3" xfId="18" applyNumberFormat="1" applyFont="1" applyFill="1" applyBorder="1" applyAlignment="1">
      <alignment/>
    </xf>
    <xf numFmtId="164" fontId="9" fillId="0" borderId="16" xfId="18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9" fillId="0" borderId="15" xfId="0" applyFont="1" applyFill="1" applyBorder="1" applyAlignment="1">
      <alignment horizontal="centerContinuous"/>
    </xf>
    <xf numFmtId="164" fontId="9" fillId="0" borderId="14" xfId="18" applyNumberFormat="1" applyFont="1" applyFill="1" applyBorder="1" applyAlignment="1">
      <alignment/>
    </xf>
    <xf numFmtId="164" fontId="9" fillId="0" borderId="10" xfId="18" applyNumberFormat="1" applyFont="1" applyFill="1" applyBorder="1" applyAlignment="1">
      <alignment/>
    </xf>
    <xf numFmtId="164" fontId="9" fillId="0" borderId="11" xfId="18" applyNumberFormat="1" applyFont="1" applyFill="1" applyBorder="1" applyAlignment="1">
      <alignment/>
    </xf>
    <xf numFmtId="164" fontId="9" fillId="0" borderId="12" xfId="18" applyNumberFormat="1" applyFont="1" applyFill="1" applyBorder="1" applyAlignment="1">
      <alignment/>
    </xf>
    <xf numFmtId="164" fontId="0" fillId="0" borderId="12" xfId="18" applyNumberFormat="1" applyFont="1" applyFill="1" applyBorder="1" applyAlignment="1">
      <alignment/>
    </xf>
    <xf numFmtId="164" fontId="0" fillId="0" borderId="1" xfId="18" applyNumberFormat="1" applyFont="1" applyFill="1" applyBorder="1" applyAlignment="1">
      <alignment horizontal="center"/>
    </xf>
    <xf numFmtId="42" fontId="0" fillId="0" borderId="1" xfId="18" applyNumberFormat="1" applyFont="1" applyFill="1" applyBorder="1" applyAlignment="1">
      <alignment horizontal="center"/>
    </xf>
    <xf numFmtId="42" fontId="0" fillId="0" borderId="1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1" fontId="0" fillId="0" borderId="1" xfId="18" applyNumberFormat="1" applyFont="1" applyFill="1" applyBorder="1" applyAlignment="1">
      <alignment horizontal="center"/>
    </xf>
    <xf numFmtId="41" fontId="0" fillId="0" borderId="1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1" fontId="9" fillId="0" borderId="1" xfId="18" applyNumberFormat="1" applyFont="1" applyFill="1" applyBorder="1" applyAlignment="1">
      <alignment horizontal="center"/>
    </xf>
    <xf numFmtId="42" fontId="9" fillId="0" borderId="1" xfId="18" applyNumberFormat="1" applyFont="1" applyFill="1" applyBorder="1" applyAlignment="1">
      <alignment horizontal="center"/>
    </xf>
    <xf numFmtId="0" fontId="0" fillId="0" borderId="0" xfId="26" applyFont="1">
      <alignment/>
      <protection/>
    </xf>
    <xf numFmtId="164" fontId="13" fillId="0" borderId="0" xfId="18" applyNumberFormat="1" applyFont="1" applyFill="1" applyBorder="1" applyAlignment="1" quotePrefix="1">
      <alignment/>
    </xf>
    <xf numFmtId="164" fontId="7" fillId="2" borderId="0" xfId="18" applyNumberFormat="1" applyFont="1" applyFill="1" applyBorder="1" applyAlignment="1">
      <alignment horizontal="left"/>
    </xf>
    <xf numFmtId="164" fontId="7" fillId="2" borderId="3" xfId="18" applyNumberFormat="1" applyFont="1" applyFill="1" applyBorder="1" applyAlignment="1">
      <alignment horizontal="left"/>
    </xf>
    <xf numFmtId="164" fontId="3" fillId="2" borderId="3" xfId="18" applyNumberFormat="1" applyFont="1" applyFill="1" applyBorder="1" applyAlignment="1">
      <alignment/>
    </xf>
    <xf numFmtId="164" fontId="9" fillId="0" borderId="7" xfId="18" applyNumberFormat="1" applyFont="1" applyFill="1" applyBorder="1" applyAlignment="1">
      <alignment horizontal="centerContinuous"/>
    </xf>
    <xf numFmtId="164" fontId="9" fillId="0" borderId="0" xfId="18" applyNumberFormat="1" applyFont="1" applyFill="1" applyBorder="1" applyAlignment="1">
      <alignment horizontal="centerContinuous"/>
    </xf>
    <xf numFmtId="164" fontId="9" fillId="0" borderId="8" xfId="18" applyNumberFormat="1" applyFont="1" applyFill="1" applyBorder="1" applyAlignment="1">
      <alignment horizontal="center"/>
    </xf>
    <xf numFmtId="164" fontId="0" fillId="0" borderId="1" xfId="18" applyNumberFormat="1" applyFont="1" applyFill="1" applyBorder="1" applyAlignment="1">
      <alignment horizontal="centerContinuous"/>
    </xf>
    <xf numFmtId="0" fontId="0" fillId="0" borderId="0" xfId="26" applyFont="1" applyFill="1">
      <alignment/>
      <protection/>
    </xf>
    <xf numFmtId="0" fontId="22" fillId="0" borderId="0" xfId="27" applyFont="1" applyFill="1">
      <alignment/>
      <protection/>
    </xf>
    <xf numFmtId="39" fontId="22" fillId="0" borderId="0" xfId="27" applyNumberFormat="1" applyFont="1" applyFill="1">
      <alignment/>
      <protection/>
    </xf>
    <xf numFmtId="0" fontId="6" fillId="0" borderId="0" xfId="27" applyFont="1" applyFill="1">
      <alignment/>
      <protection/>
    </xf>
    <xf numFmtId="40" fontId="2" fillId="2" borderId="4" xfId="27" applyNumberFormat="1" applyFont="1" applyFill="1" applyBorder="1">
      <alignment/>
      <protection/>
    </xf>
    <xf numFmtId="0" fontId="4" fillId="2" borderId="5" xfId="27" applyFont="1" applyFill="1" applyBorder="1">
      <alignment/>
      <protection/>
    </xf>
    <xf numFmtId="0" fontId="4" fillId="2" borderId="6" xfId="27" applyFont="1" applyFill="1" applyBorder="1">
      <alignment/>
      <protection/>
    </xf>
    <xf numFmtId="0" fontId="6" fillId="0" borderId="0" xfId="27" applyFont="1" applyFill="1" quotePrefix="1">
      <alignment/>
      <protection/>
    </xf>
    <xf numFmtId="40" fontId="13" fillId="0" borderId="0" xfId="27" applyNumberFormat="1" applyFont="1" applyFill="1" applyBorder="1" applyAlignment="1">
      <alignment horizontal="right"/>
      <protection/>
    </xf>
    <xf numFmtId="0" fontId="3" fillId="2" borderId="7" xfId="27" applyFont="1" applyFill="1" applyBorder="1">
      <alignment/>
      <protection/>
    </xf>
    <xf numFmtId="39" fontId="4" fillId="2" borderId="0" xfId="27" applyNumberFormat="1" applyFont="1" applyFill="1" applyBorder="1">
      <alignment/>
      <protection/>
    </xf>
    <xf numFmtId="39" fontId="3" fillId="2" borderId="0" xfId="27" applyNumberFormat="1" applyFont="1" applyFill="1" applyBorder="1" applyAlignment="1">
      <alignment horizontal="center"/>
      <protection/>
    </xf>
    <xf numFmtId="0" fontId="4" fillId="2" borderId="3" xfId="27" applyFont="1" applyFill="1" applyBorder="1">
      <alignment/>
      <protection/>
    </xf>
    <xf numFmtId="166" fontId="6" fillId="0" borderId="0" xfId="27" applyNumberFormat="1" applyFont="1" applyFill="1" applyBorder="1">
      <alignment/>
      <protection/>
    </xf>
    <xf numFmtId="0" fontId="7" fillId="2" borderId="7" xfId="27" applyFont="1" applyFill="1" applyBorder="1">
      <alignment/>
      <protection/>
    </xf>
    <xf numFmtId="39" fontId="23" fillId="2" borderId="0" xfId="27" applyNumberFormat="1" applyFont="1" applyFill="1" applyBorder="1">
      <alignment/>
      <protection/>
    </xf>
    <xf numFmtId="39" fontId="24" fillId="2" borderId="0" xfId="27" applyNumberFormat="1" applyFont="1" applyFill="1" applyBorder="1" applyAlignment="1">
      <alignment horizontal="center"/>
      <protection/>
    </xf>
    <xf numFmtId="0" fontId="23" fillId="2" borderId="3" xfId="27" applyFont="1" applyFill="1" applyBorder="1">
      <alignment/>
      <protection/>
    </xf>
    <xf numFmtId="0" fontId="22" fillId="0" borderId="0" xfId="27" applyFont="1" applyFill="1" quotePrefix="1">
      <alignment/>
      <protection/>
    </xf>
    <xf numFmtId="19" fontId="22" fillId="0" borderId="0" xfId="27" applyNumberFormat="1" applyFont="1" applyFill="1" applyBorder="1">
      <alignment/>
      <protection/>
    </xf>
    <xf numFmtId="0" fontId="7" fillId="2" borderId="14" xfId="27" applyFont="1" applyFill="1" applyBorder="1">
      <alignment/>
      <protection/>
    </xf>
    <xf numFmtId="39" fontId="23" fillId="2" borderId="10" xfId="27" applyNumberFormat="1" applyFont="1" applyFill="1" applyBorder="1">
      <alignment/>
      <protection/>
    </xf>
    <xf numFmtId="39" fontId="24" fillId="2" borderId="10" xfId="27" applyNumberFormat="1" applyFont="1" applyFill="1" applyBorder="1" applyAlignment="1">
      <alignment horizontal="center"/>
      <protection/>
    </xf>
    <xf numFmtId="39" fontId="23" fillId="2" borderId="11" xfId="27" applyNumberFormat="1" applyFont="1" applyFill="1" applyBorder="1">
      <alignment/>
      <protection/>
    </xf>
    <xf numFmtId="19" fontId="22" fillId="0" borderId="0" xfId="27" applyNumberFormat="1" applyFont="1" applyFill="1">
      <alignment/>
      <protection/>
    </xf>
    <xf numFmtId="0" fontId="0" fillId="0" borderId="1" xfId="27" applyFont="1" applyFill="1" applyBorder="1">
      <alignment/>
      <protection/>
    </xf>
    <xf numFmtId="39" fontId="9" fillId="0" borderId="9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/>
      <protection/>
    </xf>
    <xf numFmtId="39" fontId="9" fillId="0" borderId="1" xfId="27" applyNumberFormat="1" applyFont="1" applyFill="1" applyBorder="1" applyAlignment="1">
      <alignment horizontal="center" wrapText="1"/>
      <protection/>
    </xf>
    <xf numFmtId="39" fontId="9" fillId="0" borderId="9" xfId="27" applyNumberFormat="1" applyFont="1" applyFill="1" applyBorder="1" applyAlignment="1">
      <alignment horizontal="center" vertical="top"/>
      <protection/>
    </xf>
    <xf numFmtId="39" fontId="9" fillId="0" borderId="1" xfId="27" applyNumberFormat="1" applyFont="1" applyFill="1" applyBorder="1" applyAlignment="1">
      <alignment horizontal="center" vertical="top"/>
      <protection/>
    </xf>
    <xf numFmtId="0" fontId="9" fillId="0" borderId="1" xfId="27" applyFont="1" applyFill="1" applyBorder="1">
      <alignment/>
      <protection/>
    </xf>
    <xf numFmtId="39" fontId="0" fillId="0" borderId="9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vertical="top"/>
      <protection/>
    </xf>
    <xf numFmtId="39" fontId="0" fillId="0" borderId="1" xfId="27" applyNumberFormat="1" applyFont="1" applyFill="1" applyBorder="1" applyAlignment="1">
      <alignment horizontal="center" wrapText="1"/>
      <protection/>
    </xf>
    <xf numFmtId="39" fontId="0" fillId="0" borderId="1" xfId="27" applyNumberFormat="1" applyFont="1" applyFill="1" applyBorder="1" applyAlignment="1" quotePrefix="1">
      <alignment horizontal="center" wrapText="1"/>
      <protection/>
    </xf>
    <xf numFmtId="39" fontId="0" fillId="0" borderId="1" xfId="27" applyNumberFormat="1" applyFont="1" applyFill="1" applyBorder="1">
      <alignment/>
      <protection/>
    </xf>
    <xf numFmtId="39" fontId="0" fillId="0" borderId="9" xfId="27" applyNumberFormat="1" applyFont="1" applyFill="1" applyBorder="1">
      <alignment/>
      <protection/>
    </xf>
    <xf numFmtId="42" fontId="0" fillId="0" borderId="9" xfId="27" applyNumberFormat="1" applyFont="1" applyFill="1" applyBorder="1">
      <alignment/>
      <protection/>
    </xf>
    <xf numFmtId="42" fontId="0" fillId="0" borderId="1" xfId="27" applyNumberFormat="1" applyFont="1" applyFill="1" applyBorder="1">
      <alignment/>
      <protection/>
    </xf>
    <xf numFmtId="41" fontId="0" fillId="0" borderId="9" xfId="27" applyNumberFormat="1" applyFont="1" applyFill="1" applyBorder="1">
      <alignment/>
      <protection/>
    </xf>
    <xf numFmtId="41" fontId="0" fillId="0" borderId="1" xfId="27" applyNumberFormat="1" applyFont="1" applyFill="1" applyBorder="1">
      <alignment/>
      <protection/>
    </xf>
    <xf numFmtId="0" fontId="25" fillId="0" borderId="0" xfId="27" applyFont="1" applyFill="1">
      <alignment/>
      <protection/>
    </xf>
    <xf numFmtId="41" fontId="9" fillId="0" borderId="9" xfId="27" applyNumberFormat="1" applyFont="1" applyFill="1" applyBorder="1">
      <alignment/>
      <protection/>
    </xf>
    <xf numFmtId="41" fontId="9" fillId="0" borderId="1" xfId="27" applyNumberFormat="1" applyFont="1" applyFill="1" applyBorder="1">
      <alignment/>
      <protection/>
    </xf>
    <xf numFmtId="42" fontId="9" fillId="0" borderId="1" xfId="27" applyNumberFormat="1" applyFont="1" applyFill="1" applyBorder="1">
      <alignment/>
      <protection/>
    </xf>
    <xf numFmtId="0" fontId="0" fillId="0" borderId="0" xfId="27" applyFont="1" applyFill="1">
      <alignment/>
      <protection/>
    </xf>
    <xf numFmtId="39" fontId="0" fillId="0" borderId="0" xfId="27" applyNumberFormat="1" applyFont="1" applyFill="1">
      <alignment/>
      <protection/>
    </xf>
    <xf numFmtId="0" fontId="22" fillId="0" borderId="0" xfId="31" applyFont="1" applyFill="1">
      <alignment/>
      <protection/>
    </xf>
    <xf numFmtId="0" fontId="0" fillId="0" borderId="0" xfId="31" applyFont="1" applyFill="1" quotePrefix="1">
      <alignment/>
      <protection/>
    </xf>
    <xf numFmtId="39" fontId="0" fillId="0" borderId="0" xfId="31" applyNumberFormat="1" applyFont="1" applyFill="1">
      <alignment/>
      <protection/>
    </xf>
    <xf numFmtId="0" fontId="0" fillId="0" borderId="1" xfId="28" applyFont="1" applyFill="1" applyBorder="1">
      <alignment/>
      <protection/>
    </xf>
    <xf numFmtId="0" fontId="0" fillId="0" borderId="4" xfId="28" applyFont="1" applyFill="1" applyBorder="1">
      <alignment/>
      <protection/>
    </xf>
    <xf numFmtId="0" fontId="0" fillId="0" borderId="5" xfId="28" applyFont="1" applyFill="1" applyBorder="1">
      <alignment/>
      <protection/>
    </xf>
    <xf numFmtId="0" fontId="0" fillId="0" borderId="6" xfId="28" applyFont="1" applyFill="1" applyBorder="1">
      <alignment/>
      <protection/>
    </xf>
    <xf numFmtId="41" fontId="0" fillId="0" borderId="1" xfId="15" applyFill="1">
      <alignment horizontal="center" wrapText="1"/>
      <protection/>
    </xf>
    <xf numFmtId="0" fontId="0" fillId="0" borderId="8" xfId="28" applyFont="1" applyFill="1" applyBorder="1">
      <alignment/>
      <protection/>
    </xf>
    <xf numFmtId="0" fontId="2" fillId="2" borderId="4" xfId="28" applyFont="1" applyFill="1" applyBorder="1">
      <alignment/>
      <protection/>
    </xf>
    <xf numFmtId="0" fontId="2" fillId="2" borderId="5" xfId="28" applyFont="1" applyFill="1" applyBorder="1">
      <alignment/>
      <protection/>
    </xf>
    <xf numFmtId="41" fontId="0" fillId="2" borderId="1" xfId="15" applyFill="1">
      <alignment horizontal="center" wrapText="1"/>
      <protection/>
    </xf>
    <xf numFmtId="0" fontId="9" fillId="0" borderId="6" xfId="28" applyFont="1" applyFill="1" applyBorder="1" applyAlignment="1">
      <alignment horizontal="right"/>
      <protection/>
    </xf>
    <xf numFmtId="0" fontId="9" fillId="0" borderId="1" xfId="28" applyFont="1" applyFill="1" applyBorder="1" quotePrefix="1">
      <alignment/>
      <protection/>
    </xf>
    <xf numFmtId="0" fontId="3" fillId="2" borderId="7" xfId="28" applyFont="1" applyFill="1" applyBorder="1">
      <alignment/>
      <protection/>
    </xf>
    <xf numFmtId="0" fontId="3" fillId="2" borderId="0" xfId="28" applyFont="1" applyFill="1" applyBorder="1">
      <alignment/>
      <protection/>
    </xf>
    <xf numFmtId="167" fontId="0" fillId="0" borderId="3" xfId="28" applyNumberFormat="1" applyFont="1" applyFill="1" applyBorder="1">
      <alignment/>
      <protection/>
    </xf>
    <xf numFmtId="0" fontId="7" fillId="2" borderId="7" xfId="28" applyFont="1" applyFill="1" applyBorder="1">
      <alignment/>
      <protection/>
    </xf>
    <xf numFmtId="0" fontId="7" fillId="2" borderId="0" xfId="28" applyFont="1" applyFill="1" applyBorder="1">
      <alignment/>
      <protection/>
    </xf>
    <xf numFmtId="18" fontId="0" fillId="0" borderId="3" xfId="28" applyNumberFormat="1" applyFont="1" applyFill="1" applyBorder="1">
      <alignment/>
      <protection/>
    </xf>
    <xf numFmtId="0" fontId="0" fillId="2" borderId="14" xfId="28" applyFont="1" applyFill="1" applyBorder="1">
      <alignment/>
      <protection/>
    </xf>
    <xf numFmtId="0" fontId="7" fillId="2" borderId="10" xfId="28" applyFont="1" applyFill="1" applyBorder="1">
      <alignment/>
      <protection/>
    </xf>
    <xf numFmtId="18" fontId="0" fillId="0" borderId="11" xfId="28" applyNumberFormat="1" applyFont="1" applyFill="1" applyBorder="1">
      <alignment/>
      <protection/>
    </xf>
    <xf numFmtId="0" fontId="9" fillId="0" borderId="1" xfId="28" applyFont="1" applyFill="1" applyBorder="1">
      <alignment/>
      <protection/>
    </xf>
    <xf numFmtId="0" fontId="9" fillId="0" borderId="4" xfId="28" applyFont="1" applyFill="1" applyBorder="1">
      <alignment/>
      <protection/>
    </xf>
    <xf numFmtId="0" fontId="9" fillId="0" borderId="5" xfId="28" applyFont="1" applyFill="1" applyBorder="1">
      <alignment/>
      <protection/>
    </xf>
    <xf numFmtId="0" fontId="9" fillId="0" borderId="6" xfId="28" applyFont="1" applyFill="1" applyBorder="1">
      <alignment/>
      <protection/>
    </xf>
    <xf numFmtId="41" fontId="9" fillId="0" borderId="2" xfId="15" applyFont="1" applyFill="1" applyBorder="1">
      <alignment horizontal="center" wrapText="1"/>
      <protection/>
    </xf>
    <xf numFmtId="0" fontId="9" fillId="0" borderId="8" xfId="28" applyFont="1" applyFill="1" applyBorder="1">
      <alignment/>
      <protection/>
    </xf>
    <xf numFmtId="0" fontId="9" fillId="0" borderId="7" xfId="28" applyFont="1" applyFill="1" applyBorder="1">
      <alignment/>
      <protection/>
    </xf>
    <xf numFmtId="0" fontId="9" fillId="0" borderId="0" xfId="28" applyFont="1" applyFill="1" applyBorder="1">
      <alignment/>
      <protection/>
    </xf>
    <xf numFmtId="0" fontId="9" fillId="0" borderId="3" xfId="28" applyFont="1" applyFill="1" applyBorder="1">
      <alignment/>
      <protection/>
    </xf>
    <xf numFmtId="41" fontId="9" fillId="0" borderId="16" xfId="15" applyFont="1" applyFill="1" applyBorder="1">
      <alignment horizontal="center" wrapText="1"/>
      <protection/>
    </xf>
    <xf numFmtId="41" fontId="9" fillId="0" borderId="16" xfId="15" applyFont="1" applyFill="1" applyBorder="1" applyAlignment="1">
      <alignment horizontal="center" wrapText="1"/>
      <protection/>
    </xf>
    <xf numFmtId="0" fontId="9" fillId="0" borderId="14" xfId="28" applyFont="1" applyFill="1" applyBorder="1">
      <alignment/>
      <protection/>
    </xf>
    <xf numFmtId="0" fontId="9" fillId="0" borderId="10" xfId="28" applyFont="1" applyFill="1" applyBorder="1">
      <alignment/>
      <protection/>
    </xf>
    <xf numFmtId="0" fontId="9" fillId="0" borderId="11" xfId="28" applyFont="1" applyFill="1" applyBorder="1">
      <alignment/>
      <protection/>
    </xf>
    <xf numFmtId="0" fontId="9" fillId="0" borderId="0" xfId="28" applyFont="1" applyAlignment="1">
      <alignment horizontal="center"/>
      <protection/>
    </xf>
    <xf numFmtId="41" fontId="9" fillId="0" borderId="15" xfId="15" applyFont="1" applyFill="1" applyBorder="1">
      <alignment horizontal="center" wrapText="1"/>
      <protection/>
    </xf>
    <xf numFmtId="0" fontId="9" fillId="0" borderId="15" xfId="28" applyFont="1" applyBorder="1" applyAlignment="1">
      <alignment horizontal="center"/>
      <protection/>
    </xf>
    <xf numFmtId="0" fontId="9" fillId="0" borderId="12" xfId="28" applyFont="1" applyFill="1" applyBorder="1">
      <alignment/>
      <protection/>
    </xf>
    <xf numFmtId="0" fontId="9" fillId="0" borderId="9" xfId="28" applyFont="1" applyFill="1" applyBorder="1">
      <alignment/>
      <protection/>
    </xf>
    <xf numFmtId="41" fontId="0" fillId="0" borderId="1" xfId="15" applyFill="1" applyBorder="1">
      <alignment horizontal="center" wrapText="1"/>
      <protection/>
    </xf>
    <xf numFmtId="41" fontId="0" fillId="0" borderId="9" xfId="15" applyFill="1" applyBorder="1">
      <alignment horizontal="center" wrapText="1"/>
      <protection/>
    </xf>
    <xf numFmtId="42" fontId="0" fillId="0" borderId="1" xfId="15" applyNumberFormat="1" applyFill="1">
      <alignment horizontal="center" wrapText="1"/>
      <protection/>
    </xf>
    <xf numFmtId="0" fontId="9" fillId="0" borderId="12" xfId="28" applyFont="1" applyFill="1" applyBorder="1" applyAlignment="1">
      <alignment horizontal="left"/>
      <protection/>
    </xf>
    <xf numFmtId="0" fontId="9" fillId="0" borderId="9" xfId="28" applyFont="1" applyFill="1" applyBorder="1" applyAlignment="1">
      <alignment horizontal="left"/>
      <protection/>
    </xf>
    <xf numFmtId="41" fontId="9" fillId="0" borderId="1" xfId="15" applyFont="1" applyFill="1" applyBorder="1">
      <alignment horizontal="center" wrapText="1"/>
      <protection/>
    </xf>
    <xf numFmtId="41" fontId="9" fillId="0" borderId="9" xfId="15" applyFont="1" applyFill="1" applyBorder="1">
      <alignment horizontal="center" wrapText="1"/>
      <protection/>
    </xf>
    <xf numFmtId="41" fontId="9" fillId="0" borderId="1" xfId="15" applyFont="1" applyFill="1">
      <alignment horizontal="center" wrapText="1"/>
      <protection/>
    </xf>
    <xf numFmtId="0" fontId="0" fillId="0" borderId="12" xfId="28" applyFont="1" applyFill="1" applyBorder="1">
      <alignment/>
      <protection/>
    </xf>
    <xf numFmtId="0" fontId="0" fillId="0" borderId="9" xfId="28" applyFont="1" applyFill="1" applyBorder="1">
      <alignment/>
      <protection/>
    </xf>
    <xf numFmtId="42" fontId="9" fillId="0" borderId="1" xfId="15" applyNumberFormat="1" applyFont="1" applyFill="1" applyBorder="1">
      <alignment horizontal="center" wrapText="1"/>
      <protection/>
    </xf>
    <xf numFmtId="42" fontId="9" fillId="0" borderId="9" xfId="15" applyNumberFormat="1" applyFont="1" applyFill="1" applyBorder="1">
      <alignment horizontal="center" wrapText="1"/>
      <protection/>
    </xf>
    <xf numFmtId="42" fontId="9" fillId="0" borderId="1" xfId="15" applyNumberFormat="1" applyFont="1" applyFill="1">
      <alignment horizontal="center" wrapText="1"/>
      <protection/>
    </xf>
    <xf numFmtId="0" fontId="0" fillId="0" borderId="12" xfId="28" applyFont="1" applyFill="1" applyBorder="1" applyAlignment="1">
      <alignment horizontal="right"/>
      <protection/>
    </xf>
    <xf numFmtId="0" fontId="0" fillId="0" borderId="9" xfId="28" applyFont="1" applyFill="1" applyBorder="1" applyAlignment="1">
      <alignment horizontal="right"/>
      <protection/>
    </xf>
    <xf numFmtId="0" fontId="9" fillId="0" borderId="12" xfId="28" applyFont="1" applyFill="1" applyBorder="1" applyAlignment="1">
      <alignment/>
      <protection/>
    </xf>
    <xf numFmtId="0" fontId="9" fillId="0" borderId="9" xfId="28" applyFont="1" applyFill="1" applyBorder="1" applyAlignment="1">
      <alignment/>
      <protection/>
    </xf>
    <xf numFmtId="0" fontId="9" fillId="0" borderId="8" xfId="28" applyFont="1" applyFill="1" applyBorder="1" applyAlignment="1">
      <alignment horizontal="left"/>
      <protection/>
    </xf>
    <xf numFmtId="0" fontId="0" fillId="0" borderId="0" xfId="29" applyFont="1" applyFill="1" applyAlignment="1">
      <alignment wrapText="1"/>
      <protection/>
    </xf>
    <xf numFmtId="0" fontId="0" fillId="0" borderId="0" xfId="29" applyFont="1" applyFill="1" applyBorder="1" applyAlignment="1">
      <alignment/>
      <protection/>
    </xf>
    <xf numFmtId="0" fontId="0" fillId="0" borderId="0" xfId="29" applyFont="1" applyFill="1" applyBorder="1" applyAlignment="1">
      <alignment wrapText="1"/>
      <protection/>
    </xf>
    <xf numFmtId="0" fontId="0" fillId="0" borderId="0" xfId="29" applyFont="1">
      <alignment/>
      <protection/>
    </xf>
    <xf numFmtId="0" fontId="6" fillId="0" borderId="0" xfId="29" applyFont="1" applyFill="1">
      <alignment/>
      <protection/>
    </xf>
    <xf numFmtId="0" fontId="2" fillId="2" borderId="4" xfId="29" applyFont="1" applyFill="1" applyBorder="1" applyAlignment="1">
      <alignment horizontal="left"/>
      <protection/>
    </xf>
    <xf numFmtId="0" fontId="3" fillId="2" borderId="5" xfId="29" applyFont="1" applyFill="1" applyBorder="1" applyAlignment="1">
      <alignment horizontal="left"/>
      <protection/>
    </xf>
    <xf numFmtId="0" fontId="3" fillId="2" borderId="6" xfId="29" applyFont="1" applyFill="1" applyBorder="1" applyAlignment="1">
      <alignment horizontal="left"/>
      <protection/>
    </xf>
    <xf numFmtId="0" fontId="6" fillId="0" borderId="0" xfId="29" applyFont="1" quotePrefix="1">
      <alignment/>
      <protection/>
    </xf>
    <xf numFmtId="0" fontId="6" fillId="0" borderId="0" xfId="29" applyFont="1">
      <alignment/>
      <protection/>
    </xf>
    <xf numFmtId="0" fontId="3" fillId="2" borderId="7" xfId="29" applyFont="1" applyFill="1" applyBorder="1" applyAlignment="1">
      <alignment horizontal="left"/>
      <protection/>
    </xf>
    <xf numFmtId="0" fontId="3" fillId="2" borderId="0" xfId="29" applyFont="1" applyFill="1" applyBorder="1" applyAlignment="1">
      <alignment horizontal="left"/>
      <protection/>
    </xf>
    <xf numFmtId="0" fontId="3" fillId="2" borderId="3" xfId="29" applyFont="1" applyFill="1" applyBorder="1" applyAlignment="1">
      <alignment horizontal="left"/>
      <protection/>
    </xf>
    <xf numFmtId="0" fontId="0" fillId="0" borderId="0" xfId="29" applyFont="1" applyFill="1">
      <alignment/>
      <protection/>
    </xf>
    <xf numFmtId="0" fontId="7" fillId="2" borderId="7" xfId="29" applyFont="1" applyFill="1" applyBorder="1" applyAlignment="1">
      <alignment horizontal="left"/>
      <protection/>
    </xf>
    <xf numFmtId="0" fontId="7" fillId="2" borderId="0" xfId="29" applyFont="1" applyFill="1" applyBorder="1" applyAlignment="1">
      <alignment horizontal="left"/>
      <protection/>
    </xf>
    <xf numFmtId="0" fontId="7" fillId="2" borderId="3" xfId="29" applyFont="1" applyFill="1" applyBorder="1" applyAlignment="1">
      <alignment horizontal="left"/>
      <protection/>
    </xf>
    <xf numFmtId="0" fontId="0" fillId="0" borderId="0" xfId="29" applyFont="1" quotePrefix="1">
      <alignment/>
      <protection/>
    </xf>
    <xf numFmtId="0" fontId="12" fillId="2" borderId="14" xfId="29" applyFont="1" applyFill="1" applyBorder="1">
      <alignment/>
      <protection/>
    </xf>
    <xf numFmtId="0" fontId="12" fillId="2" borderId="10" xfId="29" applyFont="1" applyFill="1" applyBorder="1" applyAlignment="1">
      <alignment/>
      <protection/>
    </xf>
    <xf numFmtId="0" fontId="12" fillId="2" borderId="10" xfId="29" applyFont="1" applyFill="1" applyBorder="1">
      <alignment/>
      <protection/>
    </xf>
    <xf numFmtId="0" fontId="12" fillId="2" borderId="11" xfId="29" applyFont="1" applyFill="1" applyBorder="1">
      <alignment/>
      <protection/>
    </xf>
    <xf numFmtId="40" fontId="9" fillId="0" borderId="8" xfId="29" applyNumberFormat="1" applyFont="1" applyFill="1" applyBorder="1" applyAlignment="1">
      <alignment horizontal="centerContinuous"/>
      <protection/>
    </xf>
    <xf numFmtId="40" fontId="9" fillId="0" borderId="9" xfId="29" applyNumberFormat="1" applyFont="1" applyFill="1" applyBorder="1" applyAlignment="1">
      <alignment horizontal="centerContinuous"/>
      <protection/>
    </xf>
    <xf numFmtId="40" fontId="9" fillId="0" borderId="1" xfId="29" applyNumberFormat="1" applyFont="1" applyFill="1" applyBorder="1" applyAlignment="1">
      <alignment horizontal="center" wrapText="1"/>
      <protection/>
    </xf>
    <xf numFmtId="40" fontId="9" fillId="0" borderId="1" xfId="29" applyNumberFormat="1" applyFont="1" applyFill="1" applyBorder="1" applyAlignment="1">
      <alignment horizontal="centerContinuous"/>
      <protection/>
    </xf>
    <xf numFmtId="0" fontId="9" fillId="0" borderId="8" xfId="29" applyFont="1" applyFill="1" applyBorder="1" applyAlignment="1">
      <alignment horizontal="left"/>
      <protection/>
    </xf>
    <xf numFmtId="0" fontId="9" fillId="0" borderId="9" xfId="29" applyFont="1" applyFill="1" applyBorder="1" applyAlignment="1">
      <alignment horizontal="left"/>
      <protection/>
    </xf>
    <xf numFmtId="40" fontId="0" fillId="0" borderId="1" xfId="29" applyNumberFormat="1" applyFont="1" applyFill="1" applyBorder="1">
      <alignment/>
      <protection/>
    </xf>
    <xf numFmtId="0" fontId="0" fillId="0" borderId="8" xfId="29" applyFont="1" applyFill="1" applyBorder="1">
      <alignment/>
      <protection/>
    </xf>
    <xf numFmtId="0" fontId="0" fillId="0" borderId="9" xfId="29" applyFont="1" applyFill="1" applyBorder="1" applyAlignment="1">
      <alignment/>
      <protection/>
    </xf>
    <xf numFmtId="42" fontId="0" fillId="0" borderId="1" xfId="20" applyNumberFormat="1" applyFont="1" applyFill="1" applyBorder="1" applyAlignment="1">
      <alignment/>
    </xf>
    <xf numFmtId="41" fontId="0" fillId="0" borderId="1" xfId="29" applyNumberFormat="1" applyFont="1" applyFill="1" applyBorder="1">
      <alignment/>
      <protection/>
    </xf>
    <xf numFmtId="0" fontId="9" fillId="0" borderId="0" xfId="29" applyFont="1" applyFill="1" applyBorder="1">
      <alignment/>
      <protection/>
    </xf>
    <xf numFmtId="41" fontId="9" fillId="0" borderId="1" xfId="29" applyNumberFormat="1" applyFont="1" applyFill="1" applyBorder="1">
      <alignment/>
      <protection/>
    </xf>
    <xf numFmtId="0" fontId="9" fillId="0" borderId="8" xfId="29" applyFont="1" applyFill="1" applyBorder="1">
      <alignment/>
      <protection/>
    </xf>
    <xf numFmtId="0" fontId="9" fillId="0" borderId="9" xfId="29" applyFont="1" applyFill="1" applyBorder="1" applyAlignment="1">
      <alignment/>
      <protection/>
    </xf>
    <xf numFmtId="0" fontId="9" fillId="0" borderId="0" xfId="29" applyFont="1" applyFill="1">
      <alignment/>
      <protection/>
    </xf>
    <xf numFmtId="164" fontId="13" fillId="0" borderId="0" xfId="18" applyNumberFormat="1" applyFont="1" applyFill="1" applyAlignment="1">
      <alignment/>
    </xf>
    <xf numFmtId="164" fontId="13" fillId="0" borderId="0" xfId="18" applyNumberFormat="1" applyFont="1" applyFill="1" applyBorder="1" applyAlignment="1">
      <alignment/>
    </xf>
    <xf numFmtId="42" fontId="9" fillId="0" borderId="1" xfId="20" applyNumberFormat="1" applyFont="1" applyFill="1" applyBorder="1" applyAlignment="1">
      <alignment/>
    </xf>
    <xf numFmtId="0" fontId="0" fillId="0" borderId="0" xfId="29" applyFont="1" applyBorder="1" applyAlignment="1">
      <alignment/>
      <protection/>
    </xf>
    <xf numFmtId="0" fontId="0" fillId="0" borderId="0" xfId="29" applyFont="1" applyFill="1" applyBorder="1">
      <alignment/>
      <protection/>
    </xf>
    <xf numFmtId="0" fontId="0" fillId="0" borderId="0" xfId="29" applyFont="1" applyBorder="1">
      <alignment/>
      <protection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41" fontId="0" fillId="0" borderId="1" xfId="16" applyFill="1">
      <alignment horizontal="center" wrapText="1"/>
      <protection/>
    </xf>
    <xf numFmtId="0" fontId="6" fillId="0" borderId="8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41" fontId="4" fillId="2" borderId="1" xfId="16" applyFont="1" applyFill="1">
      <alignment horizontal="center" wrapText="1"/>
      <protection/>
    </xf>
    <xf numFmtId="41" fontId="3" fillId="2" borderId="1" xfId="16" applyFont="1" applyFill="1">
      <alignment horizontal="center" wrapText="1"/>
      <protection/>
    </xf>
    <xf numFmtId="0" fontId="6" fillId="0" borderId="9" xfId="0" applyFont="1" applyFill="1" applyBorder="1" applyAlignment="1">
      <alignment/>
    </xf>
    <xf numFmtId="0" fontId="6" fillId="0" borderId="1" xfId="0" applyFont="1" applyFill="1" applyBorder="1" applyAlignment="1" quotePrefix="1">
      <alignment/>
    </xf>
    <xf numFmtId="0" fontId="6" fillId="0" borderId="1" xfId="0" applyFont="1" applyFill="1" applyBorder="1" applyAlignment="1">
      <alignment/>
    </xf>
    <xf numFmtId="0" fontId="0" fillId="0" borderId="8" xfId="0" applyFill="1" applyBorder="1" applyAlignment="1">
      <alignment/>
    </xf>
    <xf numFmtId="0" fontId="3" fillId="2" borderId="7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41" fontId="12" fillId="2" borderId="1" xfId="16" applyFont="1" applyFill="1">
      <alignment horizontal="center" wrapText="1"/>
      <protection/>
    </xf>
    <xf numFmtId="41" fontId="7" fillId="2" borderId="1" xfId="16" applyFont="1" applyFill="1">
      <alignment horizontal="center" wrapText="1"/>
      <protection/>
    </xf>
    <xf numFmtId="0" fontId="0" fillId="0" borderId="9" xfId="0" applyFill="1" applyBorder="1" applyAlignment="1">
      <alignment/>
    </xf>
    <xf numFmtId="0" fontId="0" fillId="0" borderId="1" xfId="0" applyFill="1" applyBorder="1" applyAlignment="1" quotePrefix="1">
      <alignment/>
    </xf>
    <xf numFmtId="0" fontId="7" fillId="2" borderId="7" xfId="0" applyFont="1" applyFill="1" applyBorder="1" applyAlignment="1">
      <alignment/>
    </xf>
    <xf numFmtId="19" fontId="0" fillId="0" borderId="9" xfId="0" applyNumberFormat="1" applyFill="1" applyBorder="1" applyAlignment="1">
      <alignment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41" fontId="9" fillId="0" borderId="2" xfId="16" applyFont="1" applyFill="1" applyBorder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0" xfId="0" applyFill="1" applyBorder="1" applyAlignment="1">
      <alignment wrapText="1"/>
    </xf>
    <xf numFmtId="41" fontId="9" fillId="0" borderId="15" xfId="16" applyFont="1" applyFill="1" applyBorder="1">
      <alignment horizontal="center" wrapText="1"/>
      <protection/>
    </xf>
    <xf numFmtId="0" fontId="9" fillId="0" borderId="8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42" fontId="0" fillId="0" borderId="1" xfId="16" applyNumberFormat="1" applyFill="1">
      <alignment horizontal="center" wrapText="1"/>
      <protection/>
    </xf>
    <xf numFmtId="41" fontId="0" fillId="0" borderId="1" xfId="16" applyFill="1" applyBorder="1">
      <alignment horizontal="center" wrapText="1"/>
      <protection/>
    </xf>
    <xf numFmtId="0" fontId="9" fillId="0" borderId="1" xfId="0" applyFont="1" applyFill="1" applyBorder="1" applyAlignment="1">
      <alignment/>
    </xf>
    <xf numFmtId="0" fontId="9" fillId="0" borderId="12" xfId="0" applyFont="1" applyFill="1" applyBorder="1" applyAlignment="1">
      <alignment horizontal="left" indent="1"/>
    </xf>
    <xf numFmtId="41" fontId="9" fillId="0" borderId="1" xfId="16" applyFont="1" applyFill="1">
      <alignment horizontal="center" wrapText="1"/>
      <protection/>
    </xf>
    <xf numFmtId="42" fontId="9" fillId="0" borderId="8" xfId="0" applyNumberFormat="1" applyFont="1" applyFill="1" applyBorder="1" applyAlignment="1">
      <alignment/>
    </xf>
    <xf numFmtId="42" fontId="9" fillId="0" borderId="12" xfId="0" applyNumberFormat="1" applyFont="1" applyFill="1" applyBorder="1" applyAlignment="1">
      <alignment/>
    </xf>
    <xf numFmtId="42" fontId="9" fillId="0" borderId="1" xfId="16" applyNumberFormat="1" applyFont="1" applyFill="1">
      <alignment horizontal="center" wrapText="1"/>
      <protection/>
    </xf>
    <xf numFmtId="42" fontId="9" fillId="0" borderId="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6" xfId="0" applyFill="1" applyBorder="1" applyAlignment="1">
      <alignment/>
    </xf>
    <xf numFmtId="41" fontId="0" fillId="0" borderId="2" xfId="17" applyFont="1" applyFill="1" applyBorder="1" applyAlignment="1">
      <alignment/>
      <protection/>
    </xf>
    <xf numFmtId="41" fontId="0" fillId="0" borderId="9" xfId="17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0" fillId="0" borderId="1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19" fillId="2" borderId="5" xfId="0" applyFont="1" applyFill="1" applyBorder="1" applyAlignment="1">
      <alignment/>
    </xf>
    <xf numFmtId="41" fontId="0" fillId="2" borderId="4" xfId="17" applyFont="1" applyFill="1" applyBorder="1" applyAlignment="1">
      <alignment/>
      <protection/>
    </xf>
    <xf numFmtId="41" fontId="0" fillId="2" borderId="5" xfId="17" applyFont="1" applyFill="1" applyBorder="1" applyAlignment="1">
      <alignment/>
      <protection/>
    </xf>
    <xf numFmtId="41" fontId="0" fillId="2" borderId="5" xfId="17" applyFont="1" applyFill="1" applyBorder="1" applyAlignment="1">
      <alignment horizontal="center"/>
      <protection/>
    </xf>
    <xf numFmtId="41" fontId="0" fillId="2" borderId="5" xfId="17" applyFont="1" applyFill="1" applyBorder="1" applyAlignment="1">
      <alignment horizontal="left"/>
      <protection/>
    </xf>
    <xf numFmtId="41" fontId="0" fillId="2" borderId="6" xfId="17" applyFont="1" applyFill="1" applyBorder="1" applyAlignment="1">
      <alignment horizontal="right"/>
      <protection/>
    </xf>
    <xf numFmtId="0" fontId="20" fillId="0" borderId="0" xfId="0" applyFont="1" applyFill="1" applyBorder="1" applyAlignment="1">
      <alignment/>
    </xf>
    <xf numFmtId="0" fontId="20" fillId="0" borderId="9" xfId="0" applyFont="1" applyFill="1" applyBorder="1" applyAlignment="1" quotePrefix="1">
      <alignment/>
    </xf>
    <xf numFmtId="0" fontId="20" fillId="0" borderId="1" xfId="0" applyFont="1" applyFill="1" applyBorder="1" applyAlignment="1" quotePrefix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1" fontId="0" fillId="2" borderId="7" xfId="17" applyFont="1" applyFill="1" applyBorder="1" applyAlignment="1">
      <alignment/>
      <protection/>
    </xf>
    <xf numFmtId="41" fontId="0" fillId="2" borderId="0" xfId="17" applyFont="1" applyFill="1" applyBorder="1" applyAlignment="1">
      <alignment/>
      <protection/>
    </xf>
    <xf numFmtId="41" fontId="0" fillId="2" borderId="0" xfId="17" applyFont="1" applyFill="1" applyBorder="1" applyAlignment="1">
      <alignment horizontal="center"/>
      <protection/>
    </xf>
    <xf numFmtId="41" fontId="0" fillId="2" borderId="0" xfId="17" applyFont="1" applyFill="1" applyBorder="1" applyAlignment="1">
      <alignment horizontal="left"/>
      <protection/>
    </xf>
    <xf numFmtId="41" fontId="0" fillId="2" borderId="3" xfId="17" applyFont="1" applyFill="1" applyBorder="1" applyAlignment="1">
      <alignment/>
      <protection/>
    </xf>
    <xf numFmtId="0" fontId="6" fillId="0" borderId="0" xfId="0" applyFont="1" applyFill="1" applyBorder="1" applyAlignment="1">
      <alignment/>
    </xf>
    <xf numFmtId="0" fontId="7" fillId="2" borderId="14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41" fontId="0" fillId="2" borderId="14" xfId="17" applyFont="1" applyFill="1" applyBorder="1" applyAlignment="1">
      <alignment/>
      <protection/>
    </xf>
    <xf numFmtId="41" fontId="0" fillId="2" borderId="10" xfId="17" applyFont="1" applyFill="1" applyBorder="1" applyAlignment="1">
      <alignment/>
      <protection/>
    </xf>
    <xf numFmtId="41" fontId="0" fillId="2" borderId="11" xfId="17" applyFont="1" applyFill="1" applyBorder="1" applyAlignment="1">
      <alignment/>
      <protection/>
    </xf>
    <xf numFmtId="19" fontId="0" fillId="0" borderId="0" xfId="0" applyNumberFormat="1" applyFill="1" applyBorder="1" applyAlignment="1">
      <alignment/>
    </xf>
    <xf numFmtId="0" fontId="9" fillId="0" borderId="1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41" fontId="9" fillId="0" borderId="2" xfId="17" applyFont="1" applyFill="1" applyBorder="1" applyAlignment="1">
      <alignment horizontal="center" wrapText="1"/>
      <protection/>
    </xf>
    <xf numFmtId="0" fontId="9" fillId="0" borderId="0" xfId="0" applyFont="1" applyFill="1" applyBorder="1" applyAlignment="1">
      <alignment wrapText="1"/>
    </xf>
    <xf numFmtId="0" fontId="9" fillId="0" borderId="9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41" fontId="9" fillId="0" borderId="16" xfId="17" applyFont="1" applyFill="1" applyBorder="1" applyAlignment="1">
      <alignment horizontal="center" wrapText="1"/>
      <protection/>
    </xf>
    <xf numFmtId="0" fontId="9" fillId="0" borderId="14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1" fontId="9" fillId="0" borderId="15" xfId="17" applyFont="1" applyFill="1" applyBorder="1" applyAlignment="1">
      <alignment horizontal="center" wrapText="1"/>
      <protection/>
    </xf>
    <xf numFmtId="0" fontId="0" fillId="0" borderId="1" xfId="0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1" fontId="0" fillId="0" borderId="1" xfId="17" applyFont="1" applyFill="1" applyBorder="1" applyAlignment="1">
      <alignment horizontal="left"/>
      <protection/>
    </xf>
    <xf numFmtId="41" fontId="0" fillId="0" borderId="9" xfId="17" applyFont="1" applyFill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41" fontId="0" fillId="0" borderId="1" xfId="17" applyFont="1" applyFill="1" applyBorder="1" applyAlignment="1">
      <alignment/>
      <protection/>
    </xf>
    <xf numFmtId="42" fontId="0" fillId="0" borderId="2" xfId="17" applyNumberFormat="1" applyFont="1" applyFill="1" applyBorder="1" applyAlignment="1">
      <alignment/>
      <protection/>
    </xf>
    <xf numFmtId="42" fontId="0" fillId="0" borderId="9" xfId="17" applyNumberFormat="1" applyFont="1" applyFill="1" applyBorder="1" applyAlignment="1">
      <alignment/>
      <protection/>
    </xf>
    <xf numFmtId="0" fontId="9" fillId="0" borderId="9" xfId="0" applyFont="1" applyFill="1" applyBorder="1" applyAlignment="1">
      <alignment horizontal="left" indent="1"/>
    </xf>
    <xf numFmtId="41" fontId="9" fillId="0" borderId="1" xfId="17" applyFont="1" applyFill="1" applyBorder="1" applyAlignment="1">
      <alignment/>
      <protection/>
    </xf>
    <xf numFmtId="41" fontId="9" fillId="0" borderId="9" xfId="17" applyFont="1" applyFill="1" applyBorder="1" applyAlignment="1">
      <alignment/>
      <protection/>
    </xf>
    <xf numFmtId="0" fontId="9" fillId="0" borderId="0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41" fontId="9" fillId="0" borderId="9" xfId="17" applyFont="1" applyFill="1" applyBorder="1" applyAlignment="1">
      <alignment horizontal="right"/>
      <protection/>
    </xf>
    <xf numFmtId="41" fontId="0" fillId="0" borderId="9" xfId="17" applyFont="1" applyFill="1" applyBorder="1" applyAlignment="1">
      <alignment horizontal="right"/>
      <protection/>
    </xf>
    <xf numFmtId="42" fontId="9" fillId="0" borderId="1" xfId="17" applyNumberFormat="1" applyFont="1" applyFill="1" applyBorder="1" applyAlignment="1">
      <alignment/>
      <protection/>
    </xf>
    <xf numFmtId="42" fontId="9" fillId="0" borderId="9" xfId="17" applyNumberFormat="1" applyFont="1" applyFill="1" applyBorder="1" applyAlignment="1">
      <alignment/>
      <protection/>
    </xf>
    <xf numFmtId="0" fontId="1" fillId="0" borderId="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3" fillId="0" borderId="8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0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7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0" fillId="0" borderId="1" xfId="0" applyFont="1" applyFill="1" applyBorder="1" applyAlignment="1" quotePrefix="1">
      <alignment/>
    </xf>
    <xf numFmtId="0" fontId="9" fillId="0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0" borderId="6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9" fillId="0" borderId="11" xfId="0" applyNumberFormat="1" applyFont="1" applyFill="1" applyBorder="1" applyAlignment="1">
      <alignment horizontal="center"/>
    </xf>
    <xf numFmtId="41" fontId="9" fillId="0" borderId="15" xfId="15" applyFont="1" applyFill="1" applyBorder="1" applyAlignment="1">
      <alignment horizontal="center" wrapText="1"/>
      <protection/>
    </xf>
    <xf numFmtId="0" fontId="9" fillId="0" borderId="1" xfId="0" applyNumberFormat="1" applyFont="1" applyFill="1" applyBorder="1" applyAlignment="1">
      <alignment/>
    </xf>
    <xf numFmtId="0" fontId="10" fillId="0" borderId="1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/>
    </xf>
    <xf numFmtId="0" fontId="9" fillId="0" borderId="16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164" fontId="20" fillId="0" borderId="0" xfId="18" applyNumberFormat="1" applyFont="1" applyFill="1" applyAlignment="1">
      <alignment/>
    </xf>
    <xf numFmtId="164" fontId="2" fillId="2" borderId="7" xfId="18" applyNumberFormat="1" applyFont="1" applyFill="1" applyBorder="1" applyAlignment="1">
      <alignment/>
    </xf>
    <xf numFmtId="164" fontId="2" fillId="2" borderId="0" xfId="18" applyNumberFormat="1" applyFont="1" applyFill="1" applyAlignment="1">
      <alignment/>
    </xf>
    <xf numFmtId="164" fontId="2" fillId="2" borderId="0" xfId="18" applyNumberFormat="1" applyFont="1" applyFill="1" applyBorder="1" applyAlignment="1">
      <alignment/>
    </xf>
    <xf numFmtId="164" fontId="3" fillId="2" borderId="0" xfId="18" applyNumberFormat="1" applyFont="1" applyFill="1" applyAlignment="1">
      <alignment/>
    </xf>
    <xf numFmtId="0" fontId="7" fillId="2" borderId="0" xfId="0" applyFont="1" applyFill="1" applyAlignment="1">
      <alignment horizontal="left"/>
    </xf>
    <xf numFmtId="164" fontId="9" fillId="0" borderId="15" xfId="18" applyNumberFormat="1" applyFont="1" applyFill="1" applyBorder="1" applyAlignment="1" quotePrefix="1">
      <alignment horizontal="center"/>
    </xf>
    <xf numFmtId="179" fontId="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43" fontId="0" fillId="0" borderId="0" xfId="18" applyNumberFormat="1" applyFont="1" applyFill="1" applyAlignment="1">
      <alignment/>
    </xf>
    <xf numFmtId="43" fontId="0" fillId="0" borderId="0" xfId="18" applyNumberFormat="1" applyFont="1" applyFill="1" applyBorder="1" applyAlignment="1">
      <alignment/>
    </xf>
    <xf numFmtId="0" fontId="2" fillId="2" borderId="4" xfId="0" applyFont="1" applyFill="1" applyBorder="1" applyAlignment="1" applyProtection="1">
      <alignment/>
      <protection/>
    </xf>
    <xf numFmtId="0" fontId="12" fillId="2" borderId="5" xfId="0" applyFont="1" applyFill="1" applyBorder="1" applyAlignment="1">
      <alignment/>
    </xf>
    <xf numFmtId="43" fontId="12" fillId="2" borderId="6" xfId="18" applyFont="1" applyFill="1" applyBorder="1" applyAlignment="1">
      <alignment/>
    </xf>
    <xf numFmtId="0" fontId="0" fillId="0" borderId="0" xfId="0" applyFont="1" applyAlignment="1">
      <alignment/>
    </xf>
    <xf numFmtId="43" fontId="12" fillId="2" borderId="3" xfId="18" applyFont="1" applyFill="1" applyBorder="1" applyAlignment="1">
      <alignment/>
    </xf>
    <xf numFmtId="0" fontId="26" fillId="2" borderId="7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9" fillId="0" borderId="21" xfId="0" applyFont="1" applyFill="1" applyBorder="1" applyAlignment="1" applyProtection="1">
      <alignment/>
      <protection/>
    </xf>
    <xf numFmtId="168" fontId="27" fillId="0" borderId="22" xfId="0" applyNumberFormat="1" applyFont="1" applyFill="1" applyBorder="1" applyAlignment="1" applyProtection="1" quotePrefix="1">
      <alignment horizontal="center"/>
      <protection/>
    </xf>
    <xf numFmtId="0" fontId="27" fillId="0" borderId="2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24" xfId="0" applyFont="1" applyFill="1" applyBorder="1" applyAlignment="1" applyProtection="1">
      <alignment horizontal="center"/>
      <protection/>
    </xf>
    <xf numFmtId="168" fontId="27" fillId="0" borderId="24" xfId="0" applyNumberFormat="1" applyFont="1" applyFill="1" applyBorder="1" applyAlignment="1" applyProtection="1" quotePrefix="1">
      <alignment horizontal="center"/>
      <protection/>
    </xf>
    <xf numFmtId="0" fontId="1" fillId="0" borderId="0" xfId="0" applyFont="1" applyAlignment="1" applyProtection="1">
      <alignment/>
      <protection/>
    </xf>
    <xf numFmtId="0" fontId="9" fillId="0" borderId="19" xfId="0" applyFont="1" applyBorder="1" applyAlignment="1">
      <alignment/>
    </xf>
    <xf numFmtId="0" fontId="0" fillId="0" borderId="19" xfId="0" applyFont="1" applyFill="1" applyBorder="1" applyAlignment="1" applyProtection="1">
      <alignment/>
      <protection/>
    </xf>
    <xf numFmtId="43" fontId="0" fillId="0" borderId="19" xfId="18" applyFont="1" applyFill="1" applyBorder="1" applyAlignment="1" applyProtection="1">
      <alignment/>
      <protection/>
    </xf>
    <xf numFmtId="0" fontId="0" fillId="0" borderId="25" xfId="0" applyFont="1" applyBorder="1" applyAlignment="1">
      <alignment/>
    </xf>
    <xf numFmtId="43" fontId="0" fillId="0" borderId="25" xfId="18" applyFont="1" applyBorder="1" applyAlignment="1" applyProtection="1">
      <alignment/>
      <protection/>
    </xf>
    <xf numFmtId="43" fontId="0" fillId="0" borderId="25" xfId="18" applyFont="1" applyFill="1" applyBorder="1" applyAlignment="1" applyProtection="1">
      <alignment/>
      <protection/>
    </xf>
    <xf numFmtId="0" fontId="0" fillId="0" borderId="23" xfId="0" applyFont="1" applyBorder="1" applyAlignment="1">
      <alignment/>
    </xf>
    <xf numFmtId="42" fontId="0" fillId="0" borderId="25" xfId="18" applyNumberFormat="1" applyFont="1" applyBorder="1" applyAlignment="1" applyProtection="1">
      <alignment/>
      <protection/>
    </xf>
    <xf numFmtId="42" fontId="0" fillId="0" borderId="25" xfId="18" applyNumberFormat="1" applyFont="1" applyFill="1" applyBorder="1" applyAlignment="1" applyProtection="1">
      <alignment/>
      <protection/>
    </xf>
    <xf numFmtId="41" fontId="0" fillId="0" borderId="25" xfId="18" applyNumberFormat="1" applyFont="1" applyBorder="1" applyAlignment="1" applyProtection="1">
      <alignment/>
      <protection/>
    </xf>
    <xf numFmtId="41" fontId="0" fillId="0" borderId="25" xfId="18" applyNumberFormat="1" applyFont="1" applyFill="1" applyBorder="1" applyAlignment="1" applyProtection="1">
      <alignment/>
      <protection/>
    </xf>
    <xf numFmtId="0" fontId="0" fillId="0" borderId="26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9" fillId="0" borderId="23" xfId="0" applyFont="1" applyBorder="1" applyAlignment="1">
      <alignment/>
    </xf>
    <xf numFmtId="0" fontId="0" fillId="0" borderId="0" xfId="0" applyFont="1" applyAlignment="1" applyProtection="1">
      <alignment/>
      <protection/>
    </xf>
    <xf numFmtId="43" fontId="0" fillId="0" borderId="0" xfId="18" applyFont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43" fontId="0" fillId="0" borderId="0" xfId="18" applyFont="1" applyAlignment="1">
      <alignment/>
    </xf>
    <xf numFmtId="42" fontId="9" fillId="0" borderId="25" xfId="18" applyNumberFormat="1" applyFont="1" applyBorder="1" applyAlignment="1" applyProtection="1">
      <alignment/>
      <protection/>
    </xf>
    <xf numFmtId="42" fontId="9" fillId="0" borderId="25" xfId="18" applyNumberFormat="1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39" fontId="0" fillId="0" borderId="1" xfId="0" applyNumberFormat="1" applyFill="1" applyBorder="1" applyAlignment="1">
      <alignment/>
    </xf>
    <xf numFmtId="43" fontId="0" fillId="0" borderId="1" xfId="0" applyNumberFormat="1" applyFill="1" applyBorder="1" applyAlignment="1">
      <alignment/>
    </xf>
    <xf numFmtId="40" fontId="2" fillId="2" borderId="1" xfId="0" applyNumberFormat="1" applyFont="1" applyFill="1" applyBorder="1" applyAlignment="1">
      <alignment/>
    </xf>
    <xf numFmtId="40" fontId="3" fillId="2" borderId="1" xfId="0" applyNumberFormat="1" applyFont="1" applyFill="1" applyBorder="1" applyAlignment="1">
      <alignment/>
    </xf>
    <xf numFmtId="39" fontId="4" fillId="2" borderId="1" xfId="0" applyNumberFormat="1" applyFont="1" applyFill="1" applyBorder="1" applyAlignment="1">
      <alignment/>
    </xf>
    <xf numFmtId="43" fontId="4" fillId="2" borderId="1" xfId="0" applyNumberFormat="1" applyFont="1" applyFill="1" applyBorder="1" applyAlignment="1">
      <alignment/>
    </xf>
    <xf numFmtId="40" fontId="7" fillId="2" borderId="1" xfId="0" applyNumberFormat="1" applyFont="1" applyFill="1" applyBorder="1" applyAlignment="1">
      <alignment/>
    </xf>
    <xf numFmtId="39" fontId="12" fillId="2" borderId="1" xfId="0" applyNumberFormat="1" applyFont="1" applyFill="1" applyBorder="1" applyAlignment="1">
      <alignment/>
    </xf>
    <xf numFmtId="43" fontId="12" fillId="2" borderId="1" xfId="0" applyNumberFormat="1" applyFont="1" applyFill="1" applyBorder="1" applyAlignment="1">
      <alignment/>
    </xf>
    <xf numFmtId="0" fontId="0" fillId="0" borderId="1" xfId="0" applyFill="1" applyBorder="1" applyAlignment="1" applyProtection="1" quotePrefix="1">
      <alignment/>
      <protection/>
    </xf>
    <xf numFmtId="0" fontId="9" fillId="3" borderId="1" xfId="0" applyFont="1" applyFill="1" applyBorder="1" applyAlignment="1">
      <alignment wrapText="1"/>
    </xf>
    <xf numFmtId="39" fontId="9" fillId="0" borderId="1" xfId="0" applyNumberFormat="1" applyFont="1" applyFill="1" applyBorder="1" applyAlignment="1">
      <alignment horizontal="center" wrapText="1"/>
    </xf>
    <xf numFmtId="43" fontId="9" fillId="0" borderId="1" xfId="0" applyNumberFormat="1" applyFont="1" applyFill="1" applyBorder="1" applyAlignment="1">
      <alignment horizontal="center" wrapText="1"/>
    </xf>
    <xf numFmtId="42" fontId="0" fillId="0" borderId="1" xfId="0" applyNumberFormat="1" applyFill="1" applyBorder="1" applyAlignment="1">
      <alignment/>
    </xf>
    <xf numFmtId="41" fontId="0" fillId="0" borderId="1" xfId="0" applyNumberFormat="1" applyFill="1" applyBorder="1" applyAlignment="1">
      <alignment/>
    </xf>
  </cellXfs>
  <cellStyles count="20">
    <cellStyle name="Normal" xfId="0"/>
    <cellStyle name="C00A" xfId="15"/>
    <cellStyle name="C00A_GASB13_K" xfId="16"/>
    <cellStyle name="C00A_GASB14_K" xfId="17"/>
    <cellStyle name="Comma" xfId="18"/>
    <cellStyle name="Comma [0]" xfId="19"/>
    <cellStyle name="Currency" xfId="20"/>
    <cellStyle name="Currency [0]" xfId="21"/>
    <cellStyle name="Followed Hyperlink" xfId="22"/>
    <cellStyle name="Hyperlink" xfId="23"/>
    <cellStyle name="Normal_Comparative SRECNA FY 2001" xfId="24"/>
    <cellStyle name="Normal_GASB06_K" xfId="25"/>
    <cellStyle name="Normal_GASB07K" xfId="26"/>
    <cellStyle name="Normal_GASB09_K" xfId="27"/>
    <cellStyle name="Normal_GASB10_K" xfId="28"/>
    <cellStyle name="Normal_GASB11_K" xfId="29"/>
    <cellStyle name="Normal_GASBIS_K" xfId="30"/>
    <cellStyle name="Normal_Sheet1" xfId="31"/>
    <cellStyle name="Percent" xfId="32"/>
    <cellStyle name="Round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1"/>
  <sheetViews>
    <sheetView tabSelected="1" workbookViewId="0" topLeftCell="A2">
      <selection activeCell="A2" sqref="A2"/>
    </sheetView>
  </sheetViews>
  <sheetFormatPr defaultColWidth="9.140625" defaultRowHeight="12.75"/>
  <cols>
    <col min="1" max="1" width="2.7109375" style="1" customWidth="1"/>
    <col min="2" max="2" width="70.7109375" style="2" customWidth="1"/>
    <col min="3" max="3" width="14.7109375" style="3" customWidth="1"/>
    <col min="4" max="4" width="4.7109375" style="4" hidden="1" customWidth="1"/>
    <col min="5" max="5" width="14.7109375" style="1" customWidth="1"/>
    <col min="6" max="16384" width="9.140625" style="1" customWidth="1"/>
  </cols>
  <sheetData>
    <row r="1" spans="1:3" ht="12.75" hidden="1">
      <c r="A1" s="1" t="s">
        <v>3783</v>
      </c>
      <c r="B1" s="2" t="s">
        <v>3784</v>
      </c>
      <c r="C1" s="3" t="s">
        <v>3785</v>
      </c>
    </row>
    <row r="2" spans="1:5" s="10" customFormat="1" ht="15.75" customHeight="1">
      <c r="A2" s="5" t="s">
        <v>3786</v>
      </c>
      <c r="B2" s="6"/>
      <c r="C2" s="7"/>
      <c r="D2" s="8"/>
      <c r="E2" s="9"/>
    </row>
    <row r="3" spans="1:5" s="10" customFormat="1" ht="15.75" customHeight="1">
      <c r="A3" s="11" t="s">
        <v>3696</v>
      </c>
      <c r="B3" s="12"/>
      <c r="C3" s="13"/>
      <c r="D3" s="14"/>
      <c r="E3" s="15"/>
    </row>
    <row r="4" spans="1:5" s="10" customFormat="1" ht="15.75" customHeight="1">
      <c r="A4" s="11" t="s">
        <v>3700</v>
      </c>
      <c r="B4" s="16"/>
      <c r="C4" s="13"/>
      <c r="D4" s="14"/>
      <c r="E4" s="15"/>
    </row>
    <row r="5" spans="1:5" s="22" customFormat="1" ht="12.75" customHeight="1">
      <c r="A5" s="17" t="s">
        <v>3787</v>
      </c>
      <c r="B5" s="18"/>
      <c r="C5" s="19"/>
      <c r="D5" s="20"/>
      <c r="E5" s="21"/>
    </row>
    <row r="6" spans="1:5" s="22" customFormat="1" ht="15.75" customHeight="1">
      <c r="A6" s="23"/>
      <c r="B6" s="24"/>
      <c r="C6" s="25">
        <v>2006</v>
      </c>
      <c r="D6" s="26"/>
      <c r="E6" s="25">
        <v>2005</v>
      </c>
    </row>
    <row r="7" spans="1:5" s="29" customFormat="1" ht="12.75" customHeight="1">
      <c r="A7" s="23" t="s">
        <v>3788</v>
      </c>
      <c r="B7" s="24"/>
      <c r="C7" s="27"/>
      <c r="D7" s="28"/>
      <c r="E7" s="27"/>
    </row>
    <row r="8" spans="1:5" s="2" customFormat="1" ht="12.75" customHeight="1">
      <c r="A8" s="30"/>
      <c r="B8" s="31"/>
      <c r="C8" s="32"/>
      <c r="D8" s="33"/>
      <c r="E8" s="32"/>
    </row>
    <row r="9" spans="1:5" s="29" customFormat="1" ht="12.75" customHeight="1">
      <c r="A9" s="23" t="s">
        <v>3789</v>
      </c>
      <c r="B9" s="24"/>
      <c r="C9" s="27"/>
      <c r="D9" s="28"/>
      <c r="E9" s="27"/>
    </row>
    <row r="10" spans="1:5" s="2" customFormat="1" ht="12.75" customHeight="1">
      <c r="A10" s="30"/>
      <c r="B10" s="31" t="s">
        <v>3790</v>
      </c>
      <c r="C10" s="34">
        <v>42684</v>
      </c>
      <c r="D10" s="35" t="s">
        <v>3791</v>
      </c>
      <c r="E10" s="34">
        <v>36175</v>
      </c>
    </row>
    <row r="11" spans="1:5" s="2" customFormat="1" ht="12.75" customHeight="1">
      <c r="A11" s="30"/>
      <c r="B11" s="31" t="s">
        <v>3792</v>
      </c>
      <c r="C11" s="36">
        <v>23095</v>
      </c>
      <c r="D11" s="37" t="s">
        <v>3793</v>
      </c>
      <c r="E11" s="36">
        <v>23416</v>
      </c>
    </row>
    <row r="12" spans="1:5" s="2" customFormat="1" ht="12.75" customHeight="1">
      <c r="A12" s="30"/>
      <c r="B12" s="31" t="s">
        <v>3837</v>
      </c>
      <c r="C12" s="36">
        <v>1261</v>
      </c>
      <c r="D12" s="38"/>
      <c r="E12" s="36">
        <v>1379</v>
      </c>
    </row>
    <row r="13" spans="1:5" s="2" customFormat="1" ht="12.75" customHeight="1">
      <c r="A13" s="30"/>
      <c r="B13" s="31" t="s">
        <v>3794</v>
      </c>
      <c r="C13" s="36">
        <v>3898</v>
      </c>
      <c r="D13" s="38"/>
      <c r="E13" s="36">
        <v>1969</v>
      </c>
    </row>
    <row r="14" spans="1:5" s="2" customFormat="1" ht="12.75" customHeight="1">
      <c r="A14" s="30"/>
      <c r="B14" s="31" t="s">
        <v>3795</v>
      </c>
      <c r="C14" s="36">
        <v>1072</v>
      </c>
      <c r="D14" s="38"/>
      <c r="E14" s="36">
        <v>2089</v>
      </c>
    </row>
    <row r="15" spans="1:5" s="2" customFormat="1" ht="12.75" customHeight="1">
      <c r="A15" s="30"/>
      <c r="B15" s="31" t="s">
        <v>3703</v>
      </c>
      <c r="C15" s="36">
        <v>3999</v>
      </c>
      <c r="D15" s="38"/>
      <c r="E15" s="36">
        <v>4005</v>
      </c>
    </row>
    <row r="16" spans="1:5" s="2" customFormat="1" ht="12.75" customHeight="1">
      <c r="A16" s="30"/>
      <c r="B16" s="31"/>
      <c r="C16" s="36"/>
      <c r="D16" s="38"/>
      <c r="E16" s="36"/>
    </row>
    <row r="17" spans="1:5" s="29" customFormat="1" ht="12.75" customHeight="1">
      <c r="A17" s="23" t="s">
        <v>3714</v>
      </c>
      <c r="B17" s="24"/>
      <c r="C17" s="39">
        <f>SUM(C10:C15)</f>
        <v>76009</v>
      </c>
      <c r="D17" s="40"/>
      <c r="E17" s="39">
        <f>SUM(E10:E15)</f>
        <v>69033</v>
      </c>
    </row>
    <row r="18" spans="1:5" s="2" customFormat="1" ht="12.75" customHeight="1">
      <c r="A18" s="30"/>
      <c r="B18" s="31"/>
      <c r="C18" s="36"/>
      <c r="D18" s="38"/>
      <c r="E18" s="36"/>
    </row>
    <row r="19" spans="1:5" s="29" customFormat="1" ht="12.75" customHeight="1">
      <c r="A19" s="23" t="s">
        <v>3796</v>
      </c>
      <c r="B19" s="24"/>
      <c r="C19" s="39"/>
      <c r="D19" s="40"/>
      <c r="E19" s="39"/>
    </row>
    <row r="20" spans="1:5" s="2" customFormat="1" ht="12.75" customHeight="1">
      <c r="A20" s="30"/>
      <c r="B20" s="31" t="s">
        <v>3838</v>
      </c>
      <c r="C20" s="36">
        <v>761</v>
      </c>
      <c r="D20" s="38"/>
      <c r="E20" s="36">
        <v>1113</v>
      </c>
    </row>
    <row r="21" spans="1:5" s="2" customFormat="1" ht="12.75" customHeight="1">
      <c r="A21" s="30"/>
      <c r="B21" s="31" t="s">
        <v>3797</v>
      </c>
      <c r="C21" s="36">
        <v>16611</v>
      </c>
      <c r="D21" s="38"/>
      <c r="E21" s="36">
        <v>16330</v>
      </c>
    </row>
    <row r="22" spans="1:5" s="2" customFormat="1" ht="12.75" customHeight="1">
      <c r="A22" s="30"/>
      <c r="B22" s="31" t="s">
        <v>3839</v>
      </c>
      <c r="C22" s="36">
        <v>311</v>
      </c>
      <c r="D22" s="38"/>
      <c r="E22" s="36">
        <v>227</v>
      </c>
    </row>
    <row r="23" spans="1:5" s="2" customFormat="1" ht="12.75" customHeight="1">
      <c r="A23" s="30"/>
      <c r="B23" s="31" t="s">
        <v>3798</v>
      </c>
      <c r="C23" s="36">
        <v>165333</v>
      </c>
      <c r="D23" s="38"/>
      <c r="E23" s="36">
        <v>151821</v>
      </c>
    </row>
    <row r="24" spans="1:5" s="2" customFormat="1" ht="12.75" customHeight="1">
      <c r="A24" s="30"/>
      <c r="B24" s="31" t="s">
        <v>3840</v>
      </c>
      <c r="C24" s="36">
        <v>207474</v>
      </c>
      <c r="D24" s="38"/>
      <c r="E24" s="36">
        <v>174288</v>
      </c>
    </row>
    <row r="25" spans="1:5" s="2" customFormat="1" ht="12.75" customHeight="1">
      <c r="A25" s="30"/>
      <c r="B25" s="31"/>
      <c r="C25" s="36"/>
      <c r="D25" s="38"/>
      <c r="E25" s="36"/>
    </row>
    <row r="26" spans="1:5" s="29" customFormat="1" ht="12.75" customHeight="1">
      <c r="A26" s="23" t="s">
        <v>3715</v>
      </c>
      <c r="B26" s="24"/>
      <c r="C26" s="39">
        <f>SUM(C20:C24)</f>
        <v>390490</v>
      </c>
      <c r="D26" s="40"/>
      <c r="E26" s="39">
        <f>SUM(E20:E24)</f>
        <v>343779</v>
      </c>
    </row>
    <row r="27" spans="1:5" s="2" customFormat="1" ht="12.75" customHeight="1">
      <c r="A27" s="30"/>
      <c r="B27" s="31"/>
      <c r="C27" s="32"/>
      <c r="D27" s="33"/>
      <c r="E27" s="32"/>
    </row>
    <row r="28" spans="1:5" s="29" customFormat="1" ht="12.75" customHeight="1">
      <c r="A28" s="23" t="s">
        <v>3822</v>
      </c>
      <c r="B28" s="24"/>
      <c r="C28" s="41">
        <f>C17+C26</f>
        <v>466499</v>
      </c>
      <c r="D28" s="28"/>
      <c r="E28" s="41">
        <f>E17+E26</f>
        <v>412812</v>
      </c>
    </row>
    <row r="29" spans="1:5" s="2" customFormat="1" ht="12.75" customHeight="1">
      <c r="A29" s="30"/>
      <c r="B29" s="31"/>
      <c r="C29" s="32"/>
      <c r="D29" s="33"/>
      <c r="E29" s="32"/>
    </row>
    <row r="30" spans="1:5" s="29" customFormat="1" ht="12.75" customHeight="1">
      <c r="A30" s="23" t="s">
        <v>3799</v>
      </c>
      <c r="B30" s="24"/>
      <c r="C30" s="27"/>
      <c r="D30" s="28"/>
      <c r="E30" s="27"/>
    </row>
    <row r="31" spans="1:5" s="2" customFormat="1" ht="12.75" customHeight="1">
      <c r="A31" s="23"/>
      <c r="B31" s="24"/>
      <c r="C31" s="32"/>
      <c r="D31" s="33"/>
      <c r="E31" s="32"/>
    </row>
    <row r="32" spans="1:5" s="29" customFormat="1" ht="12.75" customHeight="1">
      <c r="A32" s="23" t="s">
        <v>3800</v>
      </c>
      <c r="B32" s="24"/>
      <c r="C32" s="27"/>
      <c r="D32" s="28"/>
      <c r="E32" s="27"/>
    </row>
    <row r="33" spans="1:5" s="2" customFormat="1" ht="12.75" customHeight="1">
      <c r="A33" s="30"/>
      <c r="B33" s="31" t="s">
        <v>3841</v>
      </c>
      <c r="C33" s="34">
        <v>8122</v>
      </c>
      <c r="D33" s="33"/>
      <c r="E33" s="34">
        <v>4083</v>
      </c>
    </row>
    <row r="34" spans="1:5" s="2" customFormat="1" ht="12.75" customHeight="1">
      <c r="A34" s="30"/>
      <c r="B34" s="31" t="s">
        <v>3801</v>
      </c>
      <c r="C34" s="36">
        <v>9458</v>
      </c>
      <c r="D34" s="37" t="s">
        <v>3802</v>
      </c>
      <c r="E34" s="36">
        <v>9073</v>
      </c>
    </row>
    <row r="35" spans="1:5" s="2" customFormat="1" ht="12.75" customHeight="1">
      <c r="A35" s="30"/>
      <c r="B35" s="31" t="s">
        <v>3842</v>
      </c>
      <c r="C35" s="36">
        <v>12063</v>
      </c>
      <c r="D35" s="38"/>
      <c r="E35" s="36">
        <v>7461</v>
      </c>
    </row>
    <row r="36" spans="1:5" s="2" customFormat="1" ht="12.75" customHeight="1">
      <c r="A36" s="30"/>
      <c r="B36" s="31" t="s">
        <v>3803</v>
      </c>
      <c r="C36" s="36">
        <v>19994</v>
      </c>
      <c r="D36" s="37" t="s">
        <v>3804</v>
      </c>
      <c r="E36" s="36">
        <v>18897</v>
      </c>
    </row>
    <row r="37" spans="1:5" s="2" customFormat="1" ht="12.75" customHeight="1">
      <c r="A37" s="30"/>
      <c r="B37" s="31" t="s">
        <v>3805</v>
      </c>
      <c r="C37" s="36">
        <v>12517</v>
      </c>
      <c r="D37" s="38"/>
      <c r="E37" s="36">
        <v>10096</v>
      </c>
    </row>
    <row r="38" spans="1:5" s="2" customFormat="1" ht="12.75" customHeight="1">
      <c r="A38" s="30"/>
      <c r="B38" s="31" t="s">
        <v>3806</v>
      </c>
      <c r="C38" s="36">
        <v>1325</v>
      </c>
      <c r="D38" s="38"/>
      <c r="E38" s="36">
        <v>1243</v>
      </c>
    </row>
    <row r="39" spans="1:5" s="2" customFormat="1" ht="12.75" customHeight="1">
      <c r="A39" s="30"/>
      <c r="B39" s="31"/>
      <c r="C39" s="36"/>
      <c r="D39" s="38"/>
      <c r="E39" s="36"/>
    </row>
    <row r="40" spans="1:5" s="29" customFormat="1" ht="12.75" customHeight="1">
      <c r="A40" s="23" t="s">
        <v>3716</v>
      </c>
      <c r="B40" s="24"/>
      <c r="C40" s="39">
        <f>SUM(C33:C38)</f>
        <v>63479</v>
      </c>
      <c r="D40" s="40"/>
      <c r="E40" s="39">
        <f>SUM(E33:E38)</f>
        <v>50853</v>
      </c>
    </row>
    <row r="41" spans="1:5" s="2" customFormat="1" ht="12.75" customHeight="1">
      <c r="A41" s="30"/>
      <c r="B41" s="31"/>
      <c r="C41" s="36"/>
      <c r="D41" s="38"/>
      <c r="E41" s="36"/>
    </row>
    <row r="42" spans="1:5" s="29" customFormat="1" ht="12.75" customHeight="1">
      <c r="A42" s="23" t="s">
        <v>3807</v>
      </c>
      <c r="B42" s="24"/>
      <c r="C42" s="39"/>
      <c r="D42" s="40"/>
      <c r="E42" s="39"/>
    </row>
    <row r="43" spans="1:5" s="2" customFormat="1" ht="12.75" customHeight="1">
      <c r="A43" s="30"/>
      <c r="B43" s="31" t="s">
        <v>3808</v>
      </c>
      <c r="C43" s="36">
        <v>58160</v>
      </c>
      <c r="D43" s="38"/>
      <c r="E43" s="36">
        <v>43512</v>
      </c>
    </row>
    <row r="44" spans="1:5" s="2" customFormat="1" ht="12.75" customHeight="1">
      <c r="A44" s="30"/>
      <c r="B44" s="31"/>
      <c r="C44" s="36"/>
      <c r="D44" s="38"/>
      <c r="E44" s="36"/>
    </row>
    <row r="45" spans="1:5" s="29" customFormat="1" ht="12.75" customHeight="1">
      <c r="A45" s="23" t="s">
        <v>3717</v>
      </c>
      <c r="B45" s="24"/>
      <c r="C45" s="39">
        <f>SUM(C43:C43)</f>
        <v>58160</v>
      </c>
      <c r="D45" s="40"/>
      <c r="E45" s="39">
        <f>SUM(E43:E43)</f>
        <v>43512</v>
      </c>
    </row>
    <row r="46" spans="1:5" s="2" customFormat="1" ht="12.75" customHeight="1">
      <c r="A46" s="30"/>
      <c r="B46" s="31"/>
      <c r="C46" s="36"/>
      <c r="D46" s="38"/>
      <c r="E46" s="36"/>
    </row>
    <row r="47" spans="1:5" s="29" customFormat="1" ht="12.75" customHeight="1">
      <c r="A47" s="23" t="s">
        <v>3823</v>
      </c>
      <c r="B47" s="24"/>
      <c r="C47" s="39">
        <f>C45+C40</f>
        <v>121639</v>
      </c>
      <c r="D47" s="40"/>
      <c r="E47" s="39">
        <f>E45+E40</f>
        <v>94365</v>
      </c>
    </row>
    <row r="48" spans="1:5" s="2" customFormat="1" ht="12.75" customHeight="1">
      <c r="A48" s="30"/>
      <c r="B48" s="31"/>
      <c r="C48" s="36"/>
      <c r="D48" s="38"/>
      <c r="E48" s="36"/>
    </row>
    <row r="49" spans="1:5" s="2" customFormat="1" ht="12.75" customHeight="1">
      <c r="A49" s="23" t="s">
        <v>3809</v>
      </c>
      <c r="B49" s="24"/>
      <c r="C49" s="36"/>
      <c r="D49" s="38"/>
      <c r="E49" s="36"/>
    </row>
    <row r="50" spans="1:5" s="2" customFormat="1" ht="12.75" customHeight="1">
      <c r="A50" s="30"/>
      <c r="B50" s="31"/>
      <c r="C50" s="36"/>
      <c r="D50" s="38"/>
      <c r="E50" s="36"/>
    </row>
    <row r="51" spans="1:5" s="2" customFormat="1" ht="12.75" customHeight="1">
      <c r="A51" s="30" t="s">
        <v>3702</v>
      </c>
      <c r="B51" s="31"/>
      <c r="C51" s="36">
        <v>151413</v>
      </c>
      <c r="D51" s="38"/>
      <c r="E51" s="36">
        <v>129862</v>
      </c>
    </row>
    <row r="52" spans="1:5" s="2" customFormat="1" ht="12.75" customHeight="1">
      <c r="A52" s="30" t="s">
        <v>3810</v>
      </c>
      <c r="B52" s="31"/>
      <c r="C52" s="36"/>
      <c r="D52" s="38"/>
      <c r="E52" s="36"/>
    </row>
    <row r="53" spans="1:5" s="2" customFormat="1" ht="12.75" customHeight="1">
      <c r="A53" s="30"/>
      <c r="B53" s="31" t="s">
        <v>3826</v>
      </c>
      <c r="C53" s="36">
        <v>84642</v>
      </c>
      <c r="D53" s="38"/>
      <c r="E53" s="36">
        <v>75216</v>
      </c>
    </row>
    <row r="54" spans="1:5" s="2" customFormat="1" ht="12.75" customHeight="1">
      <c r="A54" s="30"/>
      <c r="B54" s="31" t="s">
        <v>3701</v>
      </c>
      <c r="C54" s="36">
        <v>77781</v>
      </c>
      <c r="D54" s="38"/>
      <c r="E54" s="36">
        <v>74919</v>
      </c>
    </row>
    <row r="55" spans="1:5" s="2" customFormat="1" ht="12.75" customHeight="1">
      <c r="A55" s="30" t="s">
        <v>3836</v>
      </c>
      <c r="B55" s="31"/>
      <c r="C55" s="36">
        <v>31024</v>
      </c>
      <c r="D55" s="38"/>
      <c r="E55" s="36">
        <v>38450</v>
      </c>
    </row>
    <row r="56" spans="1:5" s="29" customFormat="1" ht="12.75" customHeight="1">
      <c r="A56" s="23"/>
      <c r="B56" s="24"/>
      <c r="C56" s="39"/>
      <c r="D56" s="40"/>
      <c r="E56" s="39"/>
    </row>
    <row r="57" spans="1:5" s="29" customFormat="1" ht="12.75" customHeight="1">
      <c r="A57" s="23" t="s">
        <v>3824</v>
      </c>
      <c r="B57" s="24"/>
      <c r="C57" s="39">
        <f>SUM(C51:C55)</f>
        <v>344860</v>
      </c>
      <c r="D57" s="40"/>
      <c r="E57" s="39">
        <f>SUM(E51:E55)</f>
        <v>318447</v>
      </c>
    </row>
    <row r="58" spans="1:5" s="2" customFormat="1" ht="12.75" customHeight="1">
      <c r="A58" s="30"/>
      <c r="B58" s="31"/>
      <c r="C58" s="32"/>
      <c r="D58" s="33"/>
      <c r="E58" s="32"/>
    </row>
    <row r="59" spans="1:5" s="29" customFormat="1" ht="12.75" customHeight="1">
      <c r="A59" s="23" t="s">
        <v>3825</v>
      </c>
      <c r="B59" s="24"/>
      <c r="C59" s="41">
        <f>C57+C47</f>
        <v>466499</v>
      </c>
      <c r="D59" s="28"/>
      <c r="E59" s="41">
        <f>E57+E47</f>
        <v>412812</v>
      </c>
    </row>
    <row r="60" spans="1:4" s="2" customFormat="1" ht="12.75" customHeight="1" hidden="1">
      <c r="A60" s="30"/>
      <c r="B60" s="31"/>
      <c r="C60" s="32"/>
      <c r="D60" s="33"/>
    </row>
    <row r="61" spans="1:4" s="44" customFormat="1" ht="11.25" hidden="1">
      <c r="A61" s="42" t="s">
        <v>3811</v>
      </c>
      <c r="B61" s="33"/>
      <c r="C61" s="43"/>
      <c r="D61" s="33"/>
    </row>
    <row r="62" spans="1:4" s="44" customFormat="1" ht="11.25" hidden="1">
      <c r="A62" s="45" t="s">
        <v>3812</v>
      </c>
      <c r="B62" s="33"/>
      <c r="C62" s="43"/>
      <c r="D62" s="33"/>
    </row>
    <row r="63" spans="1:4" s="44" customFormat="1" ht="11.25" hidden="1">
      <c r="A63" s="45" t="s">
        <v>3813</v>
      </c>
      <c r="B63" s="33"/>
      <c r="C63" s="43"/>
      <c r="D63" s="33"/>
    </row>
    <row r="64" spans="1:4" s="44" customFormat="1" ht="11.25" hidden="1">
      <c r="A64" s="45" t="s">
        <v>3814</v>
      </c>
      <c r="B64" s="33"/>
      <c r="C64" s="43"/>
      <c r="D64" s="33"/>
    </row>
    <row r="65" spans="3:5" ht="12.75">
      <c r="C65" s="113"/>
      <c r="E65" s="2"/>
    </row>
    <row r="66" spans="1:5" ht="12.75">
      <c r="A66" s="115"/>
      <c r="C66" s="2"/>
      <c r="E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  <row r="258" ht="12.75">
      <c r="C258" s="2"/>
    </row>
    <row r="259" ht="12.75">
      <c r="C259" s="2"/>
    </row>
    <row r="260" ht="12.75">
      <c r="C260" s="2"/>
    </row>
    <row r="261" ht="12.75">
      <c r="C261" s="2"/>
    </row>
    <row r="262" ht="12.75">
      <c r="C262" s="2"/>
    </row>
    <row r="263" ht="12.75">
      <c r="C263" s="2"/>
    </row>
    <row r="264" ht="12.75">
      <c r="C264" s="2"/>
    </row>
    <row r="265" ht="12.75">
      <c r="C265" s="2"/>
    </row>
    <row r="266" ht="12.75">
      <c r="C266" s="2"/>
    </row>
    <row r="267" ht="12.75">
      <c r="C267" s="2"/>
    </row>
    <row r="268" ht="12.75">
      <c r="C268" s="2"/>
    </row>
    <row r="269" ht="12.75">
      <c r="C269" s="2"/>
    </row>
    <row r="270" ht="12.75">
      <c r="C270" s="2"/>
    </row>
    <row r="271" ht="12.75">
      <c r="C271" s="2"/>
    </row>
    <row r="272" ht="12.75">
      <c r="C272" s="2"/>
    </row>
    <row r="273" ht="12.75">
      <c r="C273" s="2"/>
    </row>
    <row r="274" ht="12.75">
      <c r="C274" s="2"/>
    </row>
    <row r="275" ht="12.75">
      <c r="C275" s="2"/>
    </row>
    <row r="276" ht="12.75">
      <c r="C276" s="2"/>
    </row>
    <row r="277" ht="12.75">
      <c r="C277" s="2"/>
    </row>
    <row r="278" ht="12.75">
      <c r="C278" s="2"/>
    </row>
    <row r="279" ht="12.75">
      <c r="C279" s="2"/>
    </row>
    <row r="280" ht="12.75">
      <c r="C280" s="2"/>
    </row>
    <row r="281" ht="12.75">
      <c r="C281" s="2"/>
    </row>
    <row r="282" ht="12.75">
      <c r="C282" s="2"/>
    </row>
    <row r="283" ht="12.75">
      <c r="C283" s="2"/>
    </row>
    <row r="284" ht="12.75">
      <c r="C284" s="2"/>
    </row>
    <row r="285" ht="12.75">
      <c r="C285" s="2"/>
    </row>
    <row r="286" ht="12.75">
      <c r="C286" s="2"/>
    </row>
    <row r="287" ht="12.75">
      <c r="C287" s="2"/>
    </row>
    <row r="288" ht="12.75">
      <c r="C288" s="2"/>
    </row>
    <row r="289" ht="12.75">
      <c r="C289" s="2"/>
    </row>
    <row r="290" ht="12.75">
      <c r="C290" s="2"/>
    </row>
    <row r="291" ht="12.75">
      <c r="C291" s="2"/>
    </row>
    <row r="292" ht="12.75">
      <c r="C292" s="2"/>
    </row>
    <row r="293" ht="12.75">
      <c r="C293" s="2"/>
    </row>
    <row r="294" ht="12.75">
      <c r="C294" s="2"/>
    </row>
    <row r="295" ht="12.75">
      <c r="C295" s="2"/>
    </row>
    <row r="296" ht="12.75">
      <c r="C296" s="2"/>
    </row>
    <row r="297" ht="12.75">
      <c r="C297" s="2"/>
    </row>
    <row r="298" ht="12.75">
      <c r="C298" s="2"/>
    </row>
    <row r="299" ht="12.75">
      <c r="C299" s="2"/>
    </row>
    <row r="300" ht="12.75">
      <c r="C300" s="2"/>
    </row>
    <row r="301" ht="12.75">
      <c r="C301" s="2"/>
    </row>
    <row r="302" ht="12.75">
      <c r="C302" s="2"/>
    </row>
    <row r="303" ht="12.75">
      <c r="C303" s="2"/>
    </row>
    <row r="304" ht="12.75">
      <c r="C304" s="2"/>
    </row>
    <row r="305" ht="12.75">
      <c r="C305" s="2"/>
    </row>
    <row r="306" ht="12.75">
      <c r="C306" s="2"/>
    </row>
    <row r="307" ht="12.75">
      <c r="C307" s="2"/>
    </row>
    <row r="308" ht="12.75">
      <c r="C308" s="2"/>
    </row>
    <row r="309" ht="12.75">
      <c r="C309" s="2"/>
    </row>
    <row r="310" ht="12.75">
      <c r="C310" s="2"/>
    </row>
    <row r="311" ht="12.75">
      <c r="C311" s="2"/>
    </row>
    <row r="312" ht="12.75">
      <c r="C312" s="2"/>
    </row>
    <row r="313" ht="12.75">
      <c r="C313" s="2"/>
    </row>
    <row r="314" ht="12.75">
      <c r="C314" s="2"/>
    </row>
    <row r="315" ht="12.75">
      <c r="C315" s="2"/>
    </row>
    <row r="316" ht="12.75">
      <c r="C316" s="2"/>
    </row>
    <row r="317" ht="12.75">
      <c r="C317" s="2"/>
    </row>
    <row r="318" ht="12.75">
      <c r="C318" s="2"/>
    </row>
    <row r="319" ht="12.75">
      <c r="C319" s="2"/>
    </row>
    <row r="320" ht="12.75">
      <c r="C320" s="2"/>
    </row>
    <row r="321" ht="12.75">
      <c r="C321" s="2"/>
    </row>
    <row r="322" ht="12.75">
      <c r="C322" s="2"/>
    </row>
    <row r="323" ht="12.75">
      <c r="C323" s="2"/>
    </row>
    <row r="324" ht="12.75">
      <c r="C324" s="2"/>
    </row>
    <row r="325" ht="12.75">
      <c r="C325" s="2"/>
    </row>
    <row r="326" ht="12.75">
      <c r="C326" s="2"/>
    </row>
    <row r="327" ht="12.75">
      <c r="C327" s="2"/>
    </row>
    <row r="328" ht="12.75">
      <c r="C328" s="2"/>
    </row>
    <row r="329" ht="12.75">
      <c r="C329" s="2"/>
    </row>
    <row r="330" ht="12.75">
      <c r="C330" s="2"/>
    </row>
    <row r="331" ht="12.75">
      <c r="C331" s="2"/>
    </row>
    <row r="332" ht="12.75">
      <c r="C332" s="2"/>
    </row>
    <row r="333" ht="12.75">
      <c r="C333" s="2"/>
    </row>
    <row r="334" ht="12.75">
      <c r="C334" s="2"/>
    </row>
    <row r="335" ht="12.75">
      <c r="C335" s="2"/>
    </row>
    <row r="336" ht="12.75">
      <c r="C336" s="2"/>
    </row>
    <row r="337" ht="12.75">
      <c r="C337" s="2"/>
    </row>
    <row r="338" ht="12.75">
      <c r="C338" s="2"/>
    </row>
    <row r="339" ht="12.75">
      <c r="C339" s="2"/>
    </row>
    <row r="340" ht="12.75">
      <c r="C340" s="2"/>
    </row>
    <row r="341" ht="12.75">
      <c r="C341" s="2"/>
    </row>
    <row r="342" ht="12.75">
      <c r="C342" s="2"/>
    </row>
    <row r="343" ht="12.75">
      <c r="C343" s="2"/>
    </row>
    <row r="344" ht="12.75">
      <c r="C344" s="2"/>
    </row>
    <row r="345" ht="12.75">
      <c r="C345" s="2"/>
    </row>
    <row r="346" ht="12.75">
      <c r="C346" s="2"/>
    </row>
    <row r="347" ht="12.75">
      <c r="C347" s="2"/>
    </row>
    <row r="348" ht="12.75">
      <c r="C348" s="2"/>
    </row>
    <row r="349" ht="12.75">
      <c r="C349" s="2"/>
    </row>
    <row r="350" ht="12.75">
      <c r="C350" s="2"/>
    </row>
    <row r="351" ht="12.75">
      <c r="C351" s="2"/>
    </row>
    <row r="352" ht="12.75">
      <c r="C352" s="2"/>
    </row>
    <row r="353" ht="12.75">
      <c r="C353" s="2"/>
    </row>
    <row r="354" ht="12.75">
      <c r="C354" s="2"/>
    </row>
    <row r="355" ht="12.75">
      <c r="C355" s="2"/>
    </row>
    <row r="356" ht="12.75">
      <c r="C356" s="2"/>
    </row>
    <row r="357" ht="12.75">
      <c r="C357" s="2"/>
    </row>
    <row r="358" ht="12.75">
      <c r="C358" s="2"/>
    </row>
    <row r="359" ht="12.75">
      <c r="C359" s="2"/>
    </row>
    <row r="360" ht="12.75">
      <c r="C360" s="2"/>
    </row>
    <row r="361" ht="12.75">
      <c r="C361" s="2"/>
    </row>
    <row r="362" ht="12.75">
      <c r="C362" s="2"/>
    </row>
    <row r="363" ht="12.75">
      <c r="C363" s="2"/>
    </row>
    <row r="364" ht="12.75">
      <c r="C364" s="2"/>
    </row>
    <row r="365" ht="12.75">
      <c r="C365" s="2"/>
    </row>
    <row r="366" ht="12.75">
      <c r="C366" s="2"/>
    </row>
    <row r="367" ht="12.75">
      <c r="C367" s="2"/>
    </row>
    <row r="368" ht="12.75">
      <c r="C368" s="2"/>
    </row>
    <row r="369" ht="12.75">
      <c r="C369" s="2"/>
    </row>
    <row r="370" ht="12.75">
      <c r="C370" s="2"/>
    </row>
    <row r="371" ht="12.75">
      <c r="C371" s="2"/>
    </row>
    <row r="372" ht="12.75">
      <c r="C372" s="2"/>
    </row>
    <row r="373" ht="12.75">
      <c r="C373" s="2"/>
    </row>
    <row r="374" ht="12.75">
      <c r="C374" s="2"/>
    </row>
    <row r="375" ht="12.75">
      <c r="C375" s="2"/>
    </row>
    <row r="376" ht="12.75">
      <c r="C376" s="2"/>
    </row>
    <row r="377" ht="12.75">
      <c r="C377" s="2"/>
    </row>
    <row r="378" ht="12.75">
      <c r="C378" s="2"/>
    </row>
    <row r="379" ht="12.75">
      <c r="C379" s="2"/>
    </row>
    <row r="380" ht="12.75">
      <c r="C380" s="2"/>
    </row>
    <row r="381" ht="12.75">
      <c r="C381" s="2"/>
    </row>
    <row r="382" ht="12.75">
      <c r="C382" s="2"/>
    </row>
    <row r="383" ht="12.75">
      <c r="C383" s="2"/>
    </row>
    <row r="384" ht="12.75">
      <c r="C384" s="2"/>
    </row>
    <row r="385" ht="12.75">
      <c r="C385" s="2"/>
    </row>
    <row r="386" ht="12.75">
      <c r="C386" s="2"/>
    </row>
    <row r="387" ht="12.75">
      <c r="C387" s="2"/>
    </row>
    <row r="388" ht="12.75">
      <c r="C388" s="2"/>
    </row>
    <row r="389" ht="12.75">
      <c r="C389" s="2"/>
    </row>
    <row r="390" ht="12.75">
      <c r="C390" s="2"/>
    </row>
    <row r="391" ht="12.75">
      <c r="C391" s="2"/>
    </row>
    <row r="392" ht="12.75">
      <c r="C392" s="2"/>
    </row>
    <row r="393" ht="12.75">
      <c r="C393" s="2"/>
    </row>
    <row r="394" ht="12.75">
      <c r="C394" s="2"/>
    </row>
    <row r="395" ht="12.75">
      <c r="C395" s="2"/>
    </row>
    <row r="396" ht="12.75">
      <c r="C396" s="2"/>
    </row>
    <row r="397" ht="12.75">
      <c r="C397" s="2"/>
    </row>
    <row r="398" ht="12.75">
      <c r="C398" s="2"/>
    </row>
    <row r="399" ht="12.75">
      <c r="C399" s="2"/>
    </row>
    <row r="400" ht="12.75">
      <c r="C400" s="2"/>
    </row>
    <row r="401" ht="12.75">
      <c r="C401" s="2"/>
    </row>
    <row r="402" ht="12.75">
      <c r="C402" s="2"/>
    </row>
    <row r="403" ht="12.75">
      <c r="C403" s="2"/>
    </row>
    <row r="404" ht="12.75">
      <c r="C404" s="2"/>
    </row>
    <row r="405" ht="12.75">
      <c r="C405" s="2"/>
    </row>
    <row r="406" ht="12.75">
      <c r="C406" s="2"/>
    </row>
    <row r="407" ht="12.75">
      <c r="C407" s="2"/>
    </row>
    <row r="408" ht="12.75">
      <c r="C408" s="2"/>
    </row>
    <row r="409" ht="12.75">
      <c r="C409" s="2"/>
    </row>
    <row r="410" ht="12.75">
      <c r="C410" s="2"/>
    </row>
    <row r="411" ht="12.75">
      <c r="C411" s="2"/>
    </row>
    <row r="412" ht="12.75">
      <c r="C412" s="2"/>
    </row>
    <row r="413" ht="12.75">
      <c r="C413" s="2"/>
    </row>
    <row r="414" ht="12.75">
      <c r="C414" s="2"/>
    </row>
    <row r="415" ht="12.75">
      <c r="C415" s="2"/>
    </row>
    <row r="416" ht="12.75">
      <c r="C416" s="2"/>
    </row>
    <row r="417" ht="12.75">
      <c r="C417" s="2"/>
    </row>
    <row r="418" ht="12.75">
      <c r="C418" s="2"/>
    </row>
    <row r="419" ht="12.75">
      <c r="C419" s="2"/>
    </row>
    <row r="420" ht="12.75">
      <c r="C420" s="2"/>
    </row>
    <row r="421" ht="12.75">
      <c r="C421" s="2"/>
    </row>
    <row r="422" ht="12.75">
      <c r="C422" s="2"/>
    </row>
    <row r="423" ht="12.75">
      <c r="C423" s="2"/>
    </row>
    <row r="424" ht="12.75">
      <c r="C424" s="2"/>
    </row>
    <row r="425" ht="12.75">
      <c r="C425" s="2"/>
    </row>
    <row r="426" ht="12.75">
      <c r="C426" s="2"/>
    </row>
    <row r="427" ht="12.75">
      <c r="C427" s="2"/>
    </row>
    <row r="428" ht="12.75">
      <c r="C428" s="2"/>
    </row>
    <row r="429" ht="12.75">
      <c r="C429" s="2"/>
    </row>
    <row r="430" ht="12.75">
      <c r="C430" s="2"/>
    </row>
    <row r="431" ht="12.75">
      <c r="C431" s="2"/>
    </row>
    <row r="432" ht="12.75">
      <c r="C432" s="2"/>
    </row>
    <row r="433" ht="12.75">
      <c r="C433" s="2"/>
    </row>
    <row r="434" ht="12.75">
      <c r="C434" s="2"/>
    </row>
    <row r="435" ht="12.75">
      <c r="C435" s="2"/>
    </row>
    <row r="436" ht="12.75">
      <c r="C436" s="2"/>
    </row>
    <row r="437" ht="12.75">
      <c r="C437" s="2"/>
    </row>
    <row r="438" ht="12.75">
      <c r="C438" s="2"/>
    </row>
    <row r="439" ht="12.75">
      <c r="C439" s="2"/>
    </row>
    <row r="440" ht="12.75">
      <c r="C440" s="2"/>
    </row>
    <row r="441" ht="12.75">
      <c r="C441" s="2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343"/>
  <sheetViews>
    <sheetView zoomScale="75" zoomScaleNormal="75" workbookViewId="0" topLeftCell="A2">
      <pane xSplit="3" ySplit="5" topLeftCell="D7" activePane="bottomRight" state="frozen"/>
      <selection pane="topLeft" activeCell="B2" sqref="B2"/>
      <selection pane="topRight" activeCell="D2" sqref="D2"/>
      <selection pane="bottomLeft" activeCell="B9" sqref="B9"/>
      <selection pane="bottomRight" activeCell="B229" sqref="B229"/>
    </sheetView>
  </sheetViews>
  <sheetFormatPr defaultColWidth="9.140625" defaultRowHeight="12.75" outlineLevelRow="1"/>
  <cols>
    <col min="1" max="1" width="4.7109375" style="392" hidden="1" customWidth="1"/>
    <col min="2" max="2" width="106.57421875" style="392" customWidth="1"/>
    <col min="3" max="3" width="2.28125" style="380" customWidth="1"/>
    <col min="4" max="5" width="16.140625" style="421" customWidth="1"/>
    <col min="6" max="7" width="16.140625" style="392" customWidth="1"/>
    <col min="8" max="8" width="8.00390625" style="382" hidden="1" customWidth="1"/>
    <col min="9" max="51" width="8.00390625" style="382" customWidth="1"/>
    <col min="52" max="16384" width="8.00390625" style="392" customWidth="1"/>
  </cols>
  <sheetData>
    <row r="1" spans="1:51" s="379" customFormat="1" ht="110.25" customHeight="1" hidden="1">
      <c r="A1" s="379" t="s">
        <v>419</v>
      </c>
      <c r="B1" s="379" t="s">
        <v>3784</v>
      </c>
      <c r="C1" s="380" t="s">
        <v>3847</v>
      </c>
      <c r="D1" s="381" t="s">
        <v>511</v>
      </c>
      <c r="E1" s="381" t="s">
        <v>512</v>
      </c>
      <c r="F1" s="379" t="s">
        <v>513</v>
      </c>
      <c r="G1" s="379" t="s">
        <v>514</v>
      </c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82"/>
      <c r="AT1" s="382"/>
      <c r="AU1" s="382"/>
      <c r="AV1" s="382"/>
      <c r="AW1" s="382"/>
      <c r="AX1" s="382"/>
      <c r="AY1" s="382"/>
    </row>
    <row r="2" spans="2:51" s="383" customFormat="1" ht="15.75" customHeight="1">
      <c r="B2" s="384" t="str">
        <f>"University of Missouri - "&amp;H2</f>
        <v>University of Missouri - Kansas City</v>
      </c>
      <c r="C2" s="385"/>
      <c r="D2" s="385"/>
      <c r="E2" s="385"/>
      <c r="F2" s="385"/>
      <c r="G2" s="386"/>
      <c r="H2" s="387" t="s">
        <v>3861</v>
      </c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</row>
    <row r="3" spans="1:51" s="383" customFormat="1" ht="15.75" customHeight="1">
      <c r="A3" s="383" t="s">
        <v>515</v>
      </c>
      <c r="B3" s="389" t="s">
        <v>515</v>
      </c>
      <c r="C3" s="390"/>
      <c r="D3" s="390"/>
      <c r="E3" s="390"/>
      <c r="F3" s="390"/>
      <c r="G3" s="391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388"/>
      <c r="T3" s="388"/>
      <c r="U3" s="388"/>
      <c r="V3" s="388"/>
      <c r="W3" s="388"/>
      <c r="X3" s="388"/>
      <c r="Y3" s="388"/>
      <c r="Z3" s="388"/>
      <c r="AA3" s="388"/>
      <c r="AB3" s="388"/>
      <c r="AC3" s="388"/>
      <c r="AD3" s="388"/>
      <c r="AE3" s="388"/>
      <c r="AF3" s="388"/>
      <c r="AG3" s="388"/>
      <c r="AH3" s="388"/>
      <c r="AI3" s="388"/>
      <c r="AJ3" s="388"/>
      <c r="AK3" s="388"/>
      <c r="AL3" s="388"/>
      <c r="AM3" s="388"/>
      <c r="AN3" s="388"/>
      <c r="AO3" s="388"/>
      <c r="AP3" s="388"/>
      <c r="AQ3" s="388"/>
      <c r="AR3" s="388"/>
      <c r="AS3" s="388"/>
      <c r="AT3" s="388"/>
      <c r="AU3" s="388"/>
      <c r="AV3" s="388"/>
      <c r="AW3" s="388"/>
      <c r="AX3" s="388"/>
      <c r="AY3" s="388"/>
    </row>
    <row r="4" spans="2:8" ht="15.75" customHeight="1">
      <c r="B4" s="393" t="str">
        <f>"For the Year Ending "&amp;TEXT(H4,"MMMM DD, YYY")</f>
        <v>For the Year Ending June 30, 2006</v>
      </c>
      <c r="C4" s="394"/>
      <c r="D4" s="394"/>
      <c r="E4" s="394"/>
      <c r="F4" s="394"/>
      <c r="G4" s="395"/>
      <c r="H4" s="396" t="s">
        <v>3862</v>
      </c>
    </row>
    <row r="5" spans="2:7" ht="12.75" customHeight="1">
      <c r="B5" s="397"/>
      <c r="C5" s="398"/>
      <c r="D5" s="399"/>
      <c r="E5" s="399"/>
      <c r="F5" s="399"/>
      <c r="G5" s="400"/>
    </row>
    <row r="6" spans="2:7" ht="30" customHeight="1">
      <c r="B6" s="401"/>
      <c r="C6" s="402"/>
      <c r="D6" s="403" t="s">
        <v>472</v>
      </c>
      <c r="E6" s="403" t="s">
        <v>516</v>
      </c>
      <c r="F6" s="403" t="s">
        <v>517</v>
      </c>
      <c r="G6" s="403" t="s">
        <v>476</v>
      </c>
    </row>
    <row r="7" spans="2:7" ht="12.75" customHeight="1">
      <c r="B7" s="401"/>
      <c r="C7" s="402"/>
      <c r="D7" s="404"/>
      <c r="E7" s="404"/>
      <c r="F7" s="404"/>
      <c r="G7" s="404"/>
    </row>
    <row r="8" spans="2:7" ht="12.75" customHeight="1">
      <c r="B8" s="405" t="s">
        <v>3815</v>
      </c>
      <c r="C8" s="406"/>
      <c r="D8" s="407"/>
      <c r="E8" s="407"/>
      <c r="F8" s="407"/>
      <c r="G8" s="407"/>
    </row>
    <row r="9" spans="1:51" s="379" customFormat="1" ht="38.25" hidden="1" outlineLevel="1">
      <c r="A9" s="379" t="s">
        <v>1418</v>
      </c>
      <c r="B9" s="379" t="s">
        <v>1419</v>
      </c>
      <c r="C9" s="380" t="s">
        <v>1420</v>
      </c>
      <c r="D9" s="381">
        <v>0</v>
      </c>
      <c r="E9" s="381">
        <v>0</v>
      </c>
      <c r="F9" s="379">
        <v>38411.42</v>
      </c>
      <c r="G9" s="379">
        <v>0</v>
      </c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382"/>
      <c r="S9" s="382"/>
      <c r="T9" s="382"/>
      <c r="U9" s="382"/>
      <c r="V9" s="382"/>
      <c r="W9" s="382"/>
      <c r="X9" s="382"/>
      <c r="Y9" s="382"/>
      <c r="Z9" s="382"/>
      <c r="AA9" s="382"/>
      <c r="AB9" s="382"/>
      <c r="AC9" s="382"/>
      <c r="AD9" s="382"/>
      <c r="AE9" s="382"/>
      <c r="AF9" s="382"/>
      <c r="AG9" s="382"/>
      <c r="AH9" s="382"/>
      <c r="AI9" s="382"/>
      <c r="AJ9" s="382"/>
      <c r="AK9" s="382"/>
      <c r="AL9" s="382"/>
      <c r="AM9" s="382"/>
      <c r="AN9" s="382"/>
      <c r="AO9" s="382"/>
      <c r="AP9" s="382"/>
      <c r="AQ9" s="382"/>
      <c r="AR9" s="382"/>
      <c r="AS9" s="382"/>
      <c r="AT9" s="382"/>
      <c r="AU9" s="382"/>
      <c r="AV9" s="382"/>
      <c r="AW9" s="382"/>
      <c r="AX9" s="382"/>
      <c r="AY9" s="382"/>
    </row>
    <row r="10" spans="1:51" s="379" customFormat="1" ht="38.25" hidden="1" outlineLevel="1">
      <c r="A10" s="379" t="s">
        <v>1421</v>
      </c>
      <c r="B10" s="379" t="s">
        <v>1422</v>
      </c>
      <c r="C10" s="380" t="s">
        <v>1423</v>
      </c>
      <c r="D10" s="381">
        <v>0</v>
      </c>
      <c r="E10" s="381">
        <v>0</v>
      </c>
      <c r="F10" s="379">
        <v>34704.38</v>
      </c>
      <c r="G10" s="379">
        <v>0</v>
      </c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382"/>
      <c r="S10" s="382"/>
      <c r="T10" s="382"/>
      <c r="U10" s="382"/>
      <c r="V10" s="382"/>
      <c r="W10" s="382"/>
      <c r="X10" s="382"/>
      <c r="Y10" s="382"/>
      <c r="Z10" s="382"/>
      <c r="AA10" s="382"/>
      <c r="AB10" s="382"/>
      <c r="AC10" s="382"/>
      <c r="AD10" s="382"/>
      <c r="AE10" s="382"/>
      <c r="AF10" s="382"/>
      <c r="AG10" s="382"/>
      <c r="AH10" s="382"/>
      <c r="AI10" s="382"/>
      <c r="AJ10" s="382"/>
      <c r="AK10" s="382"/>
      <c r="AL10" s="382"/>
      <c r="AM10" s="382"/>
      <c r="AN10" s="382"/>
      <c r="AO10" s="382"/>
      <c r="AP10" s="382"/>
      <c r="AQ10" s="382"/>
      <c r="AR10" s="382"/>
      <c r="AS10" s="382"/>
      <c r="AT10" s="382"/>
      <c r="AU10" s="382"/>
      <c r="AV10" s="382"/>
      <c r="AW10" s="382"/>
      <c r="AX10" s="382"/>
      <c r="AY10" s="382"/>
    </row>
    <row r="11" spans="1:51" s="379" customFormat="1" ht="38.25" hidden="1" outlineLevel="1">
      <c r="A11" s="379" t="s">
        <v>1427</v>
      </c>
      <c r="B11" s="379" t="s">
        <v>1428</v>
      </c>
      <c r="C11" s="380" t="s">
        <v>1429</v>
      </c>
      <c r="D11" s="381">
        <v>0</v>
      </c>
      <c r="E11" s="381">
        <v>0</v>
      </c>
      <c r="F11" s="379">
        <v>292563.65</v>
      </c>
      <c r="G11" s="379">
        <v>0</v>
      </c>
      <c r="H11" s="382"/>
      <c r="I11" s="382"/>
      <c r="J11" s="382"/>
      <c r="K11" s="382"/>
      <c r="L11" s="382"/>
      <c r="M11" s="382"/>
      <c r="N11" s="382"/>
      <c r="O11" s="382"/>
      <c r="P11" s="382"/>
      <c r="Q11" s="382"/>
      <c r="R11" s="382"/>
      <c r="S11" s="382"/>
      <c r="T11" s="382"/>
      <c r="U11" s="382"/>
      <c r="V11" s="382"/>
      <c r="W11" s="382"/>
      <c r="X11" s="382"/>
      <c r="Y11" s="382"/>
      <c r="Z11" s="382"/>
      <c r="AA11" s="382"/>
      <c r="AB11" s="382"/>
      <c r="AC11" s="382"/>
      <c r="AD11" s="382"/>
      <c r="AE11" s="382"/>
      <c r="AF11" s="382"/>
      <c r="AG11" s="382"/>
      <c r="AH11" s="382"/>
      <c r="AI11" s="382"/>
      <c r="AJ11" s="382"/>
      <c r="AK11" s="382"/>
      <c r="AL11" s="382"/>
      <c r="AM11" s="382"/>
      <c r="AN11" s="382"/>
      <c r="AO11" s="382"/>
      <c r="AP11" s="382"/>
      <c r="AQ11" s="382"/>
      <c r="AR11" s="382"/>
      <c r="AS11" s="382"/>
      <c r="AT11" s="382"/>
      <c r="AU11" s="382"/>
      <c r="AV11" s="382"/>
      <c r="AW11" s="382"/>
      <c r="AX11" s="382"/>
      <c r="AY11" s="382"/>
    </row>
    <row r="12" spans="1:51" s="379" customFormat="1" ht="38.25" hidden="1" outlineLevel="1">
      <c r="A12" s="379" t="s">
        <v>1430</v>
      </c>
      <c r="B12" s="379" t="s">
        <v>1431</v>
      </c>
      <c r="C12" s="380" t="s">
        <v>1432</v>
      </c>
      <c r="D12" s="381">
        <v>0</v>
      </c>
      <c r="E12" s="381">
        <v>0</v>
      </c>
      <c r="F12" s="379">
        <v>153812.32</v>
      </c>
      <c r="G12" s="379">
        <v>0</v>
      </c>
      <c r="H12" s="382"/>
      <c r="I12" s="382"/>
      <c r="J12" s="382"/>
      <c r="K12" s="382"/>
      <c r="L12" s="382"/>
      <c r="M12" s="382"/>
      <c r="N12" s="382"/>
      <c r="O12" s="382"/>
      <c r="P12" s="382"/>
      <c r="Q12" s="382"/>
      <c r="R12" s="382"/>
      <c r="S12" s="382"/>
      <c r="T12" s="382"/>
      <c r="U12" s="382"/>
      <c r="V12" s="382"/>
      <c r="W12" s="382"/>
      <c r="X12" s="382"/>
      <c r="Y12" s="382"/>
      <c r="Z12" s="382"/>
      <c r="AA12" s="382"/>
      <c r="AB12" s="382"/>
      <c r="AC12" s="382"/>
      <c r="AD12" s="382"/>
      <c r="AE12" s="382"/>
      <c r="AF12" s="382"/>
      <c r="AG12" s="382"/>
      <c r="AH12" s="382"/>
      <c r="AI12" s="382"/>
      <c r="AJ12" s="382"/>
      <c r="AK12" s="382"/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</row>
    <row r="13" spans="1:51" s="379" customFormat="1" ht="38.25" hidden="1" outlineLevel="1">
      <c r="A13" s="379" t="s">
        <v>1436</v>
      </c>
      <c r="B13" s="379" t="s">
        <v>1437</v>
      </c>
      <c r="C13" s="380" t="s">
        <v>1438</v>
      </c>
      <c r="D13" s="381">
        <v>0</v>
      </c>
      <c r="E13" s="381">
        <v>0</v>
      </c>
      <c r="F13" s="379">
        <v>268336.23</v>
      </c>
      <c r="G13" s="379">
        <v>0</v>
      </c>
      <c r="H13" s="382"/>
      <c r="I13" s="382"/>
      <c r="J13" s="382"/>
      <c r="K13" s="382"/>
      <c r="L13" s="382"/>
      <c r="M13" s="382"/>
      <c r="N13" s="382"/>
      <c r="O13" s="382"/>
      <c r="P13" s="382"/>
      <c r="Q13" s="382"/>
      <c r="R13" s="382"/>
      <c r="S13" s="382"/>
      <c r="T13" s="382"/>
      <c r="U13" s="382"/>
      <c r="V13" s="382"/>
      <c r="W13" s="382"/>
      <c r="X13" s="382"/>
      <c r="Y13" s="382"/>
      <c r="Z13" s="382"/>
      <c r="AA13" s="382"/>
      <c r="AB13" s="382"/>
      <c r="AC13" s="382"/>
      <c r="AD13" s="382"/>
      <c r="AE13" s="382"/>
      <c r="AF13" s="382"/>
      <c r="AG13" s="382"/>
      <c r="AH13" s="382"/>
      <c r="AI13" s="382"/>
      <c r="AJ13" s="382"/>
      <c r="AK13" s="382"/>
      <c r="AL13" s="382"/>
      <c r="AM13" s="382"/>
      <c r="AN13" s="382"/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</row>
    <row r="14" spans="1:51" s="379" customFormat="1" ht="38.25" hidden="1" outlineLevel="1">
      <c r="A14" s="379" t="s">
        <v>1439</v>
      </c>
      <c r="B14" s="379" t="s">
        <v>1440</v>
      </c>
      <c r="C14" s="380" t="s">
        <v>1441</v>
      </c>
      <c r="D14" s="381">
        <v>0</v>
      </c>
      <c r="E14" s="381">
        <v>0</v>
      </c>
      <c r="F14" s="379">
        <v>145633.36</v>
      </c>
      <c r="G14" s="379">
        <v>0</v>
      </c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  <c r="X14" s="382"/>
      <c r="Y14" s="382"/>
      <c r="Z14" s="382"/>
      <c r="AA14" s="382"/>
      <c r="AB14" s="382"/>
      <c r="AC14" s="382"/>
      <c r="AD14" s="382"/>
      <c r="AE14" s="382"/>
      <c r="AF14" s="382"/>
      <c r="AG14" s="382"/>
      <c r="AH14" s="382"/>
      <c r="AI14" s="382"/>
      <c r="AJ14" s="382"/>
      <c r="AK14" s="382"/>
      <c r="AL14" s="382"/>
      <c r="AM14" s="382"/>
      <c r="AN14" s="382"/>
      <c r="AO14" s="382"/>
      <c r="AP14" s="382"/>
      <c r="AQ14" s="382"/>
      <c r="AR14" s="382"/>
      <c r="AS14" s="382"/>
      <c r="AT14" s="382"/>
      <c r="AU14" s="382"/>
      <c r="AV14" s="382"/>
      <c r="AW14" s="382"/>
      <c r="AX14" s="382"/>
      <c r="AY14" s="382"/>
    </row>
    <row r="15" spans="1:51" s="379" customFormat="1" ht="38.25" hidden="1" outlineLevel="1">
      <c r="A15" s="379" t="s">
        <v>1445</v>
      </c>
      <c r="B15" s="379" t="s">
        <v>1446</v>
      </c>
      <c r="C15" s="380" t="s">
        <v>1447</v>
      </c>
      <c r="D15" s="381">
        <v>0</v>
      </c>
      <c r="E15" s="381">
        <v>0</v>
      </c>
      <c r="F15" s="379">
        <v>15.35</v>
      </c>
      <c r="G15" s="379">
        <v>0</v>
      </c>
      <c r="H15" s="382"/>
      <c r="I15" s="382"/>
      <c r="J15" s="382"/>
      <c r="K15" s="382"/>
      <c r="L15" s="382"/>
      <c r="M15" s="382"/>
      <c r="N15" s="382"/>
      <c r="O15" s="382"/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2"/>
      <c r="AE15" s="382"/>
      <c r="AF15" s="382"/>
      <c r="AG15" s="382"/>
      <c r="AH15" s="382"/>
      <c r="AI15" s="382"/>
      <c r="AJ15" s="382"/>
      <c r="AK15" s="382"/>
      <c r="AL15" s="382"/>
      <c r="AM15" s="382"/>
      <c r="AN15" s="382"/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</row>
    <row r="16" spans="1:51" s="379" customFormat="1" ht="38.25" hidden="1" outlineLevel="1">
      <c r="A16" s="379" t="s">
        <v>1453</v>
      </c>
      <c r="B16" s="379" t="s">
        <v>1454</v>
      </c>
      <c r="C16" s="380" t="s">
        <v>1455</v>
      </c>
      <c r="D16" s="381">
        <v>0</v>
      </c>
      <c r="E16" s="381">
        <v>-1125.8</v>
      </c>
      <c r="F16" s="379">
        <v>0</v>
      </c>
      <c r="G16" s="379">
        <v>0</v>
      </c>
      <c r="H16" s="382"/>
      <c r="I16" s="382"/>
      <c r="J16" s="382"/>
      <c r="K16" s="382"/>
      <c r="L16" s="382"/>
      <c r="M16" s="382"/>
      <c r="N16" s="382"/>
      <c r="O16" s="382"/>
      <c r="P16" s="382"/>
      <c r="Q16" s="382"/>
      <c r="R16" s="382"/>
      <c r="S16" s="382"/>
      <c r="T16" s="382"/>
      <c r="U16" s="382"/>
      <c r="V16" s="382"/>
      <c r="W16" s="382"/>
      <c r="X16" s="382"/>
      <c r="Y16" s="382"/>
      <c r="Z16" s="382"/>
      <c r="AA16" s="382"/>
      <c r="AB16" s="382"/>
      <c r="AC16" s="382"/>
      <c r="AD16" s="382"/>
      <c r="AE16" s="382"/>
      <c r="AF16" s="382"/>
      <c r="AG16" s="382"/>
      <c r="AH16" s="382"/>
      <c r="AI16" s="382"/>
      <c r="AJ16" s="382"/>
      <c r="AK16" s="382"/>
      <c r="AL16" s="382"/>
      <c r="AM16" s="382"/>
      <c r="AN16" s="382"/>
      <c r="AO16" s="382"/>
      <c r="AP16" s="382"/>
      <c r="AQ16" s="382"/>
      <c r="AR16" s="382"/>
      <c r="AS16" s="382"/>
      <c r="AT16" s="382"/>
      <c r="AU16" s="382"/>
      <c r="AV16" s="382"/>
      <c r="AW16" s="382"/>
      <c r="AX16" s="382"/>
      <c r="AY16" s="382"/>
    </row>
    <row r="17" spans="1:51" s="379" customFormat="1" ht="38.25" hidden="1" outlineLevel="1">
      <c r="A17" s="379" t="s">
        <v>1456</v>
      </c>
      <c r="B17" s="379" t="s">
        <v>1457</v>
      </c>
      <c r="C17" s="380" t="s">
        <v>1458</v>
      </c>
      <c r="D17" s="381">
        <v>0</v>
      </c>
      <c r="E17" s="381">
        <v>0</v>
      </c>
      <c r="F17" s="379">
        <v>-4877.87</v>
      </c>
      <c r="G17" s="379">
        <v>0</v>
      </c>
      <c r="H17" s="382"/>
      <c r="I17" s="382"/>
      <c r="J17" s="382"/>
      <c r="K17" s="382"/>
      <c r="L17" s="382"/>
      <c r="M17" s="382"/>
      <c r="N17" s="382"/>
      <c r="O17" s="382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2"/>
      <c r="AE17" s="382"/>
      <c r="AF17" s="382"/>
      <c r="AG17" s="382"/>
      <c r="AH17" s="382"/>
      <c r="AI17" s="382"/>
      <c r="AJ17" s="382"/>
      <c r="AK17" s="382"/>
      <c r="AL17" s="382"/>
      <c r="AM17" s="382"/>
      <c r="AN17" s="382"/>
      <c r="AO17" s="382"/>
      <c r="AP17" s="382"/>
      <c r="AQ17" s="382"/>
      <c r="AR17" s="382"/>
      <c r="AS17" s="382"/>
      <c r="AT17" s="382"/>
      <c r="AU17" s="382"/>
      <c r="AV17" s="382"/>
      <c r="AW17" s="382"/>
      <c r="AX17" s="382"/>
      <c r="AY17" s="382"/>
    </row>
    <row r="18" spans="1:51" s="379" customFormat="1" ht="38.25" hidden="1" outlineLevel="1">
      <c r="A18" s="379" t="s">
        <v>1459</v>
      </c>
      <c r="B18" s="379" t="s">
        <v>1460</v>
      </c>
      <c r="C18" s="380" t="s">
        <v>1461</v>
      </c>
      <c r="D18" s="381">
        <v>0</v>
      </c>
      <c r="E18" s="381">
        <v>-9196</v>
      </c>
      <c r="F18" s="379">
        <v>0</v>
      </c>
      <c r="G18" s="379">
        <v>0</v>
      </c>
      <c r="H18" s="382"/>
      <c r="I18" s="382"/>
      <c r="J18" s="382"/>
      <c r="K18" s="382"/>
      <c r="L18" s="382"/>
      <c r="M18" s="382"/>
      <c r="N18" s="382"/>
      <c r="O18" s="382"/>
      <c r="P18" s="382"/>
      <c r="Q18" s="382"/>
      <c r="R18" s="382"/>
      <c r="S18" s="382"/>
      <c r="T18" s="382"/>
      <c r="U18" s="382"/>
      <c r="V18" s="382"/>
      <c r="W18" s="382"/>
      <c r="X18" s="382"/>
      <c r="Y18" s="382"/>
      <c r="Z18" s="382"/>
      <c r="AA18" s="382"/>
      <c r="AB18" s="382"/>
      <c r="AC18" s="382"/>
      <c r="AD18" s="382"/>
      <c r="AE18" s="382"/>
      <c r="AF18" s="382"/>
      <c r="AG18" s="382"/>
      <c r="AH18" s="382"/>
      <c r="AI18" s="382"/>
      <c r="AJ18" s="382"/>
      <c r="AK18" s="382"/>
      <c r="AL18" s="382"/>
      <c r="AM18" s="382"/>
      <c r="AN18" s="382"/>
      <c r="AO18" s="382"/>
      <c r="AP18" s="382"/>
      <c r="AQ18" s="382"/>
      <c r="AR18" s="382"/>
      <c r="AS18" s="382"/>
      <c r="AT18" s="382"/>
      <c r="AU18" s="382"/>
      <c r="AV18" s="382"/>
      <c r="AW18" s="382"/>
      <c r="AX18" s="382"/>
      <c r="AY18" s="382"/>
    </row>
    <row r="19" spans="1:51" s="379" customFormat="1" ht="38.25" hidden="1" outlineLevel="1">
      <c r="A19" s="379" t="s">
        <v>1471</v>
      </c>
      <c r="B19" s="379" t="s">
        <v>1472</v>
      </c>
      <c r="C19" s="380" t="s">
        <v>1473</v>
      </c>
      <c r="D19" s="381">
        <v>0</v>
      </c>
      <c r="E19" s="381">
        <v>0</v>
      </c>
      <c r="F19" s="379">
        <v>-7698.5</v>
      </c>
      <c r="G19" s="379">
        <v>0</v>
      </c>
      <c r="H19" s="382"/>
      <c r="I19" s="382"/>
      <c r="J19" s="382"/>
      <c r="K19" s="382"/>
      <c r="L19" s="382"/>
      <c r="M19" s="382"/>
      <c r="N19" s="382"/>
      <c r="O19" s="382"/>
      <c r="P19" s="382"/>
      <c r="Q19" s="382"/>
      <c r="R19" s="382"/>
      <c r="S19" s="382"/>
      <c r="T19" s="382"/>
      <c r="U19" s="382"/>
      <c r="V19" s="382"/>
      <c r="W19" s="382"/>
      <c r="X19" s="382"/>
      <c r="Y19" s="382"/>
      <c r="Z19" s="382"/>
      <c r="AA19" s="382"/>
      <c r="AB19" s="382"/>
      <c r="AC19" s="382"/>
      <c r="AD19" s="382"/>
      <c r="AE19" s="382"/>
      <c r="AF19" s="382"/>
      <c r="AG19" s="382"/>
      <c r="AH19" s="382"/>
      <c r="AI19" s="382"/>
      <c r="AJ19" s="382"/>
      <c r="AK19" s="382"/>
      <c r="AL19" s="382"/>
      <c r="AM19" s="382"/>
      <c r="AN19" s="382"/>
      <c r="AO19" s="382"/>
      <c r="AP19" s="382"/>
      <c r="AQ19" s="382"/>
      <c r="AR19" s="382"/>
      <c r="AS19" s="382"/>
      <c r="AT19" s="382"/>
      <c r="AU19" s="382"/>
      <c r="AV19" s="382"/>
      <c r="AW19" s="382"/>
      <c r="AX19" s="382"/>
      <c r="AY19" s="382"/>
    </row>
    <row r="20" spans="1:51" s="379" customFormat="1" ht="38.25" hidden="1" outlineLevel="1">
      <c r="A20" s="379" t="s">
        <v>1474</v>
      </c>
      <c r="B20" s="379" t="s">
        <v>1475</v>
      </c>
      <c r="C20" s="380" t="s">
        <v>1476</v>
      </c>
      <c r="D20" s="381">
        <v>0</v>
      </c>
      <c r="E20" s="381">
        <v>0</v>
      </c>
      <c r="F20" s="379">
        <v>-27918.07</v>
      </c>
      <c r="G20" s="379">
        <v>0</v>
      </c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</row>
    <row r="21" spans="1:51" s="379" customFormat="1" ht="38.25" hidden="1" outlineLevel="1">
      <c r="A21" s="379" t="s">
        <v>1477</v>
      </c>
      <c r="B21" s="379" t="s">
        <v>1478</v>
      </c>
      <c r="C21" s="380" t="s">
        <v>1479</v>
      </c>
      <c r="D21" s="381">
        <v>0</v>
      </c>
      <c r="E21" s="381">
        <v>0</v>
      </c>
      <c r="F21" s="379">
        <v>-561.04</v>
      </c>
      <c r="G21" s="379">
        <v>0</v>
      </c>
      <c r="H21" s="382"/>
      <c r="I21" s="382"/>
      <c r="J21" s="382"/>
      <c r="K21" s="382"/>
      <c r="L21" s="382"/>
      <c r="M21" s="382"/>
      <c r="N21" s="382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382"/>
      <c r="Z21" s="382"/>
      <c r="AA21" s="382"/>
      <c r="AB21" s="382"/>
      <c r="AC21" s="382"/>
      <c r="AD21" s="382"/>
      <c r="AE21" s="382"/>
      <c r="AF21" s="382"/>
      <c r="AG21" s="382"/>
      <c r="AH21" s="382"/>
      <c r="AI21" s="382"/>
      <c r="AJ21" s="382"/>
      <c r="AK21" s="382"/>
      <c r="AL21" s="382"/>
      <c r="AM21" s="382"/>
      <c r="AN21" s="382"/>
      <c r="AO21" s="382"/>
      <c r="AP21" s="382"/>
      <c r="AQ21" s="382"/>
      <c r="AR21" s="382"/>
      <c r="AS21" s="382"/>
      <c r="AT21" s="382"/>
      <c r="AU21" s="382"/>
      <c r="AV21" s="382"/>
      <c r="AW21" s="382"/>
      <c r="AX21" s="382"/>
      <c r="AY21" s="382"/>
    </row>
    <row r="22" spans="1:51" s="379" customFormat="1" ht="38.25" hidden="1" outlineLevel="1">
      <c r="A22" s="379" t="s">
        <v>1480</v>
      </c>
      <c r="B22" s="379" t="s">
        <v>1481</v>
      </c>
      <c r="C22" s="380" t="s">
        <v>1482</v>
      </c>
      <c r="D22" s="381">
        <v>0</v>
      </c>
      <c r="E22" s="381">
        <v>0</v>
      </c>
      <c r="F22" s="379">
        <v>-4276.01</v>
      </c>
      <c r="G22" s="379">
        <v>0</v>
      </c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382"/>
      <c r="AI22" s="382"/>
      <c r="AJ22" s="382"/>
      <c r="AK22" s="382"/>
      <c r="AL22" s="382"/>
      <c r="AM22" s="382"/>
      <c r="AN22" s="382"/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</row>
    <row r="23" spans="1:51" s="379" customFormat="1" ht="38.25" hidden="1" outlineLevel="1">
      <c r="A23" s="379" t="s">
        <v>1483</v>
      </c>
      <c r="B23" s="379" t="s">
        <v>1484</v>
      </c>
      <c r="C23" s="380" t="s">
        <v>1485</v>
      </c>
      <c r="D23" s="381">
        <v>0</v>
      </c>
      <c r="E23" s="381">
        <v>0</v>
      </c>
      <c r="F23" s="379">
        <v>-251871.3</v>
      </c>
      <c r="G23" s="379">
        <v>0</v>
      </c>
      <c r="H23" s="382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2"/>
      <c r="AQ23" s="382"/>
      <c r="AR23" s="382"/>
      <c r="AS23" s="382"/>
      <c r="AT23" s="382"/>
      <c r="AU23" s="382"/>
      <c r="AV23" s="382"/>
      <c r="AW23" s="382"/>
      <c r="AX23" s="382"/>
      <c r="AY23" s="382"/>
    </row>
    <row r="24" spans="1:51" ht="12.75" customHeight="1" collapsed="1">
      <c r="A24" s="392" t="s">
        <v>518</v>
      </c>
      <c r="B24" s="408" t="s">
        <v>519</v>
      </c>
      <c r="C24" s="409"/>
      <c r="D24" s="410">
        <v>0</v>
      </c>
      <c r="E24" s="410">
        <v>-10321.8</v>
      </c>
      <c r="F24" s="410">
        <v>636273.92</v>
      </c>
      <c r="G24" s="410">
        <v>0</v>
      </c>
      <c r="H24" s="392"/>
      <c r="I24" s="392"/>
      <c r="J24" s="392"/>
      <c r="K24" s="392"/>
      <c r="L24" s="392"/>
      <c r="M24" s="392"/>
      <c r="N24" s="392"/>
      <c r="O24" s="392"/>
      <c r="P24" s="392"/>
      <c r="Q24" s="392"/>
      <c r="R24" s="392"/>
      <c r="S24" s="392"/>
      <c r="T24" s="392"/>
      <c r="U24" s="392"/>
      <c r="V24" s="392"/>
      <c r="W24" s="392"/>
      <c r="X24" s="392"/>
      <c r="Y24" s="392"/>
      <c r="Z24" s="392"/>
      <c r="AA24" s="392"/>
      <c r="AB24" s="392"/>
      <c r="AC24" s="392"/>
      <c r="AD24" s="392"/>
      <c r="AE24" s="392"/>
      <c r="AF24" s="392"/>
      <c r="AG24" s="392"/>
      <c r="AH24" s="392"/>
      <c r="AI24" s="392"/>
      <c r="AJ24" s="392"/>
      <c r="AK24" s="392"/>
      <c r="AL24" s="392"/>
      <c r="AM24" s="392"/>
      <c r="AN24" s="392"/>
      <c r="AO24" s="392"/>
      <c r="AP24" s="392"/>
      <c r="AQ24" s="392"/>
      <c r="AR24" s="392"/>
      <c r="AS24" s="392"/>
      <c r="AT24" s="392"/>
      <c r="AU24" s="392"/>
      <c r="AV24" s="392"/>
      <c r="AW24" s="392"/>
      <c r="AX24" s="392"/>
      <c r="AY24" s="392"/>
    </row>
    <row r="25" spans="1:51" s="379" customFormat="1" ht="38.25" hidden="1" outlineLevel="1">
      <c r="A25" s="379" t="s">
        <v>1506</v>
      </c>
      <c r="B25" s="379" t="s">
        <v>1507</v>
      </c>
      <c r="C25" s="380" t="s">
        <v>1508</v>
      </c>
      <c r="D25" s="381">
        <v>0</v>
      </c>
      <c r="E25" s="381">
        <v>30675.7</v>
      </c>
      <c r="F25" s="379">
        <v>1684.2</v>
      </c>
      <c r="G25" s="379">
        <v>0</v>
      </c>
      <c r="H25" s="382"/>
      <c r="I25" s="382"/>
      <c r="J25" s="382"/>
      <c r="K25" s="382"/>
      <c r="L25" s="382"/>
      <c r="M25" s="382"/>
      <c r="N25" s="382"/>
      <c r="O25" s="382"/>
      <c r="P25" s="382"/>
      <c r="Q25" s="382"/>
      <c r="R25" s="382"/>
      <c r="S25" s="382"/>
      <c r="T25" s="382"/>
      <c r="U25" s="382"/>
      <c r="V25" s="382"/>
      <c r="W25" s="382"/>
      <c r="X25" s="382"/>
      <c r="Y25" s="382"/>
      <c r="Z25" s="382"/>
      <c r="AA25" s="382"/>
      <c r="AB25" s="382"/>
      <c r="AC25" s="382"/>
      <c r="AD25" s="382"/>
      <c r="AE25" s="382"/>
      <c r="AF25" s="382"/>
      <c r="AG25" s="382"/>
      <c r="AH25" s="382"/>
      <c r="AI25" s="382"/>
      <c r="AJ25" s="382"/>
      <c r="AK25" s="382"/>
      <c r="AL25" s="382"/>
      <c r="AM25" s="382"/>
      <c r="AN25" s="382"/>
      <c r="AO25" s="382"/>
      <c r="AP25" s="382"/>
      <c r="AQ25" s="382"/>
      <c r="AR25" s="382"/>
      <c r="AS25" s="382"/>
      <c r="AT25" s="382"/>
      <c r="AU25" s="382"/>
      <c r="AV25" s="382"/>
      <c r="AW25" s="382"/>
      <c r="AX25" s="382"/>
      <c r="AY25" s="382"/>
    </row>
    <row r="26" spans="1:51" s="379" customFormat="1" ht="38.25" hidden="1" outlineLevel="1">
      <c r="A26" s="379" t="s">
        <v>520</v>
      </c>
      <c r="B26" s="379" t="s">
        <v>521</v>
      </c>
      <c r="C26" s="380" t="s">
        <v>522</v>
      </c>
      <c r="D26" s="381">
        <v>0</v>
      </c>
      <c r="E26" s="381">
        <v>0</v>
      </c>
      <c r="F26" s="379">
        <v>171824.48</v>
      </c>
      <c r="G26" s="379">
        <v>0</v>
      </c>
      <c r="H26" s="382"/>
      <c r="I26" s="382"/>
      <c r="J26" s="382"/>
      <c r="K26" s="382"/>
      <c r="L26" s="382"/>
      <c r="M26" s="382"/>
      <c r="N26" s="382"/>
      <c r="O26" s="382"/>
      <c r="P26" s="382"/>
      <c r="Q26" s="382"/>
      <c r="R26" s="382"/>
      <c r="S26" s="382"/>
      <c r="T26" s="382"/>
      <c r="U26" s="382"/>
      <c r="V26" s="382"/>
      <c r="W26" s="382"/>
      <c r="X26" s="382"/>
      <c r="Y26" s="382"/>
      <c r="Z26" s="382"/>
      <c r="AA26" s="382"/>
      <c r="AB26" s="382"/>
      <c r="AC26" s="382"/>
      <c r="AD26" s="382"/>
      <c r="AE26" s="382"/>
      <c r="AF26" s="382"/>
      <c r="AG26" s="382"/>
      <c r="AH26" s="382"/>
      <c r="AI26" s="382"/>
      <c r="AJ26" s="382"/>
      <c r="AK26" s="382"/>
      <c r="AL26" s="382"/>
      <c r="AM26" s="382"/>
      <c r="AN26" s="382"/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</row>
    <row r="27" spans="1:51" s="379" customFormat="1" ht="38.25" hidden="1" outlineLevel="1">
      <c r="A27" s="379" t="s">
        <v>1512</v>
      </c>
      <c r="B27" s="379" t="s">
        <v>1513</v>
      </c>
      <c r="C27" s="380" t="s">
        <v>1514</v>
      </c>
      <c r="D27" s="381">
        <v>3016758.23</v>
      </c>
      <c r="E27" s="381">
        <v>6832954.05</v>
      </c>
      <c r="F27" s="379">
        <v>0</v>
      </c>
      <c r="G27" s="379">
        <v>691273.32</v>
      </c>
      <c r="H27" s="382"/>
      <c r="I27" s="382"/>
      <c r="J27" s="382"/>
      <c r="K27" s="382"/>
      <c r="L27" s="382"/>
      <c r="M27" s="382"/>
      <c r="N27" s="382"/>
      <c r="O27" s="382"/>
      <c r="P27" s="382"/>
      <c r="Q27" s="382"/>
      <c r="R27" s="382"/>
      <c r="S27" s="382"/>
      <c r="T27" s="382"/>
      <c r="U27" s="382"/>
      <c r="V27" s="382"/>
      <c r="W27" s="382"/>
      <c r="X27" s="382"/>
      <c r="Y27" s="382"/>
      <c r="Z27" s="382"/>
      <c r="AA27" s="382"/>
      <c r="AB27" s="382"/>
      <c r="AC27" s="382"/>
      <c r="AD27" s="382"/>
      <c r="AE27" s="382"/>
      <c r="AF27" s="382"/>
      <c r="AG27" s="382"/>
      <c r="AH27" s="382"/>
      <c r="AI27" s="382"/>
      <c r="AJ27" s="382"/>
      <c r="AK27" s="382"/>
      <c r="AL27" s="382"/>
      <c r="AM27" s="382"/>
      <c r="AN27" s="382"/>
      <c r="AO27" s="382"/>
      <c r="AP27" s="382"/>
      <c r="AQ27" s="382"/>
      <c r="AR27" s="382"/>
      <c r="AS27" s="382"/>
      <c r="AT27" s="382"/>
      <c r="AU27" s="382"/>
      <c r="AV27" s="382"/>
      <c r="AW27" s="382"/>
      <c r="AX27" s="382"/>
      <c r="AY27" s="382"/>
    </row>
    <row r="28" spans="1:51" s="379" customFormat="1" ht="38.25" hidden="1" outlineLevel="1">
      <c r="A28" s="379" t="s">
        <v>1515</v>
      </c>
      <c r="B28" s="379" t="s">
        <v>1516</v>
      </c>
      <c r="C28" s="380" t="s">
        <v>1517</v>
      </c>
      <c r="D28" s="381">
        <v>0</v>
      </c>
      <c r="E28" s="381">
        <v>199583.11</v>
      </c>
      <c r="F28" s="379">
        <v>0</v>
      </c>
      <c r="G28" s="379">
        <v>0</v>
      </c>
      <c r="H28" s="382"/>
      <c r="I28" s="382"/>
      <c r="J28" s="382"/>
      <c r="K28" s="382"/>
      <c r="L28" s="382"/>
      <c r="M28" s="382"/>
      <c r="N28" s="382"/>
      <c r="O28" s="382"/>
      <c r="P28" s="382"/>
      <c r="Q28" s="382"/>
      <c r="R28" s="382"/>
      <c r="S28" s="382"/>
      <c r="T28" s="382"/>
      <c r="U28" s="382"/>
      <c r="V28" s="382"/>
      <c r="W28" s="382"/>
      <c r="X28" s="382"/>
      <c r="Y28" s="382"/>
      <c r="Z28" s="382"/>
      <c r="AA28" s="382"/>
      <c r="AB28" s="382"/>
      <c r="AC28" s="382"/>
      <c r="AD28" s="382"/>
      <c r="AE28" s="382"/>
      <c r="AF28" s="382"/>
      <c r="AG28" s="382"/>
      <c r="AH28" s="382"/>
      <c r="AI28" s="382"/>
      <c r="AJ28" s="382"/>
      <c r="AK28" s="382"/>
      <c r="AL28" s="382"/>
      <c r="AM28" s="382"/>
      <c r="AN28" s="382"/>
      <c r="AO28" s="382"/>
      <c r="AP28" s="382"/>
      <c r="AQ28" s="382"/>
      <c r="AR28" s="382"/>
      <c r="AS28" s="382"/>
      <c r="AT28" s="382"/>
      <c r="AU28" s="382"/>
      <c r="AV28" s="382"/>
      <c r="AW28" s="382"/>
      <c r="AX28" s="382"/>
      <c r="AY28" s="382"/>
    </row>
    <row r="29" spans="1:51" s="379" customFormat="1" ht="38.25" hidden="1" outlineLevel="1">
      <c r="A29" s="379" t="s">
        <v>1518</v>
      </c>
      <c r="B29" s="379" t="s">
        <v>1519</v>
      </c>
      <c r="C29" s="380" t="s">
        <v>1520</v>
      </c>
      <c r="D29" s="381">
        <v>-1749.36</v>
      </c>
      <c r="E29" s="381">
        <v>0</v>
      </c>
      <c r="F29" s="379">
        <v>0</v>
      </c>
      <c r="G29" s="379">
        <v>0</v>
      </c>
      <c r="H29" s="382"/>
      <c r="I29" s="382"/>
      <c r="J29" s="382"/>
      <c r="K29" s="382"/>
      <c r="L29" s="382"/>
      <c r="M29" s="382"/>
      <c r="N29" s="382"/>
      <c r="O29" s="382"/>
      <c r="P29" s="382"/>
      <c r="Q29" s="382"/>
      <c r="R29" s="382"/>
      <c r="S29" s="382"/>
      <c r="T29" s="382"/>
      <c r="U29" s="382"/>
      <c r="V29" s="382"/>
      <c r="W29" s="382"/>
      <c r="X29" s="382"/>
      <c r="Y29" s="382"/>
      <c r="Z29" s="382"/>
      <c r="AA29" s="382"/>
      <c r="AB29" s="382"/>
      <c r="AC29" s="382"/>
      <c r="AD29" s="382"/>
      <c r="AE29" s="382"/>
      <c r="AF29" s="382"/>
      <c r="AG29" s="382"/>
      <c r="AH29" s="382"/>
      <c r="AI29" s="382"/>
      <c r="AJ29" s="382"/>
      <c r="AK29" s="382"/>
      <c r="AL29" s="382"/>
      <c r="AM29" s="382"/>
      <c r="AN29" s="382"/>
      <c r="AO29" s="382"/>
      <c r="AP29" s="382"/>
      <c r="AQ29" s="382"/>
      <c r="AR29" s="382"/>
      <c r="AS29" s="382"/>
      <c r="AT29" s="382"/>
      <c r="AU29" s="382"/>
      <c r="AV29" s="382"/>
      <c r="AW29" s="382"/>
      <c r="AX29" s="382"/>
      <c r="AY29" s="382"/>
    </row>
    <row r="30" spans="1:51" s="379" customFormat="1" ht="38.25" hidden="1" outlineLevel="1">
      <c r="A30" s="379" t="s">
        <v>523</v>
      </c>
      <c r="B30" s="379" t="s">
        <v>524</v>
      </c>
      <c r="C30" s="380" t="s">
        <v>525</v>
      </c>
      <c r="D30" s="381">
        <v>0</v>
      </c>
      <c r="E30" s="381">
        <v>27813.14</v>
      </c>
      <c r="F30" s="379">
        <v>0</v>
      </c>
      <c r="G30" s="379">
        <v>0</v>
      </c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2"/>
      <c r="AL30" s="382"/>
      <c r="AM30" s="382"/>
      <c r="AN30" s="382"/>
      <c r="AO30" s="382"/>
      <c r="AP30" s="382"/>
      <c r="AQ30" s="382"/>
      <c r="AR30" s="382"/>
      <c r="AS30" s="382"/>
      <c r="AT30" s="382"/>
      <c r="AU30" s="382"/>
      <c r="AV30" s="382"/>
      <c r="AW30" s="382"/>
      <c r="AX30" s="382"/>
      <c r="AY30" s="382"/>
    </row>
    <row r="31" spans="1:51" s="379" customFormat="1" ht="38.25" hidden="1" outlineLevel="1">
      <c r="A31" s="379" t="s">
        <v>1521</v>
      </c>
      <c r="B31" s="379" t="s">
        <v>1522</v>
      </c>
      <c r="C31" s="380" t="s">
        <v>1523</v>
      </c>
      <c r="D31" s="381">
        <v>0</v>
      </c>
      <c r="E31" s="381">
        <v>0</v>
      </c>
      <c r="F31" s="379">
        <v>0</v>
      </c>
      <c r="G31" s="379">
        <v>162562.07</v>
      </c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2"/>
      <c r="AD31" s="382"/>
      <c r="AE31" s="382"/>
      <c r="AF31" s="382"/>
      <c r="AG31" s="382"/>
      <c r="AH31" s="382"/>
      <c r="AI31" s="382"/>
      <c r="AJ31" s="382"/>
      <c r="AK31" s="382"/>
      <c r="AL31" s="382"/>
      <c r="AM31" s="382"/>
      <c r="AN31" s="382"/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</row>
    <row r="32" spans="1:51" s="379" customFormat="1" ht="38.25" hidden="1" outlineLevel="1">
      <c r="A32" s="379" t="s">
        <v>526</v>
      </c>
      <c r="B32" s="379" t="s">
        <v>527</v>
      </c>
      <c r="C32" s="380" t="s">
        <v>528</v>
      </c>
      <c r="D32" s="381">
        <v>0</v>
      </c>
      <c r="E32" s="381">
        <v>0</v>
      </c>
      <c r="F32" s="379">
        <v>0</v>
      </c>
      <c r="G32" s="379">
        <v>723326.2</v>
      </c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2"/>
      <c r="AD32" s="382"/>
      <c r="AE32" s="382"/>
      <c r="AF32" s="382"/>
      <c r="AG32" s="382"/>
      <c r="AH32" s="382"/>
      <c r="AI32" s="382"/>
      <c r="AJ32" s="382"/>
      <c r="AK32" s="382"/>
      <c r="AL32" s="382"/>
      <c r="AM32" s="382"/>
      <c r="AN32" s="382"/>
      <c r="AO32" s="382"/>
      <c r="AP32" s="382"/>
      <c r="AQ32" s="382"/>
      <c r="AR32" s="382"/>
      <c r="AS32" s="382"/>
      <c r="AT32" s="382"/>
      <c r="AU32" s="382"/>
      <c r="AV32" s="382"/>
      <c r="AW32" s="382"/>
      <c r="AX32" s="382"/>
      <c r="AY32" s="382"/>
    </row>
    <row r="33" spans="1:51" s="379" customFormat="1" ht="38.25" hidden="1" outlineLevel="1">
      <c r="A33" s="379" t="s">
        <v>1524</v>
      </c>
      <c r="B33" s="379" t="s">
        <v>1525</v>
      </c>
      <c r="C33" s="380" t="s">
        <v>1526</v>
      </c>
      <c r="D33" s="381">
        <v>0</v>
      </c>
      <c r="E33" s="381">
        <v>0</v>
      </c>
      <c r="F33" s="379">
        <v>0</v>
      </c>
      <c r="G33" s="379">
        <v>416470.61</v>
      </c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82"/>
      <c r="AF33" s="382"/>
      <c r="AG33" s="382"/>
      <c r="AH33" s="382"/>
      <c r="AI33" s="382"/>
      <c r="AJ33" s="382"/>
      <c r="AK33" s="382"/>
      <c r="AL33" s="382"/>
      <c r="AM33" s="382"/>
      <c r="AN33" s="382"/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</row>
    <row r="34" spans="1:51" s="379" customFormat="1" ht="38.25" hidden="1" outlineLevel="1">
      <c r="A34" s="379" t="s">
        <v>1527</v>
      </c>
      <c r="B34" s="379" t="s">
        <v>1528</v>
      </c>
      <c r="C34" s="380" t="s">
        <v>1529</v>
      </c>
      <c r="D34" s="381">
        <v>0</v>
      </c>
      <c r="E34" s="381">
        <v>0</v>
      </c>
      <c r="F34" s="379">
        <v>0</v>
      </c>
      <c r="G34" s="379">
        <v>705825.34</v>
      </c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2"/>
      <c r="AD34" s="382"/>
      <c r="AE34" s="382"/>
      <c r="AF34" s="382"/>
      <c r="AG34" s="382"/>
      <c r="AH34" s="382"/>
      <c r="AI34" s="382"/>
      <c r="AJ34" s="382"/>
      <c r="AK34" s="382"/>
      <c r="AL34" s="382"/>
      <c r="AM34" s="382"/>
      <c r="AN34" s="382"/>
      <c r="AO34" s="382"/>
      <c r="AP34" s="382"/>
      <c r="AQ34" s="382"/>
      <c r="AR34" s="382"/>
      <c r="AS34" s="382"/>
      <c r="AT34" s="382"/>
      <c r="AU34" s="382"/>
      <c r="AV34" s="382"/>
      <c r="AW34" s="382"/>
      <c r="AX34" s="382"/>
      <c r="AY34" s="382"/>
    </row>
    <row r="35" spans="1:51" s="379" customFormat="1" ht="38.25" hidden="1" outlineLevel="1">
      <c r="A35" s="379" t="s">
        <v>1530</v>
      </c>
      <c r="B35" s="379" t="s">
        <v>1531</v>
      </c>
      <c r="C35" s="380" t="s">
        <v>1532</v>
      </c>
      <c r="D35" s="381">
        <v>0</v>
      </c>
      <c r="E35" s="381">
        <v>83326.88</v>
      </c>
      <c r="F35" s="379">
        <v>0</v>
      </c>
      <c r="G35" s="379">
        <v>0</v>
      </c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2"/>
      <c r="AD35" s="382"/>
      <c r="AE35" s="382"/>
      <c r="AF35" s="382"/>
      <c r="AG35" s="382"/>
      <c r="AH35" s="382"/>
      <c r="AI35" s="382"/>
      <c r="AJ35" s="382"/>
      <c r="AK35" s="382"/>
      <c r="AL35" s="382"/>
      <c r="AM35" s="382"/>
      <c r="AN35" s="382"/>
      <c r="AO35" s="382"/>
      <c r="AP35" s="382"/>
      <c r="AQ35" s="382"/>
      <c r="AR35" s="382"/>
      <c r="AS35" s="382"/>
      <c r="AT35" s="382"/>
      <c r="AU35" s="382"/>
      <c r="AV35" s="382"/>
      <c r="AW35" s="382"/>
      <c r="AX35" s="382"/>
      <c r="AY35" s="382"/>
    </row>
    <row r="36" spans="1:51" s="379" customFormat="1" ht="38.25" hidden="1" outlineLevel="1">
      <c r="A36" s="379" t="s">
        <v>529</v>
      </c>
      <c r="B36" s="379" t="s">
        <v>530</v>
      </c>
      <c r="C36" s="380" t="s">
        <v>531</v>
      </c>
      <c r="D36" s="381">
        <v>-251.51</v>
      </c>
      <c r="E36" s="381">
        <v>0</v>
      </c>
      <c r="F36" s="379">
        <v>0</v>
      </c>
      <c r="G36" s="379">
        <v>0</v>
      </c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82"/>
      <c r="AM36" s="382"/>
      <c r="AN36" s="382"/>
      <c r="AO36" s="382"/>
      <c r="AP36" s="382"/>
      <c r="AQ36" s="382"/>
      <c r="AR36" s="382"/>
      <c r="AS36" s="382"/>
      <c r="AT36" s="382"/>
      <c r="AU36" s="382"/>
      <c r="AV36" s="382"/>
      <c r="AW36" s="382"/>
      <c r="AX36" s="382"/>
      <c r="AY36" s="382"/>
    </row>
    <row r="37" spans="1:51" ht="12.75" customHeight="1" collapsed="1">
      <c r="A37" s="392" t="s">
        <v>1533</v>
      </c>
      <c r="B37" s="408" t="s">
        <v>532</v>
      </c>
      <c r="C37" s="409"/>
      <c r="D37" s="411">
        <v>3014757.36</v>
      </c>
      <c r="E37" s="411">
        <v>7174352.88</v>
      </c>
      <c r="F37" s="411">
        <v>173508.68</v>
      </c>
      <c r="G37" s="411">
        <v>2699457.54</v>
      </c>
      <c r="H37" s="392"/>
      <c r="I37" s="392"/>
      <c r="J37" s="392"/>
      <c r="K37" s="392"/>
      <c r="L37" s="392"/>
      <c r="M37" s="392"/>
      <c r="N37" s="392"/>
      <c r="O37" s="392"/>
      <c r="P37" s="392"/>
      <c r="Q37" s="392"/>
      <c r="R37" s="392"/>
      <c r="S37" s="392"/>
      <c r="T37" s="392"/>
      <c r="U37" s="392"/>
      <c r="V37" s="392"/>
      <c r="W37" s="392"/>
      <c r="X37" s="392"/>
      <c r="Y37" s="392"/>
      <c r="Z37" s="392"/>
      <c r="AA37" s="392"/>
      <c r="AB37" s="392"/>
      <c r="AC37" s="392"/>
      <c r="AD37" s="392"/>
      <c r="AE37" s="392"/>
      <c r="AF37" s="392"/>
      <c r="AG37" s="392"/>
      <c r="AH37" s="392"/>
      <c r="AI37" s="392"/>
      <c r="AJ37" s="392"/>
      <c r="AK37" s="392"/>
      <c r="AL37" s="392"/>
      <c r="AM37" s="392"/>
      <c r="AN37" s="392"/>
      <c r="AO37" s="392"/>
      <c r="AP37" s="392"/>
      <c r="AQ37" s="392"/>
      <c r="AR37" s="392"/>
      <c r="AS37" s="392"/>
      <c r="AT37" s="392"/>
      <c r="AU37" s="392"/>
      <c r="AV37" s="392"/>
      <c r="AW37" s="392"/>
      <c r="AX37" s="392"/>
      <c r="AY37" s="392"/>
    </row>
    <row r="38" spans="1:51" s="379" customFormat="1" ht="38.25" hidden="1" outlineLevel="1">
      <c r="A38" s="379" t="s">
        <v>1561</v>
      </c>
      <c r="B38" s="379" t="s">
        <v>1562</v>
      </c>
      <c r="C38" s="380" t="s">
        <v>1563</v>
      </c>
      <c r="D38" s="381">
        <v>166953.1</v>
      </c>
      <c r="E38" s="381">
        <v>32020</v>
      </c>
      <c r="F38" s="379">
        <v>409628.76</v>
      </c>
      <c r="G38" s="379">
        <v>3214.03</v>
      </c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82"/>
      <c r="AF38" s="382"/>
      <c r="AG38" s="382"/>
      <c r="AH38" s="382"/>
      <c r="AI38" s="382"/>
      <c r="AJ38" s="382"/>
      <c r="AK38" s="382"/>
      <c r="AL38" s="382"/>
      <c r="AM38" s="382"/>
      <c r="AN38" s="382"/>
      <c r="AO38" s="382"/>
      <c r="AP38" s="382"/>
      <c r="AQ38" s="382"/>
      <c r="AR38" s="382"/>
      <c r="AS38" s="382"/>
      <c r="AT38" s="382"/>
      <c r="AU38" s="382"/>
      <c r="AV38" s="382"/>
      <c r="AW38" s="382"/>
      <c r="AX38" s="382"/>
      <c r="AY38" s="382"/>
    </row>
    <row r="39" spans="1:51" s="379" customFormat="1" ht="38.25" hidden="1" outlineLevel="1">
      <c r="A39" s="379" t="s">
        <v>1567</v>
      </c>
      <c r="B39" s="379" t="s">
        <v>1568</v>
      </c>
      <c r="C39" s="380" t="s">
        <v>1569</v>
      </c>
      <c r="D39" s="381">
        <v>5241.74</v>
      </c>
      <c r="E39" s="381">
        <v>47744.5</v>
      </c>
      <c r="F39" s="379">
        <v>0</v>
      </c>
      <c r="G39" s="379">
        <v>0</v>
      </c>
      <c r="H39" s="382"/>
      <c r="I39" s="382"/>
      <c r="J39" s="382"/>
      <c r="K39" s="382"/>
      <c r="L39" s="382"/>
      <c r="M39" s="382"/>
      <c r="N39" s="382"/>
      <c r="O39" s="382"/>
      <c r="P39" s="382"/>
      <c r="Q39" s="382"/>
      <c r="R39" s="382"/>
      <c r="S39" s="382"/>
      <c r="T39" s="382"/>
      <c r="U39" s="382"/>
      <c r="V39" s="382"/>
      <c r="W39" s="382"/>
      <c r="X39" s="382"/>
      <c r="Y39" s="382"/>
      <c r="Z39" s="382"/>
      <c r="AA39" s="382"/>
      <c r="AB39" s="382"/>
      <c r="AC39" s="382"/>
      <c r="AD39" s="382"/>
      <c r="AE39" s="382"/>
      <c r="AF39" s="382"/>
      <c r="AG39" s="382"/>
      <c r="AH39" s="382"/>
      <c r="AI39" s="382"/>
      <c r="AJ39" s="382"/>
      <c r="AK39" s="382"/>
      <c r="AL39" s="382"/>
      <c r="AM39" s="382"/>
      <c r="AN39" s="382"/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</row>
    <row r="40" spans="1:51" s="379" customFormat="1" ht="38.25" hidden="1" outlineLevel="1">
      <c r="A40" s="379" t="s">
        <v>1570</v>
      </c>
      <c r="B40" s="379" t="s">
        <v>1571</v>
      </c>
      <c r="C40" s="380" t="s">
        <v>1572</v>
      </c>
      <c r="D40" s="381">
        <v>0</v>
      </c>
      <c r="E40" s="381">
        <v>0</v>
      </c>
      <c r="F40" s="379">
        <v>0</v>
      </c>
      <c r="G40" s="379">
        <v>1900</v>
      </c>
      <c r="H40" s="382"/>
      <c r="I40" s="382"/>
      <c r="J40" s="382"/>
      <c r="K40" s="382"/>
      <c r="L40" s="382"/>
      <c r="M40" s="382"/>
      <c r="N40" s="382"/>
      <c r="O40" s="382"/>
      <c r="P40" s="382"/>
      <c r="Q40" s="382"/>
      <c r="R40" s="382"/>
      <c r="S40" s="382"/>
      <c r="T40" s="382"/>
      <c r="U40" s="382"/>
      <c r="V40" s="382"/>
      <c r="W40" s="382"/>
      <c r="X40" s="382"/>
      <c r="Y40" s="382"/>
      <c r="Z40" s="382"/>
      <c r="AA40" s="382"/>
      <c r="AB40" s="382"/>
      <c r="AC40" s="382"/>
      <c r="AD40" s="382"/>
      <c r="AE40" s="382"/>
      <c r="AF40" s="382"/>
      <c r="AG40" s="382"/>
      <c r="AH40" s="382"/>
      <c r="AI40" s="382"/>
      <c r="AJ40" s="382"/>
      <c r="AK40" s="382"/>
      <c r="AL40" s="382"/>
      <c r="AM40" s="382"/>
      <c r="AN40" s="382"/>
      <c r="AO40" s="382"/>
      <c r="AP40" s="382"/>
      <c r="AQ40" s="382"/>
      <c r="AR40" s="382"/>
      <c r="AS40" s="382"/>
      <c r="AT40" s="382"/>
      <c r="AU40" s="382"/>
      <c r="AV40" s="382"/>
      <c r="AW40" s="382"/>
      <c r="AX40" s="382"/>
      <c r="AY40" s="382"/>
    </row>
    <row r="41" spans="1:51" s="379" customFormat="1" ht="38.25" hidden="1" outlineLevel="1">
      <c r="A41" s="379" t="s">
        <v>533</v>
      </c>
      <c r="B41" s="379" t="s">
        <v>534</v>
      </c>
      <c r="C41" s="380" t="s">
        <v>535</v>
      </c>
      <c r="D41" s="381">
        <v>1116.72</v>
      </c>
      <c r="E41" s="381">
        <v>0</v>
      </c>
      <c r="F41" s="379">
        <v>0</v>
      </c>
      <c r="G41" s="379">
        <v>0</v>
      </c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  <c r="S41" s="382"/>
      <c r="T41" s="382"/>
      <c r="U41" s="382"/>
      <c r="V41" s="382"/>
      <c r="W41" s="382"/>
      <c r="X41" s="382"/>
      <c r="Y41" s="382"/>
      <c r="Z41" s="382"/>
      <c r="AA41" s="382"/>
      <c r="AB41" s="382"/>
      <c r="AC41" s="382"/>
      <c r="AD41" s="382"/>
      <c r="AE41" s="382"/>
      <c r="AF41" s="382"/>
      <c r="AG41" s="382"/>
      <c r="AH41" s="382"/>
      <c r="AI41" s="382"/>
      <c r="AJ41" s="382"/>
      <c r="AK41" s="382"/>
      <c r="AL41" s="382"/>
      <c r="AM41" s="382"/>
      <c r="AN41" s="382"/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</row>
    <row r="42" spans="1:51" s="379" customFormat="1" ht="38.25" hidden="1" outlineLevel="1">
      <c r="A42" s="379" t="s">
        <v>536</v>
      </c>
      <c r="B42" s="379" t="s">
        <v>537</v>
      </c>
      <c r="C42" s="380" t="s">
        <v>538</v>
      </c>
      <c r="D42" s="381">
        <v>-65.89</v>
      </c>
      <c r="E42" s="381">
        <v>0</v>
      </c>
      <c r="F42" s="379">
        <v>0</v>
      </c>
      <c r="G42" s="379">
        <v>0</v>
      </c>
      <c r="H42" s="382"/>
      <c r="I42" s="382"/>
      <c r="J42" s="382"/>
      <c r="K42" s="382"/>
      <c r="L42" s="382"/>
      <c r="M42" s="382"/>
      <c r="N42" s="382"/>
      <c r="O42" s="382"/>
      <c r="P42" s="382"/>
      <c r="Q42" s="382"/>
      <c r="R42" s="382"/>
      <c r="S42" s="382"/>
      <c r="T42" s="382"/>
      <c r="U42" s="382"/>
      <c r="V42" s="382"/>
      <c r="W42" s="382"/>
      <c r="X42" s="382"/>
      <c r="Y42" s="382"/>
      <c r="Z42" s="382"/>
      <c r="AA42" s="382"/>
      <c r="AB42" s="382"/>
      <c r="AC42" s="382"/>
      <c r="AD42" s="382"/>
      <c r="AE42" s="382"/>
      <c r="AF42" s="382"/>
      <c r="AG42" s="382"/>
      <c r="AH42" s="382"/>
      <c r="AI42" s="382"/>
      <c r="AJ42" s="382"/>
      <c r="AK42" s="382"/>
      <c r="AL42" s="382"/>
      <c r="AM42" s="382"/>
      <c r="AN42" s="382"/>
      <c r="AO42" s="382"/>
      <c r="AP42" s="382"/>
      <c r="AQ42" s="382"/>
      <c r="AR42" s="382"/>
      <c r="AS42" s="382"/>
      <c r="AT42" s="382"/>
      <c r="AU42" s="382"/>
      <c r="AV42" s="382"/>
      <c r="AW42" s="382"/>
      <c r="AX42" s="382"/>
      <c r="AY42" s="382"/>
    </row>
    <row r="43" spans="1:51" ht="12.75" customHeight="1" collapsed="1">
      <c r="A43" s="392" t="s">
        <v>539</v>
      </c>
      <c r="B43" s="408" t="s">
        <v>540</v>
      </c>
      <c r="C43" s="409"/>
      <c r="D43" s="411">
        <v>173245.67</v>
      </c>
      <c r="E43" s="411">
        <v>79764.5</v>
      </c>
      <c r="F43" s="411">
        <v>409628.76</v>
      </c>
      <c r="G43" s="411">
        <v>5114.03</v>
      </c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  <c r="S43" s="392"/>
      <c r="T43" s="392"/>
      <c r="U43" s="392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392"/>
      <c r="AG43" s="392"/>
      <c r="AH43" s="392"/>
      <c r="AI43" s="392"/>
      <c r="AJ43" s="392"/>
      <c r="AK43" s="392"/>
      <c r="AL43" s="392"/>
      <c r="AM43" s="392"/>
      <c r="AN43" s="392"/>
      <c r="AO43" s="392"/>
      <c r="AP43" s="392"/>
      <c r="AQ43" s="392"/>
      <c r="AR43" s="392"/>
      <c r="AS43" s="392"/>
      <c r="AT43" s="392"/>
      <c r="AU43" s="392"/>
      <c r="AV43" s="392"/>
      <c r="AW43" s="392"/>
      <c r="AX43" s="392"/>
      <c r="AY43" s="392"/>
    </row>
    <row r="44" spans="2:51" s="412" customFormat="1" ht="12.75" customHeight="1">
      <c r="B44" s="405" t="s">
        <v>541</v>
      </c>
      <c r="C44" s="406"/>
      <c r="D44" s="413">
        <f>D24+D37+D43</f>
        <v>3188003.03</v>
      </c>
      <c r="E44" s="413">
        <f>E24+E37+E43</f>
        <v>7243795.58</v>
      </c>
      <c r="F44" s="413">
        <f>F24+F37+F43</f>
        <v>1219411.36</v>
      </c>
      <c r="G44" s="413">
        <f>G24+G37+G43</f>
        <v>2704571.57</v>
      </c>
      <c r="H44" s="392"/>
      <c r="I44" s="392"/>
      <c r="J44" s="392"/>
      <c r="K44" s="392"/>
      <c r="L44" s="392"/>
      <c r="M44" s="392"/>
      <c r="N44" s="392"/>
      <c r="O44" s="392"/>
      <c r="P44" s="392"/>
      <c r="Q44" s="392"/>
      <c r="R44" s="392"/>
      <c r="S44" s="392"/>
      <c r="T44" s="392"/>
      <c r="U44" s="392"/>
      <c r="V44" s="392"/>
      <c r="W44" s="392"/>
      <c r="X44" s="392"/>
      <c r="Y44" s="392"/>
      <c r="Z44" s="392"/>
      <c r="AA44" s="392"/>
      <c r="AB44" s="392"/>
      <c r="AC44" s="392"/>
      <c r="AD44" s="392"/>
      <c r="AE44" s="392"/>
      <c r="AF44" s="392"/>
      <c r="AG44" s="392"/>
      <c r="AH44" s="392"/>
      <c r="AI44" s="392"/>
      <c r="AJ44" s="392"/>
      <c r="AK44" s="392"/>
      <c r="AL44" s="392"/>
      <c r="AM44" s="392"/>
      <c r="AN44" s="392"/>
      <c r="AO44" s="392"/>
      <c r="AP44" s="392"/>
      <c r="AQ44" s="392"/>
      <c r="AR44" s="392"/>
      <c r="AS44" s="392"/>
      <c r="AT44" s="392"/>
      <c r="AU44" s="392"/>
      <c r="AV44" s="392"/>
      <c r="AW44" s="392"/>
      <c r="AX44" s="392"/>
      <c r="AY44" s="392"/>
    </row>
    <row r="45" spans="2:51" ht="12.75" customHeight="1">
      <c r="B45" s="408"/>
      <c r="C45" s="409"/>
      <c r="D45" s="411"/>
      <c r="E45" s="411"/>
      <c r="F45" s="411"/>
      <c r="G45" s="411"/>
      <c r="H45" s="392"/>
      <c r="I45" s="392"/>
      <c r="J45" s="392"/>
      <c r="K45" s="392"/>
      <c r="L45" s="392"/>
      <c r="M45" s="392"/>
      <c r="N45" s="392"/>
      <c r="O45" s="392"/>
      <c r="P45" s="392"/>
      <c r="Q45" s="392"/>
      <c r="R45" s="392"/>
      <c r="S45" s="392"/>
      <c r="T45" s="392"/>
      <c r="U45" s="392"/>
      <c r="V45" s="392"/>
      <c r="W45" s="392"/>
      <c r="X45" s="392"/>
      <c r="Y45" s="392"/>
      <c r="Z45" s="392"/>
      <c r="AA45" s="392"/>
      <c r="AB45" s="392"/>
      <c r="AC45" s="392"/>
      <c r="AD45" s="392"/>
      <c r="AE45" s="392"/>
      <c r="AF45" s="392"/>
      <c r="AG45" s="392"/>
      <c r="AH45" s="392"/>
      <c r="AI45" s="392"/>
      <c r="AJ45" s="392"/>
      <c r="AK45" s="392"/>
      <c r="AL45" s="392"/>
      <c r="AM45" s="392"/>
      <c r="AN45" s="392"/>
      <c r="AO45" s="392"/>
      <c r="AP45" s="392"/>
      <c r="AQ45" s="392"/>
      <c r="AR45" s="392"/>
      <c r="AS45" s="392"/>
      <c r="AT45" s="392"/>
      <c r="AU45" s="392"/>
      <c r="AV45" s="392"/>
      <c r="AW45" s="392"/>
      <c r="AX45" s="392"/>
      <c r="AY45" s="392"/>
    </row>
    <row r="46" spans="2:51" ht="12.75" customHeight="1">
      <c r="B46" s="414" t="s">
        <v>1590</v>
      </c>
      <c r="C46" s="415"/>
      <c r="D46" s="411"/>
      <c r="E46" s="411"/>
      <c r="F46" s="411"/>
      <c r="G46" s="411"/>
      <c r="H46" s="392"/>
      <c r="I46" s="392"/>
      <c r="J46" s="392"/>
      <c r="K46" s="392"/>
      <c r="L46" s="392"/>
      <c r="M46" s="392"/>
      <c r="N46" s="392"/>
      <c r="O46" s="392"/>
      <c r="P46" s="392"/>
      <c r="Q46" s="392"/>
      <c r="R46" s="392"/>
      <c r="S46" s="392"/>
      <c r="T46" s="392"/>
      <c r="U46" s="392"/>
      <c r="V46" s="392"/>
      <c r="W46" s="392"/>
      <c r="X46" s="392"/>
      <c r="Y46" s="392"/>
      <c r="Z46" s="392"/>
      <c r="AA46" s="392"/>
      <c r="AB46" s="392"/>
      <c r="AC46" s="392"/>
      <c r="AD46" s="392"/>
      <c r="AE46" s="392"/>
      <c r="AF46" s="392"/>
      <c r="AG46" s="392"/>
      <c r="AH46" s="392"/>
      <c r="AI46" s="392"/>
      <c r="AJ46" s="392"/>
      <c r="AK46" s="392"/>
      <c r="AL46" s="392"/>
      <c r="AM46" s="392"/>
      <c r="AN46" s="392"/>
      <c r="AO46" s="392"/>
      <c r="AP46" s="392"/>
      <c r="AQ46" s="392"/>
      <c r="AR46" s="392"/>
      <c r="AS46" s="392"/>
      <c r="AT46" s="392"/>
      <c r="AU46" s="392"/>
      <c r="AV46" s="392"/>
      <c r="AW46" s="392"/>
      <c r="AX46" s="392"/>
      <c r="AY46" s="392"/>
    </row>
    <row r="47" spans="1:51" s="379" customFormat="1" ht="38.25" hidden="1" outlineLevel="1">
      <c r="A47" s="379" t="s">
        <v>1597</v>
      </c>
      <c r="B47" s="379" t="s">
        <v>1598</v>
      </c>
      <c r="C47" s="380" t="s">
        <v>1599</v>
      </c>
      <c r="D47" s="381">
        <v>0</v>
      </c>
      <c r="E47" s="381">
        <v>11414.96</v>
      </c>
      <c r="F47" s="379">
        <v>522541.33</v>
      </c>
      <c r="G47" s="379">
        <v>0</v>
      </c>
      <c r="H47" s="382"/>
      <c r="I47" s="382"/>
      <c r="J47" s="382"/>
      <c r="K47" s="382"/>
      <c r="L47" s="382"/>
      <c r="M47" s="382"/>
      <c r="N47" s="382"/>
      <c r="O47" s="382"/>
      <c r="P47" s="382"/>
      <c r="Q47" s="382"/>
      <c r="R47" s="382"/>
      <c r="S47" s="382"/>
      <c r="T47" s="382"/>
      <c r="U47" s="382"/>
      <c r="V47" s="382"/>
      <c r="W47" s="382"/>
      <c r="X47" s="382"/>
      <c r="Y47" s="382"/>
      <c r="Z47" s="382"/>
      <c r="AA47" s="382"/>
      <c r="AB47" s="382"/>
      <c r="AC47" s="382"/>
      <c r="AD47" s="382"/>
      <c r="AE47" s="382"/>
      <c r="AF47" s="382"/>
      <c r="AG47" s="382"/>
      <c r="AH47" s="382"/>
      <c r="AI47" s="382"/>
      <c r="AJ47" s="382"/>
      <c r="AK47" s="382"/>
      <c r="AL47" s="382"/>
      <c r="AM47" s="382"/>
      <c r="AN47" s="382"/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</row>
    <row r="48" spans="1:51" s="379" customFormat="1" ht="38.25" hidden="1" outlineLevel="1">
      <c r="A48" s="379" t="s">
        <v>1600</v>
      </c>
      <c r="B48" s="379" t="s">
        <v>1601</v>
      </c>
      <c r="C48" s="380" t="s">
        <v>1602</v>
      </c>
      <c r="D48" s="381">
        <v>0</v>
      </c>
      <c r="E48" s="381">
        <v>0</v>
      </c>
      <c r="F48" s="379">
        <v>61927.98</v>
      </c>
      <c r="G48" s="379">
        <v>0</v>
      </c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</row>
    <row r="49" spans="1:51" s="379" customFormat="1" ht="38.25" hidden="1" outlineLevel="1">
      <c r="A49" s="379" t="s">
        <v>1603</v>
      </c>
      <c r="B49" s="379" t="s">
        <v>1604</v>
      </c>
      <c r="C49" s="380" t="s">
        <v>1605</v>
      </c>
      <c r="D49" s="381">
        <v>86190.52</v>
      </c>
      <c r="E49" s="381">
        <v>290215.01</v>
      </c>
      <c r="F49" s="379">
        <v>268232.46</v>
      </c>
      <c r="G49" s="379">
        <v>77155.52</v>
      </c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382"/>
      <c r="Y49" s="382"/>
      <c r="Z49" s="382"/>
      <c r="AA49" s="382"/>
      <c r="AB49" s="382"/>
      <c r="AC49" s="382"/>
      <c r="AD49" s="382"/>
      <c r="AE49" s="382"/>
      <c r="AF49" s="382"/>
      <c r="AG49" s="382"/>
      <c r="AH49" s="382"/>
      <c r="AI49" s="382"/>
      <c r="AJ49" s="382"/>
      <c r="AK49" s="382"/>
      <c r="AL49" s="382"/>
      <c r="AM49" s="382"/>
      <c r="AN49" s="382"/>
      <c r="AO49" s="382"/>
      <c r="AP49" s="382"/>
      <c r="AQ49" s="382"/>
      <c r="AR49" s="382"/>
      <c r="AS49" s="382"/>
      <c r="AT49" s="382"/>
      <c r="AU49" s="382"/>
      <c r="AV49" s="382"/>
      <c r="AW49" s="382"/>
      <c r="AX49" s="382"/>
      <c r="AY49" s="382"/>
    </row>
    <row r="50" spans="1:51" s="379" customFormat="1" ht="38.25" hidden="1" outlineLevel="1">
      <c r="A50" s="379" t="s">
        <v>1606</v>
      </c>
      <c r="B50" s="379" t="s">
        <v>1607</v>
      </c>
      <c r="C50" s="380" t="s">
        <v>1608</v>
      </c>
      <c r="D50" s="381">
        <v>17583.769</v>
      </c>
      <c r="E50" s="381">
        <v>91613.98</v>
      </c>
      <c r="F50" s="379">
        <v>215524.68</v>
      </c>
      <c r="G50" s="379">
        <v>2635.895</v>
      </c>
      <c r="H50" s="382"/>
      <c r="I50" s="382"/>
      <c r="J50" s="382"/>
      <c r="K50" s="382"/>
      <c r="L50" s="382"/>
      <c r="M50" s="382"/>
      <c r="N50" s="382"/>
      <c r="O50" s="382"/>
      <c r="P50" s="382"/>
      <c r="Q50" s="382"/>
      <c r="R50" s="382"/>
      <c r="S50" s="382"/>
      <c r="T50" s="382"/>
      <c r="U50" s="382"/>
      <c r="V50" s="382"/>
      <c r="W50" s="382"/>
      <c r="X50" s="382"/>
      <c r="Y50" s="382"/>
      <c r="Z50" s="382"/>
      <c r="AA50" s="382"/>
      <c r="AB50" s="382"/>
      <c r="AC50" s="382"/>
      <c r="AD50" s="382"/>
      <c r="AE50" s="382"/>
      <c r="AF50" s="382"/>
      <c r="AG50" s="382"/>
      <c r="AH50" s="382"/>
      <c r="AI50" s="382"/>
      <c r="AJ50" s="382"/>
      <c r="AK50" s="382"/>
      <c r="AL50" s="382"/>
      <c r="AM50" s="382"/>
      <c r="AN50" s="382"/>
      <c r="AO50" s="382"/>
      <c r="AP50" s="382"/>
      <c r="AQ50" s="382"/>
      <c r="AR50" s="382"/>
      <c r="AS50" s="382"/>
      <c r="AT50" s="382"/>
      <c r="AU50" s="382"/>
      <c r="AV50" s="382"/>
      <c r="AW50" s="382"/>
      <c r="AX50" s="382"/>
      <c r="AY50" s="382"/>
    </row>
    <row r="51" spans="1:51" s="379" customFormat="1" ht="38.25" hidden="1" outlineLevel="1">
      <c r="A51" s="379" t="s">
        <v>1609</v>
      </c>
      <c r="B51" s="379" t="s">
        <v>1610</v>
      </c>
      <c r="C51" s="380" t="s">
        <v>1611</v>
      </c>
      <c r="D51" s="381">
        <v>17819.315000000002</v>
      </c>
      <c r="E51" s="381">
        <v>6263.57</v>
      </c>
      <c r="F51" s="379">
        <v>0</v>
      </c>
      <c r="G51" s="379">
        <v>0</v>
      </c>
      <c r="H51" s="382"/>
      <c r="I51" s="382"/>
      <c r="J51" s="382"/>
      <c r="K51" s="382"/>
      <c r="L51" s="382"/>
      <c r="M51" s="382"/>
      <c r="N51" s="382"/>
      <c r="O51" s="382"/>
      <c r="P51" s="382"/>
      <c r="Q51" s="382"/>
      <c r="R51" s="382"/>
      <c r="S51" s="382"/>
      <c r="T51" s="382"/>
      <c r="U51" s="382"/>
      <c r="V51" s="382"/>
      <c r="W51" s="382"/>
      <c r="X51" s="382"/>
      <c r="Y51" s="382"/>
      <c r="Z51" s="382"/>
      <c r="AA51" s="382"/>
      <c r="AB51" s="382"/>
      <c r="AC51" s="382"/>
      <c r="AD51" s="382"/>
      <c r="AE51" s="382"/>
      <c r="AF51" s="382"/>
      <c r="AG51" s="382"/>
      <c r="AH51" s="382"/>
      <c r="AI51" s="382"/>
      <c r="AJ51" s="382"/>
      <c r="AK51" s="382"/>
      <c r="AL51" s="382"/>
      <c r="AM51" s="382"/>
      <c r="AN51" s="382"/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</row>
    <row r="52" spans="1:51" s="379" customFormat="1" ht="38.25" hidden="1" outlineLevel="1">
      <c r="A52" s="379" t="s">
        <v>1612</v>
      </c>
      <c r="B52" s="379" t="s">
        <v>1613</v>
      </c>
      <c r="C52" s="380" t="s">
        <v>1614</v>
      </c>
      <c r="D52" s="381">
        <v>68946.602</v>
      </c>
      <c r="E52" s="381">
        <v>158359.146</v>
      </c>
      <c r="F52" s="379">
        <v>55426.354</v>
      </c>
      <c r="G52" s="379">
        <v>50498.969</v>
      </c>
      <c r="H52" s="382"/>
      <c r="I52" s="382"/>
      <c r="J52" s="382"/>
      <c r="K52" s="382"/>
      <c r="L52" s="382"/>
      <c r="M52" s="382"/>
      <c r="N52" s="382"/>
      <c r="O52" s="382"/>
      <c r="P52" s="382"/>
      <c r="Q52" s="382"/>
      <c r="R52" s="382"/>
      <c r="S52" s="382"/>
      <c r="T52" s="382"/>
      <c r="U52" s="382"/>
      <c r="V52" s="382"/>
      <c r="W52" s="382"/>
      <c r="X52" s="382"/>
      <c r="Y52" s="382"/>
      <c r="Z52" s="382"/>
      <c r="AA52" s="382"/>
      <c r="AB52" s="382"/>
      <c r="AC52" s="382"/>
      <c r="AD52" s="382"/>
      <c r="AE52" s="382"/>
      <c r="AF52" s="382"/>
      <c r="AG52" s="382"/>
      <c r="AH52" s="382"/>
      <c r="AI52" s="382"/>
      <c r="AJ52" s="382"/>
      <c r="AK52" s="382"/>
      <c r="AL52" s="382"/>
      <c r="AM52" s="382"/>
      <c r="AN52" s="382"/>
      <c r="AO52" s="382"/>
      <c r="AP52" s="382"/>
      <c r="AQ52" s="382"/>
      <c r="AR52" s="382"/>
      <c r="AS52" s="382"/>
      <c r="AT52" s="382"/>
      <c r="AU52" s="382"/>
      <c r="AV52" s="382"/>
      <c r="AW52" s="382"/>
      <c r="AX52" s="382"/>
      <c r="AY52" s="382"/>
    </row>
    <row r="53" spans="1:51" s="379" customFormat="1" ht="38.25" hidden="1" outlineLevel="1">
      <c r="A53" s="379" t="s">
        <v>1615</v>
      </c>
      <c r="B53" s="379" t="s">
        <v>1616</v>
      </c>
      <c r="C53" s="380" t="s">
        <v>1617</v>
      </c>
      <c r="D53" s="381">
        <v>0</v>
      </c>
      <c r="E53" s="381">
        <v>134065.401</v>
      </c>
      <c r="F53" s="379">
        <v>0</v>
      </c>
      <c r="G53" s="379">
        <v>0</v>
      </c>
      <c r="H53" s="382"/>
      <c r="I53" s="382"/>
      <c r="J53" s="382"/>
      <c r="K53" s="382"/>
      <c r="L53" s="382"/>
      <c r="M53" s="382"/>
      <c r="N53" s="382"/>
      <c r="O53" s="382"/>
      <c r="P53" s="382"/>
      <c r="Q53" s="382"/>
      <c r="R53" s="382"/>
      <c r="S53" s="382"/>
      <c r="T53" s="382"/>
      <c r="U53" s="382"/>
      <c r="V53" s="382"/>
      <c r="W53" s="382"/>
      <c r="X53" s="382"/>
      <c r="Y53" s="382"/>
      <c r="Z53" s="382"/>
      <c r="AA53" s="382"/>
      <c r="AB53" s="382"/>
      <c r="AC53" s="382"/>
      <c r="AD53" s="382"/>
      <c r="AE53" s="382"/>
      <c r="AF53" s="382"/>
      <c r="AG53" s="382"/>
      <c r="AH53" s="382"/>
      <c r="AI53" s="382"/>
      <c r="AJ53" s="382"/>
      <c r="AK53" s="382"/>
      <c r="AL53" s="382"/>
      <c r="AM53" s="382"/>
      <c r="AN53" s="382"/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</row>
    <row r="54" spans="1:51" s="379" customFormat="1" ht="38.25" hidden="1" outlineLevel="1">
      <c r="A54" s="379" t="s">
        <v>1618</v>
      </c>
      <c r="B54" s="379" t="s">
        <v>1619</v>
      </c>
      <c r="C54" s="380" t="s">
        <v>1620</v>
      </c>
      <c r="D54" s="381">
        <v>5456.081</v>
      </c>
      <c r="E54" s="381">
        <v>227214.589</v>
      </c>
      <c r="F54" s="379">
        <v>8572</v>
      </c>
      <c r="G54" s="379">
        <v>158821.781</v>
      </c>
      <c r="H54" s="382"/>
      <c r="I54" s="382"/>
      <c r="J54" s="382"/>
      <c r="K54" s="382"/>
      <c r="L54" s="382"/>
      <c r="M54" s="382"/>
      <c r="N54" s="382"/>
      <c r="O54" s="382"/>
      <c r="P54" s="382"/>
      <c r="Q54" s="382"/>
      <c r="R54" s="382"/>
      <c r="S54" s="382"/>
      <c r="T54" s="382"/>
      <c r="U54" s="382"/>
      <c r="V54" s="382"/>
      <c r="W54" s="382"/>
      <c r="X54" s="382"/>
      <c r="Y54" s="382"/>
      <c r="Z54" s="382"/>
      <c r="AA54" s="382"/>
      <c r="AB54" s="382"/>
      <c r="AC54" s="382"/>
      <c r="AD54" s="382"/>
      <c r="AE54" s="382"/>
      <c r="AF54" s="382"/>
      <c r="AG54" s="382"/>
      <c r="AH54" s="382"/>
      <c r="AI54" s="382"/>
      <c r="AJ54" s="382"/>
      <c r="AK54" s="382"/>
      <c r="AL54" s="382"/>
      <c r="AM54" s="382"/>
      <c r="AN54" s="382"/>
      <c r="AO54" s="382"/>
      <c r="AP54" s="382"/>
      <c r="AQ54" s="382"/>
      <c r="AR54" s="382"/>
      <c r="AS54" s="382"/>
      <c r="AT54" s="382"/>
      <c r="AU54" s="382"/>
      <c r="AV54" s="382"/>
      <c r="AW54" s="382"/>
      <c r="AX54" s="382"/>
      <c r="AY54" s="382"/>
    </row>
    <row r="55" spans="1:51" s="379" customFormat="1" ht="38.25" hidden="1" outlineLevel="1">
      <c r="A55" s="379" t="s">
        <v>1621</v>
      </c>
      <c r="B55" s="379" t="s">
        <v>1622</v>
      </c>
      <c r="C55" s="380" t="s">
        <v>1623</v>
      </c>
      <c r="D55" s="381">
        <v>55399.637</v>
      </c>
      <c r="E55" s="381">
        <v>51745.855</v>
      </c>
      <c r="F55" s="379">
        <v>-371.516</v>
      </c>
      <c r="G55" s="379">
        <v>0</v>
      </c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382"/>
      <c r="AI55" s="382"/>
      <c r="AJ55" s="382"/>
      <c r="AK55" s="382"/>
      <c r="AL55" s="382"/>
      <c r="AM55" s="382"/>
      <c r="AN55" s="382"/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</row>
    <row r="56" spans="1:51" s="379" customFormat="1" ht="38.25" hidden="1" outlineLevel="1">
      <c r="A56" s="379" t="s">
        <v>1627</v>
      </c>
      <c r="B56" s="379" t="s">
        <v>1628</v>
      </c>
      <c r="C56" s="380" t="s">
        <v>1629</v>
      </c>
      <c r="D56" s="381">
        <v>-36858.98</v>
      </c>
      <c r="E56" s="381">
        <v>-12549.25</v>
      </c>
      <c r="F56" s="379">
        <v>-9266.8</v>
      </c>
      <c r="G56" s="379">
        <v>5657.03</v>
      </c>
      <c r="H56" s="382"/>
      <c r="I56" s="382"/>
      <c r="J56" s="382"/>
      <c r="K56" s="382"/>
      <c r="L56" s="382"/>
      <c r="M56" s="382"/>
      <c r="N56" s="382"/>
      <c r="O56" s="382"/>
      <c r="P56" s="382"/>
      <c r="Q56" s="382"/>
      <c r="R56" s="382"/>
      <c r="S56" s="382"/>
      <c r="T56" s="382"/>
      <c r="U56" s="382"/>
      <c r="V56" s="382"/>
      <c r="W56" s="382"/>
      <c r="X56" s="382"/>
      <c r="Y56" s="382"/>
      <c r="Z56" s="382"/>
      <c r="AA56" s="382"/>
      <c r="AB56" s="382"/>
      <c r="AC56" s="382"/>
      <c r="AD56" s="382"/>
      <c r="AE56" s="382"/>
      <c r="AF56" s="382"/>
      <c r="AG56" s="382"/>
      <c r="AH56" s="382"/>
      <c r="AI56" s="382"/>
      <c r="AJ56" s="382"/>
      <c r="AK56" s="382"/>
      <c r="AL56" s="382"/>
      <c r="AM56" s="382"/>
      <c r="AN56" s="382"/>
      <c r="AO56" s="382"/>
      <c r="AP56" s="382"/>
      <c r="AQ56" s="382"/>
      <c r="AR56" s="382"/>
      <c r="AS56" s="382"/>
      <c r="AT56" s="382"/>
      <c r="AU56" s="382"/>
      <c r="AV56" s="382"/>
      <c r="AW56" s="382"/>
      <c r="AX56" s="382"/>
      <c r="AY56" s="382"/>
    </row>
    <row r="57" spans="1:51" s="379" customFormat="1" ht="38.25" hidden="1" outlineLevel="1">
      <c r="A57" s="379" t="s">
        <v>196</v>
      </c>
      <c r="B57" s="379" t="s">
        <v>197</v>
      </c>
      <c r="C57" s="380" t="s">
        <v>198</v>
      </c>
      <c r="D57" s="381">
        <v>0</v>
      </c>
      <c r="E57" s="381">
        <v>2516</v>
      </c>
      <c r="F57" s="379">
        <v>0</v>
      </c>
      <c r="G57" s="379">
        <v>0</v>
      </c>
      <c r="H57" s="382"/>
      <c r="I57" s="382"/>
      <c r="J57" s="382"/>
      <c r="K57" s="382"/>
      <c r="L57" s="382"/>
      <c r="M57" s="382"/>
      <c r="N57" s="382"/>
      <c r="O57" s="382"/>
      <c r="P57" s="382"/>
      <c r="Q57" s="382"/>
      <c r="R57" s="382"/>
      <c r="S57" s="382"/>
      <c r="T57" s="382"/>
      <c r="U57" s="382"/>
      <c r="V57" s="382"/>
      <c r="W57" s="382"/>
      <c r="X57" s="382"/>
      <c r="Y57" s="382"/>
      <c r="Z57" s="382"/>
      <c r="AA57" s="382"/>
      <c r="AB57" s="382"/>
      <c r="AC57" s="382"/>
      <c r="AD57" s="382"/>
      <c r="AE57" s="382"/>
      <c r="AF57" s="382"/>
      <c r="AG57" s="382"/>
      <c r="AH57" s="382"/>
      <c r="AI57" s="382"/>
      <c r="AJ57" s="382"/>
      <c r="AK57" s="382"/>
      <c r="AL57" s="382"/>
      <c r="AM57" s="382"/>
      <c r="AN57" s="382"/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</row>
    <row r="58" spans="1:51" ht="12.75" customHeight="1" collapsed="1">
      <c r="A58" s="392" t="s">
        <v>1633</v>
      </c>
      <c r="B58" s="408" t="s">
        <v>542</v>
      </c>
      <c r="C58" s="409"/>
      <c r="D58" s="411">
        <v>214536.944</v>
      </c>
      <c r="E58" s="411">
        <v>960859.261</v>
      </c>
      <c r="F58" s="411">
        <v>1122586.488</v>
      </c>
      <c r="G58" s="411">
        <v>294769.195</v>
      </c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</row>
    <row r="59" spans="1:51" s="379" customFormat="1" ht="38.25" hidden="1" outlineLevel="1">
      <c r="A59" s="379" t="s">
        <v>1640</v>
      </c>
      <c r="B59" s="379" t="s">
        <v>1641</v>
      </c>
      <c r="C59" s="380" t="s">
        <v>1642</v>
      </c>
      <c r="D59" s="381">
        <v>0</v>
      </c>
      <c r="E59" s="381">
        <v>815.88</v>
      </c>
      <c r="F59" s="379">
        <v>141569.79</v>
      </c>
      <c r="G59" s="379">
        <v>0</v>
      </c>
      <c r="H59" s="382"/>
      <c r="I59" s="382"/>
      <c r="J59" s="382"/>
      <c r="K59" s="382"/>
      <c r="L59" s="382"/>
      <c r="M59" s="382"/>
      <c r="N59" s="382"/>
      <c r="O59" s="382"/>
      <c r="P59" s="382"/>
      <c r="Q59" s="382"/>
      <c r="R59" s="382"/>
      <c r="S59" s="382"/>
      <c r="T59" s="382"/>
      <c r="U59" s="382"/>
      <c r="V59" s="382"/>
      <c r="W59" s="382"/>
      <c r="X59" s="382"/>
      <c r="Y59" s="382"/>
      <c r="Z59" s="382"/>
      <c r="AA59" s="382"/>
      <c r="AB59" s="382"/>
      <c r="AC59" s="382"/>
      <c r="AD59" s="382"/>
      <c r="AE59" s="382"/>
      <c r="AF59" s="382"/>
      <c r="AG59" s="382"/>
      <c r="AH59" s="382"/>
      <c r="AI59" s="382"/>
      <c r="AJ59" s="382"/>
      <c r="AK59" s="382"/>
      <c r="AL59" s="382"/>
      <c r="AM59" s="382"/>
      <c r="AN59" s="382"/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</row>
    <row r="60" spans="1:51" s="379" customFormat="1" ht="38.25" hidden="1" outlineLevel="1">
      <c r="A60" s="379" t="s">
        <v>1643</v>
      </c>
      <c r="B60" s="379" t="s">
        <v>1644</v>
      </c>
      <c r="C60" s="380" t="s">
        <v>1645</v>
      </c>
      <c r="D60" s="381">
        <v>0</v>
      </c>
      <c r="E60" s="381">
        <v>0</v>
      </c>
      <c r="F60" s="379">
        <v>87.76</v>
      </c>
      <c r="G60" s="379">
        <v>0</v>
      </c>
      <c r="H60" s="382"/>
      <c r="I60" s="382"/>
      <c r="J60" s="382"/>
      <c r="K60" s="382"/>
      <c r="L60" s="382"/>
      <c r="M60" s="382"/>
      <c r="N60" s="382"/>
      <c r="O60" s="382"/>
      <c r="P60" s="382"/>
      <c r="Q60" s="382"/>
      <c r="R60" s="382"/>
      <c r="S60" s="382"/>
      <c r="T60" s="382"/>
      <c r="U60" s="382"/>
      <c r="V60" s="382"/>
      <c r="W60" s="382"/>
      <c r="X60" s="382"/>
      <c r="Y60" s="382"/>
      <c r="Z60" s="382"/>
      <c r="AA60" s="382"/>
      <c r="AB60" s="382"/>
      <c r="AC60" s="382"/>
      <c r="AD60" s="382"/>
      <c r="AE60" s="382"/>
      <c r="AF60" s="382"/>
      <c r="AG60" s="382"/>
      <c r="AH60" s="382"/>
      <c r="AI60" s="382"/>
      <c r="AJ60" s="382"/>
      <c r="AK60" s="382"/>
      <c r="AL60" s="382"/>
      <c r="AM60" s="382"/>
      <c r="AN60" s="382"/>
      <c r="AO60" s="382"/>
      <c r="AP60" s="382"/>
      <c r="AQ60" s="382"/>
      <c r="AR60" s="382"/>
      <c r="AS60" s="382"/>
      <c r="AT60" s="382"/>
      <c r="AU60" s="382"/>
      <c r="AV60" s="382"/>
      <c r="AW60" s="382"/>
      <c r="AX60" s="382"/>
      <c r="AY60" s="382"/>
    </row>
    <row r="61" spans="1:51" s="379" customFormat="1" ht="38.25" hidden="1" outlineLevel="1">
      <c r="A61" s="379" t="s">
        <v>1646</v>
      </c>
      <c r="B61" s="379" t="s">
        <v>1647</v>
      </c>
      <c r="C61" s="380" t="s">
        <v>1648</v>
      </c>
      <c r="D61" s="381">
        <v>25048.57</v>
      </c>
      <c r="E61" s="381">
        <v>100211.69</v>
      </c>
      <c r="F61" s="379">
        <v>77716.2</v>
      </c>
      <c r="G61" s="379">
        <v>22289.14</v>
      </c>
      <c r="H61" s="382"/>
      <c r="I61" s="382"/>
      <c r="J61" s="382"/>
      <c r="K61" s="382"/>
      <c r="L61" s="382"/>
      <c r="M61" s="382"/>
      <c r="N61" s="382"/>
      <c r="O61" s="382"/>
      <c r="P61" s="382"/>
      <c r="Q61" s="382"/>
      <c r="R61" s="382"/>
      <c r="S61" s="382"/>
      <c r="T61" s="382"/>
      <c r="U61" s="382"/>
      <c r="V61" s="382"/>
      <c r="W61" s="382"/>
      <c r="X61" s="382"/>
      <c r="Y61" s="382"/>
      <c r="Z61" s="382"/>
      <c r="AA61" s="382"/>
      <c r="AB61" s="382"/>
      <c r="AC61" s="382"/>
      <c r="AD61" s="382"/>
      <c r="AE61" s="382"/>
      <c r="AF61" s="382"/>
      <c r="AG61" s="382"/>
      <c r="AH61" s="382"/>
      <c r="AI61" s="382"/>
      <c r="AJ61" s="382"/>
      <c r="AK61" s="382"/>
      <c r="AL61" s="382"/>
      <c r="AM61" s="382"/>
      <c r="AN61" s="382"/>
      <c r="AO61" s="382"/>
      <c r="AP61" s="382"/>
      <c r="AQ61" s="382"/>
      <c r="AR61" s="382"/>
      <c r="AS61" s="382"/>
      <c r="AT61" s="382"/>
      <c r="AU61" s="382"/>
      <c r="AV61" s="382"/>
      <c r="AW61" s="382"/>
      <c r="AX61" s="382"/>
      <c r="AY61" s="382"/>
    </row>
    <row r="62" spans="1:51" s="379" customFormat="1" ht="38.25" hidden="1" outlineLevel="1">
      <c r="A62" s="379" t="s">
        <v>1649</v>
      </c>
      <c r="B62" s="379" t="s">
        <v>1650</v>
      </c>
      <c r="C62" s="380" t="s">
        <v>1651</v>
      </c>
      <c r="D62" s="381">
        <v>4306.072</v>
      </c>
      <c r="E62" s="381">
        <v>20059.82</v>
      </c>
      <c r="F62" s="379">
        <v>60875.45</v>
      </c>
      <c r="G62" s="379">
        <v>201.631</v>
      </c>
      <c r="H62" s="382"/>
      <c r="I62" s="382"/>
      <c r="J62" s="382"/>
      <c r="K62" s="382"/>
      <c r="L62" s="382"/>
      <c r="M62" s="382"/>
      <c r="N62" s="382"/>
      <c r="O62" s="382"/>
      <c r="P62" s="382"/>
      <c r="Q62" s="382"/>
      <c r="R62" s="382"/>
      <c r="S62" s="382"/>
      <c r="T62" s="382"/>
      <c r="U62" s="382"/>
      <c r="V62" s="382"/>
      <c r="W62" s="382"/>
      <c r="X62" s="382"/>
      <c r="Y62" s="382"/>
      <c r="Z62" s="382"/>
      <c r="AA62" s="382"/>
      <c r="AB62" s="382"/>
      <c r="AC62" s="382"/>
      <c r="AD62" s="382"/>
      <c r="AE62" s="382"/>
      <c r="AF62" s="382"/>
      <c r="AG62" s="382"/>
      <c r="AH62" s="382"/>
      <c r="AI62" s="382"/>
      <c r="AJ62" s="382"/>
      <c r="AK62" s="382"/>
      <c r="AL62" s="382"/>
      <c r="AM62" s="382"/>
      <c r="AN62" s="382"/>
      <c r="AO62" s="382"/>
      <c r="AP62" s="382"/>
      <c r="AQ62" s="382"/>
      <c r="AR62" s="382"/>
      <c r="AS62" s="382"/>
      <c r="AT62" s="382"/>
      <c r="AU62" s="382"/>
      <c r="AV62" s="382"/>
      <c r="AW62" s="382"/>
      <c r="AX62" s="382"/>
      <c r="AY62" s="382"/>
    </row>
    <row r="63" spans="1:51" s="379" customFormat="1" ht="38.25" hidden="1" outlineLevel="1">
      <c r="A63" s="379" t="s">
        <v>1652</v>
      </c>
      <c r="B63" s="379" t="s">
        <v>1653</v>
      </c>
      <c r="C63" s="380" t="s">
        <v>1654</v>
      </c>
      <c r="D63" s="381">
        <v>5029.9220000000005</v>
      </c>
      <c r="E63" s="381">
        <v>0</v>
      </c>
      <c r="F63" s="379">
        <v>0</v>
      </c>
      <c r="G63" s="379">
        <v>0</v>
      </c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82"/>
      <c r="AF63" s="382"/>
      <c r="AG63" s="382"/>
      <c r="AH63" s="382"/>
      <c r="AI63" s="382"/>
      <c r="AJ63" s="382"/>
      <c r="AK63" s="382"/>
      <c r="AL63" s="382"/>
      <c r="AM63" s="382"/>
      <c r="AN63" s="382"/>
      <c r="AO63" s="382"/>
      <c r="AP63" s="382"/>
      <c r="AQ63" s="382"/>
      <c r="AR63" s="382"/>
      <c r="AS63" s="382"/>
      <c r="AT63" s="382"/>
      <c r="AU63" s="382"/>
      <c r="AV63" s="382"/>
      <c r="AW63" s="382"/>
      <c r="AX63" s="382"/>
      <c r="AY63" s="382"/>
    </row>
    <row r="64" spans="1:51" s="379" customFormat="1" ht="38.25" hidden="1" outlineLevel="1">
      <c r="A64" s="379" t="s">
        <v>1655</v>
      </c>
      <c r="B64" s="379" t="s">
        <v>1656</v>
      </c>
      <c r="C64" s="380" t="s">
        <v>1657</v>
      </c>
      <c r="D64" s="381">
        <v>19859.716</v>
      </c>
      <c r="E64" s="381">
        <v>32080.954</v>
      </c>
      <c r="F64" s="379">
        <v>15692.626</v>
      </c>
      <c r="G64" s="379">
        <v>14110.893</v>
      </c>
      <c r="H64" s="382"/>
      <c r="I64" s="382"/>
      <c r="J64" s="382"/>
      <c r="K64" s="382"/>
      <c r="L64" s="382"/>
      <c r="M64" s="382"/>
      <c r="N64" s="382"/>
      <c r="O64" s="382"/>
      <c r="P64" s="382"/>
      <c r="Q64" s="382"/>
      <c r="R64" s="382"/>
      <c r="S64" s="382"/>
      <c r="T64" s="382"/>
      <c r="U64" s="382"/>
      <c r="V64" s="382"/>
      <c r="W64" s="382"/>
      <c r="X64" s="382"/>
      <c r="Y64" s="382"/>
      <c r="Z64" s="382"/>
      <c r="AA64" s="382"/>
      <c r="AB64" s="382"/>
      <c r="AC64" s="382"/>
      <c r="AD64" s="382"/>
      <c r="AE64" s="382"/>
      <c r="AF64" s="382"/>
      <c r="AG64" s="382"/>
      <c r="AH64" s="382"/>
      <c r="AI64" s="382"/>
      <c r="AJ64" s="382"/>
      <c r="AK64" s="382"/>
      <c r="AL64" s="382"/>
      <c r="AM64" s="382"/>
      <c r="AN64" s="382"/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</row>
    <row r="65" spans="1:51" s="379" customFormat="1" ht="38.25" hidden="1" outlineLevel="1">
      <c r="A65" s="379" t="s">
        <v>1658</v>
      </c>
      <c r="B65" s="379" t="s">
        <v>1659</v>
      </c>
      <c r="C65" s="380" t="s">
        <v>1660</v>
      </c>
      <c r="D65" s="381">
        <v>0</v>
      </c>
      <c r="E65" s="381">
        <v>38121.209</v>
      </c>
      <c r="F65" s="379">
        <v>0</v>
      </c>
      <c r="G65" s="379">
        <v>0</v>
      </c>
      <c r="H65" s="382"/>
      <c r="I65" s="382"/>
      <c r="J65" s="382"/>
      <c r="K65" s="382"/>
      <c r="L65" s="382"/>
      <c r="M65" s="382"/>
      <c r="N65" s="382"/>
      <c r="O65" s="382"/>
      <c r="P65" s="382"/>
      <c r="Q65" s="382"/>
      <c r="R65" s="382"/>
      <c r="S65" s="382"/>
      <c r="T65" s="382"/>
      <c r="U65" s="382"/>
      <c r="V65" s="382"/>
      <c r="W65" s="382"/>
      <c r="X65" s="382"/>
      <c r="Y65" s="382"/>
      <c r="Z65" s="382"/>
      <c r="AA65" s="382"/>
      <c r="AB65" s="382"/>
      <c r="AC65" s="382"/>
      <c r="AD65" s="382"/>
      <c r="AE65" s="382"/>
      <c r="AF65" s="382"/>
      <c r="AG65" s="382"/>
      <c r="AH65" s="382"/>
      <c r="AI65" s="382"/>
      <c r="AJ65" s="382"/>
      <c r="AK65" s="382"/>
      <c r="AL65" s="382"/>
      <c r="AM65" s="382"/>
      <c r="AN65" s="382"/>
      <c r="AO65" s="382"/>
      <c r="AP65" s="382"/>
      <c r="AQ65" s="382"/>
      <c r="AR65" s="382"/>
      <c r="AS65" s="382"/>
      <c r="AT65" s="382"/>
      <c r="AU65" s="382"/>
      <c r="AV65" s="382"/>
      <c r="AW65" s="382"/>
      <c r="AX65" s="382"/>
      <c r="AY65" s="382"/>
    </row>
    <row r="66" spans="1:51" s="379" customFormat="1" ht="38.25" hidden="1" outlineLevel="1">
      <c r="A66" s="379" t="s">
        <v>1661</v>
      </c>
      <c r="B66" s="379" t="s">
        <v>1662</v>
      </c>
      <c r="C66" s="380" t="s">
        <v>1663</v>
      </c>
      <c r="D66" s="381">
        <v>417.403</v>
      </c>
      <c r="E66" s="381">
        <v>36909.095</v>
      </c>
      <c r="F66" s="379">
        <v>651.97</v>
      </c>
      <c r="G66" s="379">
        <v>42793.578</v>
      </c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2"/>
      <c r="V66" s="382"/>
      <c r="W66" s="382"/>
      <c r="X66" s="382"/>
      <c r="Y66" s="382"/>
      <c r="Z66" s="382"/>
      <c r="AA66" s="382"/>
      <c r="AB66" s="382"/>
      <c r="AC66" s="382"/>
      <c r="AD66" s="382"/>
      <c r="AE66" s="382"/>
      <c r="AF66" s="382"/>
      <c r="AG66" s="382"/>
      <c r="AH66" s="382"/>
      <c r="AI66" s="382"/>
      <c r="AJ66" s="382"/>
      <c r="AK66" s="382"/>
      <c r="AL66" s="382"/>
      <c r="AM66" s="382"/>
      <c r="AN66" s="382"/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</row>
    <row r="67" spans="1:51" s="379" customFormat="1" ht="38.25" hidden="1" outlineLevel="1">
      <c r="A67" s="379" t="s">
        <v>1664</v>
      </c>
      <c r="B67" s="379" t="s">
        <v>1665</v>
      </c>
      <c r="C67" s="380" t="s">
        <v>1666</v>
      </c>
      <c r="D67" s="381">
        <v>2836.348</v>
      </c>
      <c r="E67" s="381">
        <v>1000.91</v>
      </c>
      <c r="F67" s="379">
        <v>7.65</v>
      </c>
      <c r="G67" s="379">
        <v>0</v>
      </c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82"/>
      <c r="AF67" s="382"/>
      <c r="AG67" s="382"/>
      <c r="AH67" s="382"/>
      <c r="AI67" s="382"/>
      <c r="AJ67" s="382"/>
      <c r="AK67" s="382"/>
      <c r="AL67" s="382"/>
      <c r="AM67" s="382"/>
      <c r="AN67" s="382"/>
      <c r="AO67" s="382"/>
      <c r="AP67" s="382"/>
      <c r="AQ67" s="382"/>
      <c r="AR67" s="382"/>
      <c r="AS67" s="382"/>
      <c r="AT67" s="382"/>
      <c r="AU67" s="382"/>
      <c r="AV67" s="382"/>
      <c r="AW67" s="382"/>
      <c r="AX67" s="382"/>
      <c r="AY67" s="382"/>
    </row>
    <row r="68" spans="1:51" s="379" customFormat="1" ht="38.25" hidden="1" outlineLevel="1">
      <c r="A68" s="379" t="s">
        <v>1673</v>
      </c>
      <c r="B68" s="379" t="s">
        <v>1674</v>
      </c>
      <c r="C68" s="380" t="s">
        <v>1675</v>
      </c>
      <c r="D68" s="381">
        <v>0</v>
      </c>
      <c r="E68" s="381">
        <v>0</v>
      </c>
      <c r="F68" s="379">
        <v>474.04</v>
      </c>
      <c r="G68" s="379">
        <v>0</v>
      </c>
      <c r="H68" s="382"/>
      <c r="I68" s="382"/>
      <c r="J68" s="382"/>
      <c r="K68" s="382"/>
      <c r="L68" s="382"/>
      <c r="M68" s="382"/>
      <c r="N68" s="382"/>
      <c r="O68" s="382"/>
      <c r="P68" s="382"/>
      <c r="Q68" s="382"/>
      <c r="R68" s="382"/>
      <c r="S68" s="382"/>
      <c r="T68" s="382"/>
      <c r="U68" s="382"/>
      <c r="V68" s="382"/>
      <c r="W68" s="382"/>
      <c r="X68" s="382"/>
      <c r="Y68" s="382"/>
      <c r="Z68" s="382"/>
      <c r="AA68" s="382"/>
      <c r="AB68" s="382"/>
      <c r="AC68" s="382"/>
      <c r="AD68" s="382"/>
      <c r="AE68" s="382"/>
      <c r="AF68" s="382"/>
      <c r="AG68" s="382"/>
      <c r="AH68" s="382"/>
      <c r="AI68" s="382"/>
      <c r="AJ68" s="382"/>
      <c r="AK68" s="382"/>
      <c r="AL68" s="382"/>
      <c r="AM68" s="382"/>
      <c r="AN68" s="382"/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</row>
    <row r="69" spans="1:51" s="379" customFormat="1" ht="38.25" hidden="1" outlineLevel="1">
      <c r="A69" s="379" t="s">
        <v>199</v>
      </c>
      <c r="B69" s="379" t="s">
        <v>200</v>
      </c>
      <c r="C69" s="380" t="s">
        <v>201</v>
      </c>
      <c r="D69" s="381">
        <v>0</v>
      </c>
      <c r="E69" s="381">
        <v>78131.01</v>
      </c>
      <c r="F69" s="379">
        <v>0</v>
      </c>
      <c r="G69" s="379">
        <v>0</v>
      </c>
      <c r="H69" s="382"/>
      <c r="I69" s="382"/>
      <c r="J69" s="382"/>
      <c r="K69" s="382"/>
      <c r="L69" s="382"/>
      <c r="M69" s="382"/>
      <c r="N69" s="382"/>
      <c r="O69" s="382"/>
      <c r="P69" s="382"/>
      <c r="Q69" s="382"/>
      <c r="R69" s="382"/>
      <c r="S69" s="382"/>
      <c r="T69" s="382"/>
      <c r="U69" s="382"/>
      <c r="V69" s="382"/>
      <c r="W69" s="382"/>
      <c r="X69" s="382"/>
      <c r="Y69" s="382"/>
      <c r="Z69" s="382"/>
      <c r="AA69" s="382"/>
      <c r="AB69" s="382"/>
      <c r="AC69" s="382"/>
      <c r="AD69" s="382"/>
      <c r="AE69" s="382"/>
      <c r="AF69" s="382"/>
      <c r="AG69" s="382"/>
      <c r="AH69" s="382"/>
      <c r="AI69" s="382"/>
      <c r="AJ69" s="382"/>
      <c r="AK69" s="382"/>
      <c r="AL69" s="382"/>
      <c r="AM69" s="382"/>
      <c r="AN69" s="382"/>
      <c r="AO69" s="382"/>
      <c r="AP69" s="382"/>
      <c r="AQ69" s="382"/>
      <c r="AR69" s="382"/>
      <c r="AS69" s="382"/>
      <c r="AT69" s="382"/>
      <c r="AU69" s="382"/>
      <c r="AV69" s="382"/>
      <c r="AW69" s="382"/>
      <c r="AX69" s="382"/>
      <c r="AY69" s="382"/>
    </row>
    <row r="70" spans="1:51" s="379" customFormat="1" ht="38.25" hidden="1" outlineLevel="1">
      <c r="A70" s="379" t="s">
        <v>1676</v>
      </c>
      <c r="B70" s="379" t="s">
        <v>1677</v>
      </c>
      <c r="C70" s="380" t="s">
        <v>1678</v>
      </c>
      <c r="D70" s="381">
        <v>-6111.2</v>
      </c>
      <c r="E70" s="381">
        <v>-2080.67</v>
      </c>
      <c r="F70" s="379">
        <v>-1536.44</v>
      </c>
      <c r="G70" s="379">
        <v>937.94</v>
      </c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82"/>
      <c r="AF70" s="382"/>
      <c r="AG70" s="382"/>
      <c r="AH70" s="382"/>
      <c r="AI70" s="382"/>
      <c r="AJ70" s="382"/>
      <c r="AK70" s="382"/>
      <c r="AL70" s="382"/>
      <c r="AM70" s="382"/>
      <c r="AN70" s="382"/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</row>
    <row r="71" spans="1:51" ht="12.75" customHeight="1" collapsed="1">
      <c r="A71" s="392" t="s">
        <v>1682</v>
      </c>
      <c r="B71" s="408" t="s">
        <v>543</v>
      </c>
      <c r="C71" s="409"/>
      <c r="D71" s="411">
        <v>51386.831</v>
      </c>
      <c r="E71" s="411">
        <v>305249.89800000004</v>
      </c>
      <c r="F71" s="411">
        <v>295539.046</v>
      </c>
      <c r="G71" s="411">
        <v>80333.182</v>
      </c>
      <c r="H71" s="392"/>
      <c r="I71" s="392"/>
      <c r="J71" s="392"/>
      <c r="K71" s="392"/>
      <c r="L71" s="392"/>
      <c r="M71" s="392"/>
      <c r="N71" s="392"/>
      <c r="O71" s="392"/>
      <c r="P71" s="392"/>
      <c r="Q71" s="392"/>
      <c r="R71" s="392"/>
      <c r="S71" s="392"/>
      <c r="T71" s="392"/>
      <c r="U71" s="392"/>
      <c r="V71" s="392"/>
      <c r="W71" s="392"/>
      <c r="X71" s="392"/>
      <c r="Y71" s="392"/>
      <c r="Z71" s="392"/>
      <c r="AA71" s="392"/>
      <c r="AB71" s="392"/>
      <c r="AC71" s="392"/>
      <c r="AD71" s="392"/>
      <c r="AE71" s="392"/>
      <c r="AF71" s="392"/>
      <c r="AG71" s="392"/>
      <c r="AH71" s="392"/>
      <c r="AI71" s="392"/>
      <c r="AJ71" s="392"/>
      <c r="AK71" s="392"/>
      <c r="AL71" s="392"/>
      <c r="AM71" s="392"/>
      <c r="AN71" s="392"/>
      <c r="AO71" s="392"/>
      <c r="AP71" s="392"/>
      <c r="AQ71" s="392"/>
      <c r="AR71" s="392"/>
      <c r="AS71" s="392"/>
      <c r="AT71" s="392"/>
      <c r="AU71" s="392"/>
      <c r="AV71" s="392"/>
      <c r="AW71" s="392"/>
      <c r="AX71" s="392"/>
      <c r="AY71" s="392"/>
    </row>
    <row r="72" spans="1:51" s="379" customFormat="1" ht="38.25" hidden="1" outlineLevel="1">
      <c r="A72" s="379" t="s">
        <v>1686</v>
      </c>
      <c r="B72" s="379" t="s">
        <v>1687</v>
      </c>
      <c r="C72" s="380" t="s">
        <v>1688</v>
      </c>
      <c r="D72" s="381">
        <v>493344.58</v>
      </c>
      <c r="E72" s="381">
        <v>0</v>
      </c>
      <c r="F72" s="379">
        <v>0</v>
      </c>
      <c r="G72" s="379">
        <v>0</v>
      </c>
      <c r="H72" s="382"/>
      <c r="I72" s="382"/>
      <c r="J72" s="382"/>
      <c r="K72" s="382"/>
      <c r="L72" s="382"/>
      <c r="M72" s="382"/>
      <c r="N72" s="382"/>
      <c r="O72" s="382"/>
      <c r="P72" s="382"/>
      <c r="Q72" s="382"/>
      <c r="R72" s="382"/>
      <c r="S72" s="382"/>
      <c r="T72" s="382"/>
      <c r="U72" s="382"/>
      <c r="V72" s="382"/>
      <c r="W72" s="382"/>
      <c r="X72" s="382"/>
      <c r="Y72" s="382"/>
      <c r="Z72" s="382"/>
      <c r="AA72" s="382"/>
      <c r="AB72" s="382"/>
      <c r="AC72" s="382"/>
      <c r="AD72" s="382"/>
      <c r="AE72" s="382"/>
      <c r="AF72" s="382"/>
      <c r="AG72" s="382"/>
      <c r="AH72" s="382"/>
      <c r="AI72" s="382"/>
      <c r="AJ72" s="382"/>
      <c r="AK72" s="382"/>
      <c r="AL72" s="382"/>
      <c r="AM72" s="382"/>
      <c r="AN72" s="382"/>
      <c r="AO72" s="382"/>
      <c r="AP72" s="382"/>
      <c r="AQ72" s="382"/>
      <c r="AR72" s="382"/>
      <c r="AS72" s="382"/>
      <c r="AT72" s="382"/>
      <c r="AU72" s="382"/>
      <c r="AV72" s="382"/>
      <c r="AW72" s="382"/>
      <c r="AX72" s="382"/>
      <c r="AY72" s="382"/>
    </row>
    <row r="73" spans="1:51" s="379" customFormat="1" ht="38.25" hidden="1" outlineLevel="1">
      <c r="A73" s="379" t="s">
        <v>1689</v>
      </c>
      <c r="B73" s="379" t="s">
        <v>1690</v>
      </c>
      <c r="C73" s="380" t="s">
        <v>1691</v>
      </c>
      <c r="D73" s="381">
        <v>82599.28</v>
      </c>
      <c r="E73" s="381">
        <v>0</v>
      </c>
      <c r="F73" s="379">
        <v>0</v>
      </c>
      <c r="G73" s="379">
        <v>0</v>
      </c>
      <c r="H73" s="382"/>
      <c r="I73" s="382"/>
      <c r="J73" s="382"/>
      <c r="K73" s="382"/>
      <c r="L73" s="382"/>
      <c r="M73" s="382"/>
      <c r="N73" s="382"/>
      <c r="O73" s="382"/>
      <c r="P73" s="382"/>
      <c r="Q73" s="382"/>
      <c r="R73" s="382"/>
      <c r="S73" s="382"/>
      <c r="T73" s="382"/>
      <c r="U73" s="382"/>
      <c r="V73" s="382"/>
      <c r="W73" s="382"/>
      <c r="X73" s="382"/>
      <c r="Y73" s="382"/>
      <c r="Z73" s="382"/>
      <c r="AA73" s="382"/>
      <c r="AB73" s="382"/>
      <c r="AC73" s="382"/>
      <c r="AD73" s="382"/>
      <c r="AE73" s="382"/>
      <c r="AF73" s="382"/>
      <c r="AG73" s="382"/>
      <c r="AH73" s="382"/>
      <c r="AI73" s="382"/>
      <c r="AJ73" s="382"/>
      <c r="AK73" s="382"/>
      <c r="AL73" s="382"/>
      <c r="AM73" s="382"/>
      <c r="AN73" s="382"/>
      <c r="AO73" s="382"/>
      <c r="AP73" s="382"/>
      <c r="AQ73" s="382"/>
      <c r="AR73" s="382"/>
      <c r="AS73" s="382"/>
      <c r="AT73" s="382"/>
      <c r="AU73" s="382"/>
      <c r="AV73" s="382"/>
      <c r="AW73" s="382"/>
      <c r="AX73" s="382"/>
      <c r="AY73" s="382"/>
    </row>
    <row r="74" spans="1:51" s="379" customFormat="1" ht="38.25" hidden="1" outlineLevel="1">
      <c r="A74" s="379" t="s">
        <v>1695</v>
      </c>
      <c r="B74" s="379" t="s">
        <v>1696</v>
      </c>
      <c r="C74" s="380" t="s">
        <v>1697</v>
      </c>
      <c r="D74" s="381">
        <v>8752.01</v>
      </c>
      <c r="E74" s="381">
        <v>0</v>
      </c>
      <c r="F74" s="379">
        <v>0</v>
      </c>
      <c r="G74" s="379">
        <v>0</v>
      </c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82"/>
      <c r="AF74" s="382"/>
      <c r="AG74" s="382"/>
      <c r="AH74" s="382"/>
      <c r="AI74" s="382"/>
      <c r="AJ74" s="382"/>
      <c r="AK74" s="382"/>
      <c r="AL74" s="382"/>
      <c r="AM74" s="382"/>
      <c r="AN74" s="382"/>
      <c r="AO74" s="382"/>
      <c r="AP74" s="382"/>
      <c r="AQ74" s="382"/>
      <c r="AR74" s="382"/>
      <c r="AS74" s="382"/>
      <c r="AT74" s="382"/>
      <c r="AU74" s="382"/>
      <c r="AV74" s="382"/>
      <c r="AW74" s="382"/>
      <c r="AX74" s="382"/>
      <c r="AY74" s="382"/>
    </row>
    <row r="75" spans="1:51" s="379" customFormat="1" ht="38.25" hidden="1" outlineLevel="1">
      <c r="A75" s="379" t="s">
        <v>202</v>
      </c>
      <c r="B75" s="379" t="s">
        <v>203</v>
      </c>
      <c r="C75" s="380" t="s">
        <v>204</v>
      </c>
      <c r="D75" s="381">
        <v>8118.58</v>
      </c>
      <c r="E75" s="381">
        <v>0</v>
      </c>
      <c r="F75" s="379">
        <v>0</v>
      </c>
      <c r="G75" s="379">
        <v>0</v>
      </c>
      <c r="H75" s="382"/>
      <c r="I75" s="382"/>
      <c r="J75" s="382"/>
      <c r="K75" s="382"/>
      <c r="L75" s="382"/>
      <c r="M75" s="382"/>
      <c r="N75" s="382"/>
      <c r="O75" s="382"/>
      <c r="P75" s="382"/>
      <c r="Q75" s="382"/>
      <c r="R75" s="382"/>
      <c r="S75" s="382"/>
      <c r="T75" s="382"/>
      <c r="U75" s="382"/>
      <c r="V75" s="382"/>
      <c r="W75" s="382"/>
      <c r="X75" s="382"/>
      <c r="Y75" s="382"/>
      <c r="Z75" s="382"/>
      <c r="AA75" s="382"/>
      <c r="AB75" s="382"/>
      <c r="AC75" s="382"/>
      <c r="AD75" s="382"/>
      <c r="AE75" s="382"/>
      <c r="AF75" s="382"/>
      <c r="AG75" s="382"/>
      <c r="AH75" s="382"/>
      <c r="AI75" s="382"/>
      <c r="AJ75" s="382"/>
      <c r="AK75" s="382"/>
      <c r="AL75" s="382"/>
      <c r="AM75" s="382"/>
      <c r="AN75" s="382"/>
      <c r="AO75" s="382"/>
      <c r="AP75" s="382"/>
      <c r="AQ75" s="382"/>
      <c r="AR75" s="382"/>
      <c r="AS75" s="382"/>
      <c r="AT75" s="382"/>
      <c r="AU75" s="382"/>
      <c r="AV75" s="382"/>
      <c r="AW75" s="382"/>
      <c r="AX75" s="382"/>
      <c r="AY75" s="382"/>
    </row>
    <row r="76" spans="1:51" s="379" customFormat="1" ht="38.25" hidden="1" outlineLevel="1">
      <c r="A76" s="379" t="s">
        <v>1704</v>
      </c>
      <c r="B76" s="379" t="s">
        <v>1705</v>
      </c>
      <c r="C76" s="380" t="s">
        <v>1706</v>
      </c>
      <c r="D76" s="381">
        <v>63125.1</v>
      </c>
      <c r="E76" s="381">
        <v>0</v>
      </c>
      <c r="F76" s="379">
        <v>0</v>
      </c>
      <c r="G76" s="379">
        <v>0</v>
      </c>
      <c r="H76" s="382"/>
      <c r="I76" s="382"/>
      <c r="J76" s="382"/>
      <c r="K76" s="382"/>
      <c r="L76" s="382"/>
      <c r="M76" s="382"/>
      <c r="N76" s="382"/>
      <c r="O76" s="382"/>
      <c r="P76" s="382"/>
      <c r="Q76" s="382"/>
      <c r="R76" s="382"/>
      <c r="S76" s="382"/>
      <c r="T76" s="382"/>
      <c r="U76" s="382"/>
      <c r="V76" s="382"/>
      <c r="W76" s="382"/>
      <c r="X76" s="382"/>
      <c r="Y76" s="382"/>
      <c r="Z76" s="382"/>
      <c r="AA76" s="382"/>
      <c r="AB76" s="382"/>
      <c r="AC76" s="382"/>
      <c r="AD76" s="382"/>
      <c r="AE76" s="382"/>
      <c r="AF76" s="382"/>
      <c r="AG76" s="382"/>
      <c r="AH76" s="382"/>
      <c r="AI76" s="382"/>
      <c r="AJ76" s="382"/>
      <c r="AK76" s="382"/>
      <c r="AL76" s="382"/>
      <c r="AM76" s="382"/>
      <c r="AN76" s="382"/>
      <c r="AO76" s="382"/>
      <c r="AP76" s="382"/>
      <c r="AQ76" s="382"/>
      <c r="AR76" s="382"/>
      <c r="AS76" s="382"/>
      <c r="AT76" s="382"/>
      <c r="AU76" s="382"/>
      <c r="AV76" s="382"/>
      <c r="AW76" s="382"/>
      <c r="AX76" s="382"/>
      <c r="AY76" s="382"/>
    </row>
    <row r="77" spans="1:51" s="379" customFormat="1" ht="38.25" hidden="1" outlineLevel="1">
      <c r="A77" s="379" t="s">
        <v>205</v>
      </c>
      <c r="B77" s="379" t="s">
        <v>206</v>
      </c>
      <c r="C77" s="380" t="s">
        <v>207</v>
      </c>
      <c r="D77" s="381">
        <v>115992.53</v>
      </c>
      <c r="E77" s="381">
        <v>0</v>
      </c>
      <c r="F77" s="379">
        <v>0</v>
      </c>
      <c r="G77" s="379">
        <v>0</v>
      </c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82"/>
      <c r="AF77" s="382"/>
      <c r="AG77" s="382"/>
      <c r="AH77" s="382"/>
      <c r="AI77" s="382"/>
      <c r="AJ77" s="382"/>
      <c r="AK77" s="382"/>
      <c r="AL77" s="382"/>
      <c r="AM77" s="382"/>
      <c r="AN77" s="382"/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</row>
    <row r="78" spans="1:51" s="379" customFormat="1" ht="38.25" hidden="1" outlineLevel="1">
      <c r="A78" s="379" t="s">
        <v>208</v>
      </c>
      <c r="B78" s="379" t="s">
        <v>209</v>
      </c>
      <c r="C78" s="380" t="s">
        <v>210</v>
      </c>
      <c r="D78" s="381">
        <v>16461.1</v>
      </c>
      <c r="E78" s="381">
        <v>0</v>
      </c>
      <c r="F78" s="379">
        <v>0</v>
      </c>
      <c r="G78" s="379">
        <v>0</v>
      </c>
      <c r="H78" s="382"/>
      <c r="I78" s="382"/>
      <c r="J78" s="382"/>
      <c r="K78" s="382"/>
      <c r="L78" s="382"/>
      <c r="M78" s="382"/>
      <c r="N78" s="382"/>
      <c r="O78" s="382"/>
      <c r="P78" s="382"/>
      <c r="Q78" s="382"/>
      <c r="R78" s="382"/>
      <c r="S78" s="382"/>
      <c r="T78" s="382"/>
      <c r="U78" s="382"/>
      <c r="V78" s="382"/>
      <c r="W78" s="382"/>
      <c r="X78" s="382"/>
      <c r="Y78" s="382"/>
      <c r="Z78" s="382"/>
      <c r="AA78" s="382"/>
      <c r="AB78" s="382"/>
      <c r="AC78" s="382"/>
      <c r="AD78" s="382"/>
      <c r="AE78" s="382"/>
      <c r="AF78" s="382"/>
      <c r="AG78" s="382"/>
      <c r="AH78" s="382"/>
      <c r="AI78" s="382"/>
      <c r="AJ78" s="382"/>
      <c r="AK78" s="382"/>
      <c r="AL78" s="382"/>
      <c r="AM78" s="382"/>
      <c r="AN78" s="382"/>
      <c r="AO78" s="382"/>
      <c r="AP78" s="382"/>
      <c r="AQ78" s="382"/>
      <c r="AR78" s="382"/>
      <c r="AS78" s="382"/>
      <c r="AT78" s="382"/>
      <c r="AU78" s="382"/>
      <c r="AV78" s="382"/>
      <c r="AW78" s="382"/>
      <c r="AX78" s="382"/>
      <c r="AY78" s="382"/>
    </row>
    <row r="79" spans="1:51" s="379" customFormat="1" ht="38.25" hidden="1" outlineLevel="1">
      <c r="A79" s="379" t="s">
        <v>211</v>
      </c>
      <c r="B79" s="379" t="s">
        <v>212</v>
      </c>
      <c r="C79" s="380" t="s">
        <v>213</v>
      </c>
      <c r="D79" s="381">
        <v>614.92</v>
      </c>
      <c r="E79" s="381">
        <v>0</v>
      </c>
      <c r="F79" s="379">
        <v>0</v>
      </c>
      <c r="G79" s="379">
        <v>0</v>
      </c>
      <c r="H79" s="382"/>
      <c r="I79" s="382"/>
      <c r="J79" s="382"/>
      <c r="K79" s="382"/>
      <c r="L79" s="382"/>
      <c r="M79" s="382"/>
      <c r="N79" s="382"/>
      <c r="O79" s="382"/>
      <c r="P79" s="382"/>
      <c r="Q79" s="382"/>
      <c r="R79" s="382"/>
      <c r="S79" s="382"/>
      <c r="T79" s="382"/>
      <c r="U79" s="382"/>
      <c r="V79" s="382"/>
      <c r="W79" s="382"/>
      <c r="X79" s="382"/>
      <c r="Y79" s="382"/>
      <c r="Z79" s="382"/>
      <c r="AA79" s="382"/>
      <c r="AB79" s="382"/>
      <c r="AC79" s="382"/>
      <c r="AD79" s="382"/>
      <c r="AE79" s="382"/>
      <c r="AF79" s="382"/>
      <c r="AG79" s="382"/>
      <c r="AH79" s="382"/>
      <c r="AI79" s="382"/>
      <c r="AJ79" s="382"/>
      <c r="AK79" s="382"/>
      <c r="AL79" s="382"/>
      <c r="AM79" s="382"/>
      <c r="AN79" s="382"/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</row>
    <row r="80" spans="1:51" s="379" customFormat="1" ht="38.25" hidden="1" outlineLevel="1">
      <c r="A80" s="379" t="s">
        <v>214</v>
      </c>
      <c r="B80" s="379" t="s">
        <v>215</v>
      </c>
      <c r="C80" s="380" t="s">
        <v>216</v>
      </c>
      <c r="D80" s="381">
        <v>152636.09</v>
      </c>
      <c r="E80" s="381">
        <v>0</v>
      </c>
      <c r="F80" s="379">
        <v>0</v>
      </c>
      <c r="G80" s="379">
        <v>0</v>
      </c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82"/>
      <c r="AF80" s="382"/>
      <c r="AG80" s="382"/>
      <c r="AH80" s="382"/>
      <c r="AI80" s="382"/>
      <c r="AJ80" s="382"/>
      <c r="AK80" s="382"/>
      <c r="AL80" s="382"/>
      <c r="AM80" s="382"/>
      <c r="AN80" s="382"/>
      <c r="AO80" s="382"/>
      <c r="AP80" s="382"/>
      <c r="AQ80" s="382"/>
      <c r="AR80" s="382"/>
      <c r="AS80" s="382"/>
      <c r="AT80" s="382"/>
      <c r="AU80" s="382"/>
      <c r="AV80" s="382"/>
      <c r="AW80" s="382"/>
      <c r="AX80" s="382"/>
      <c r="AY80" s="382"/>
    </row>
    <row r="81" spans="1:51" s="379" customFormat="1" ht="38.25" hidden="1" outlineLevel="1">
      <c r="A81" s="379" t="s">
        <v>217</v>
      </c>
      <c r="B81" s="379" t="s">
        <v>218</v>
      </c>
      <c r="C81" s="380" t="s">
        <v>219</v>
      </c>
      <c r="D81" s="381">
        <v>456.3</v>
      </c>
      <c r="E81" s="381">
        <v>0</v>
      </c>
      <c r="F81" s="379">
        <v>0</v>
      </c>
      <c r="G81" s="379">
        <v>0</v>
      </c>
      <c r="H81" s="382"/>
      <c r="I81" s="382"/>
      <c r="J81" s="382"/>
      <c r="K81" s="382"/>
      <c r="L81" s="382"/>
      <c r="M81" s="382"/>
      <c r="N81" s="382"/>
      <c r="O81" s="382"/>
      <c r="P81" s="382"/>
      <c r="Q81" s="382"/>
      <c r="R81" s="382"/>
      <c r="S81" s="382"/>
      <c r="T81" s="382"/>
      <c r="U81" s="382"/>
      <c r="V81" s="382"/>
      <c r="W81" s="382"/>
      <c r="X81" s="382"/>
      <c r="Y81" s="382"/>
      <c r="Z81" s="382"/>
      <c r="AA81" s="382"/>
      <c r="AB81" s="382"/>
      <c r="AC81" s="382"/>
      <c r="AD81" s="382"/>
      <c r="AE81" s="382"/>
      <c r="AF81" s="382"/>
      <c r="AG81" s="382"/>
      <c r="AH81" s="382"/>
      <c r="AI81" s="382"/>
      <c r="AJ81" s="382"/>
      <c r="AK81" s="382"/>
      <c r="AL81" s="382"/>
      <c r="AM81" s="382"/>
      <c r="AN81" s="382"/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</row>
    <row r="82" spans="1:51" s="379" customFormat="1" ht="38.25" hidden="1" outlineLevel="1">
      <c r="A82" s="379" t="s">
        <v>220</v>
      </c>
      <c r="B82" s="379" t="s">
        <v>221</v>
      </c>
      <c r="C82" s="380" t="s">
        <v>222</v>
      </c>
      <c r="D82" s="381">
        <v>1469228.47</v>
      </c>
      <c r="E82" s="381">
        <v>0</v>
      </c>
      <c r="F82" s="379">
        <v>0</v>
      </c>
      <c r="G82" s="379">
        <v>0</v>
      </c>
      <c r="H82" s="382"/>
      <c r="I82" s="382"/>
      <c r="J82" s="382"/>
      <c r="K82" s="382"/>
      <c r="L82" s="382"/>
      <c r="M82" s="382"/>
      <c r="N82" s="382"/>
      <c r="O82" s="382"/>
      <c r="P82" s="382"/>
      <c r="Q82" s="382"/>
      <c r="R82" s="382"/>
      <c r="S82" s="382"/>
      <c r="T82" s="382"/>
      <c r="U82" s="382"/>
      <c r="V82" s="382"/>
      <c r="W82" s="382"/>
      <c r="X82" s="382"/>
      <c r="Y82" s="382"/>
      <c r="Z82" s="382"/>
      <c r="AA82" s="382"/>
      <c r="AB82" s="382"/>
      <c r="AC82" s="382"/>
      <c r="AD82" s="382"/>
      <c r="AE82" s="382"/>
      <c r="AF82" s="382"/>
      <c r="AG82" s="382"/>
      <c r="AH82" s="382"/>
      <c r="AI82" s="382"/>
      <c r="AJ82" s="382"/>
      <c r="AK82" s="382"/>
      <c r="AL82" s="382"/>
      <c r="AM82" s="382"/>
      <c r="AN82" s="382"/>
      <c r="AO82" s="382"/>
      <c r="AP82" s="382"/>
      <c r="AQ82" s="382"/>
      <c r="AR82" s="382"/>
      <c r="AS82" s="382"/>
      <c r="AT82" s="382"/>
      <c r="AU82" s="382"/>
      <c r="AV82" s="382"/>
      <c r="AW82" s="382"/>
      <c r="AX82" s="382"/>
      <c r="AY82" s="382"/>
    </row>
    <row r="83" spans="1:51" s="379" customFormat="1" ht="38.25" hidden="1" outlineLevel="1">
      <c r="A83" s="379" t="s">
        <v>223</v>
      </c>
      <c r="B83" s="379" t="s">
        <v>224</v>
      </c>
      <c r="C83" s="380" t="s">
        <v>225</v>
      </c>
      <c r="D83" s="381">
        <v>-63249.58</v>
      </c>
      <c r="E83" s="381">
        <v>0</v>
      </c>
      <c r="F83" s="379">
        <v>0</v>
      </c>
      <c r="G83" s="379">
        <v>0</v>
      </c>
      <c r="H83" s="382"/>
      <c r="I83" s="382"/>
      <c r="J83" s="382"/>
      <c r="K83" s="382"/>
      <c r="L83" s="382"/>
      <c r="M83" s="382"/>
      <c r="N83" s="382"/>
      <c r="O83" s="382"/>
      <c r="P83" s="382"/>
      <c r="Q83" s="382"/>
      <c r="R83" s="382"/>
      <c r="S83" s="382"/>
      <c r="T83" s="382"/>
      <c r="U83" s="382"/>
      <c r="V83" s="382"/>
      <c r="W83" s="382"/>
      <c r="X83" s="382"/>
      <c r="Y83" s="382"/>
      <c r="Z83" s="382"/>
      <c r="AA83" s="382"/>
      <c r="AB83" s="382"/>
      <c r="AC83" s="382"/>
      <c r="AD83" s="382"/>
      <c r="AE83" s="382"/>
      <c r="AF83" s="382"/>
      <c r="AG83" s="382"/>
      <c r="AH83" s="382"/>
      <c r="AI83" s="382"/>
      <c r="AJ83" s="382"/>
      <c r="AK83" s="382"/>
      <c r="AL83" s="382"/>
      <c r="AM83" s="382"/>
      <c r="AN83" s="382"/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</row>
    <row r="84" spans="1:51" s="379" customFormat="1" ht="38.25" hidden="1" outlineLevel="1">
      <c r="A84" s="379" t="s">
        <v>226</v>
      </c>
      <c r="B84" s="379" t="s">
        <v>227</v>
      </c>
      <c r="C84" s="380" t="s">
        <v>228</v>
      </c>
      <c r="D84" s="381">
        <v>25755.26</v>
      </c>
      <c r="E84" s="381">
        <v>0</v>
      </c>
      <c r="F84" s="379">
        <v>0</v>
      </c>
      <c r="G84" s="379">
        <v>0</v>
      </c>
      <c r="H84" s="382"/>
      <c r="I84" s="382"/>
      <c r="J84" s="382"/>
      <c r="K84" s="382"/>
      <c r="L84" s="382"/>
      <c r="M84" s="382"/>
      <c r="N84" s="382"/>
      <c r="O84" s="382"/>
      <c r="P84" s="382"/>
      <c r="Q84" s="382"/>
      <c r="R84" s="382"/>
      <c r="S84" s="382"/>
      <c r="T84" s="382"/>
      <c r="U84" s="382"/>
      <c r="V84" s="382"/>
      <c r="W84" s="382"/>
      <c r="X84" s="382"/>
      <c r="Y84" s="382"/>
      <c r="Z84" s="382"/>
      <c r="AA84" s="382"/>
      <c r="AB84" s="382"/>
      <c r="AC84" s="382"/>
      <c r="AD84" s="382"/>
      <c r="AE84" s="382"/>
      <c r="AF84" s="382"/>
      <c r="AG84" s="382"/>
      <c r="AH84" s="382"/>
      <c r="AI84" s="382"/>
      <c r="AJ84" s="382"/>
      <c r="AK84" s="382"/>
      <c r="AL84" s="382"/>
      <c r="AM84" s="382"/>
      <c r="AN84" s="382"/>
      <c r="AO84" s="382"/>
      <c r="AP84" s="382"/>
      <c r="AQ84" s="382"/>
      <c r="AR84" s="382"/>
      <c r="AS84" s="382"/>
      <c r="AT84" s="382"/>
      <c r="AU84" s="382"/>
      <c r="AV84" s="382"/>
      <c r="AW84" s="382"/>
      <c r="AX84" s="382"/>
      <c r="AY84" s="382"/>
    </row>
    <row r="85" spans="1:51" s="379" customFormat="1" ht="38.25" hidden="1" outlineLevel="1">
      <c r="A85" s="379" t="s">
        <v>1725</v>
      </c>
      <c r="B85" s="379" t="s">
        <v>1726</v>
      </c>
      <c r="C85" s="380" t="s">
        <v>1727</v>
      </c>
      <c r="D85" s="381">
        <v>98842.56</v>
      </c>
      <c r="E85" s="381">
        <v>0</v>
      </c>
      <c r="F85" s="379">
        <v>0</v>
      </c>
      <c r="G85" s="379">
        <v>0</v>
      </c>
      <c r="H85" s="382"/>
      <c r="I85" s="382"/>
      <c r="J85" s="382"/>
      <c r="K85" s="382"/>
      <c r="L85" s="382"/>
      <c r="M85" s="382"/>
      <c r="N85" s="382"/>
      <c r="O85" s="382"/>
      <c r="P85" s="382"/>
      <c r="Q85" s="382"/>
      <c r="R85" s="382"/>
      <c r="S85" s="382"/>
      <c r="T85" s="382"/>
      <c r="U85" s="382"/>
      <c r="V85" s="382"/>
      <c r="W85" s="382"/>
      <c r="X85" s="382"/>
      <c r="Y85" s="382"/>
      <c r="Z85" s="382"/>
      <c r="AA85" s="382"/>
      <c r="AB85" s="382"/>
      <c r="AC85" s="382"/>
      <c r="AD85" s="382"/>
      <c r="AE85" s="382"/>
      <c r="AF85" s="382"/>
      <c r="AG85" s="382"/>
      <c r="AH85" s="382"/>
      <c r="AI85" s="382"/>
      <c r="AJ85" s="382"/>
      <c r="AK85" s="382"/>
      <c r="AL85" s="382"/>
      <c r="AM85" s="382"/>
      <c r="AN85" s="382"/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</row>
    <row r="86" spans="1:51" s="379" customFormat="1" ht="38.25" hidden="1" outlineLevel="1">
      <c r="A86" s="379" t="s">
        <v>229</v>
      </c>
      <c r="B86" s="379" t="s">
        <v>230</v>
      </c>
      <c r="C86" s="380" t="s">
        <v>231</v>
      </c>
      <c r="D86" s="381">
        <v>1347.25</v>
      </c>
      <c r="E86" s="381">
        <v>0</v>
      </c>
      <c r="F86" s="379">
        <v>0</v>
      </c>
      <c r="G86" s="379">
        <v>0</v>
      </c>
      <c r="H86" s="382"/>
      <c r="I86" s="382"/>
      <c r="J86" s="382"/>
      <c r="K86" s="382"/>
      <c r="L86" s="382"/>
      <c r="M86" s="382"/>
      <c r="N86" s="382"/>
      <c r="O86" s="382"/>
      <c r="P86" s="382"/>
      <c r="Q86" s="382"/>
      <c r="R86" s="382"/>
      <c r="S86" s="382"/>
      <c r="T86" s="382"/>
      <c r="U86" s="382"/>
      <c r="V86" s="382"/>
      <c r="W86" s="382"/>
      <c r="X86" s="382"/>
      <c r="Y86" s="382"/>
      <c r="Z86" s="382"/>
      <c r="AA86" s="382"/>
      <c r="AB86" s="382"/>
      <c r="AC86" s="382"/>
      <c r="AD86" s="382"/>
      <c r="AE86" s="382"/>
      <c r="AF86" s="382"/>
      <c r="AG86" s="382"/>
      <c r="AH86" s="382"/>
      <c r="AI86" s="382"/>
      <c r="AJ86" s="382"/>
      <c r="AK86" s="382"/>
      <c r="AL86" s="382"/>
      <c r="AM86" s="382"/>
      <c r="AN86" s="382"/>
      <c r="AO86" s="382"/>
      <c r="AP86" s="382"/>
      <c r="AQ86" s="382"/>
      <c r="AR86" s="382"/>
      <c r="AS86" s="382"/>
      <c r="AT86" s="382"/>
      <c r="AU86" s="382"/>
      <c r="AV86" s="382"/>
      <c r="AW86" s="382"/>
      <c r="AX86" s="382"/>
      <c r="AY86" s="382"/>
    </row>
    <row r="87" spans="1:51" s="379" customFormat="1" ht="38.25" hidden="1" outlineLevel="1">
      <c r="A87" s="379" t="s">
        <v>232</v>
      </c>
      <c r="B87" s="379" t="s">
        <v>233</v>
      </c>
      <c r="C87" s="380" t="s">
        <v>234</v>
      </c>
      <c r="D87" s="381">
        <v>184828.33</v>
      </c>
      <c r="E87" s="381">
        <v>0</v>
      </c>
      <c r="F87" s="379">
        <v>0</v>
      </c>
      <c r="G87" s="379">
        <v>0</v>
      </c>
      <c r="H87" s="382"/>
      <c r="I87" s="382"/>
      <c r="J87" s="382"/>
      <c r="K87" s="382"/>
      <c r="L87" s="382"/>
      <c r="M87" s="382"/>
      <c r="N87" s="382"/>
      <c r="O87" s="382"/>
      <c r="P87" s="382"/>
      <c r="Q87" s="382"/>
      <c r="R87" s="382"/>
      <c r="S87" s="382"/>
      <c r="T87" s="382"/>
      <c r="U87" s="382"/>
      <c r="V87" s="382"/>
      <c r="W87" s="382"/>
      <c r="X87" s="382"/>
      <c r="Y87" s="382"/>
      <c r="Z87" s="382"/>
      <c r="AA87" s="382"/>
      <c r="AB87" s="382"/>
      <c r="AC87" s="382"/>
      <c r="AD87" s="382"/>
      <c r="AE87" s="382"/>
      <c r="AF87" s="382"/>
      <c r="AG87" s="382"/>
      <c r="AH87" s="382"/>
      <c r="AI87" s="382"/>
      <c r="AJ87" s="382"/>
      <c r="AK87" s="382"/>
      <c r="AL87" s="382"/>
      <c r="AM87" s="382"/>
      <c r="AN87" s="382"/>
      <c r="AO87" s="382"/>
      <c r="AP87" s="382"/>
      <c r="AQ87" s="382"/>
      <c r="AR87" s="382"/>
      <c r="AS87" s="382"/>
      <c r="AT87" s="382"/>
      <c r="AU87" s="382"/>
      <c r="AV87" s="382"/>
      <c r="AW87" s="382"/>
      <c r="AX87" s="382"/>
      <c r="AY87" s="382"/>
    </row>
    <row r="88" spans="1:51" s="379" customFormat="1" ht="38.25" hidden="1" outlineLevel="1">
      <c r="A88" s="379" t="s">
        <v>235</v>
      </c>
      <c r="B88" s="379" t="s">
        <v>236</v>
      </c>
      <c r="C88" s="380" t="s">
        <v>237</v>
      </c>
      <c r="D88" s="381">
        <v>59202.36</v>
      </c>
      <c r="E88" s="381">
        <v>0</v>
      </c>
      <c r="F88" s="379">
        <v>0</v>
      </c>
      <c r="G88" s="379">
        <v>0</v>
      </c>
      <c r="H88" s="382"/>
      <c r="I88" s="382"/>
      <c r="J88" s="382"/>
      <c r="K88" s="382"/>
      <c r="L88" s="382"/>
      <c r="M88" s="382"/>
      <c r="N88" s="382"/>
      <c r="O88" s="382"/>
      <c r="P88" s="382"/>
      <c r="Q88" s="382"/>
      <c r="R88" s="382"/>
      <c r="S88" s="382"/>
      <c r="T88" s="382"/>
      <c r="U88" s="382"/>
      <c r="V88" s="382"/>
      <c r="W88" s="382"/>
      <c r="X88" s="382"/>
      <c r="Y88" s="382"/>
      <c r="Z88" s="382"/>
      <c r="AA88" s="382"/>
      <c r="AB88" s="382"/>
      <c r="AC88" s="382"/>
      <c r="AD88" s="382"/>
      <c r="AE88" s="382"/>
      <c r="AF88" s="382"/>
      <c r="AG88" s="382"/>
      <c r="AH88" s="382"/>
      <c r="AI88" s="382"/>
      <c r="AJ88" s="382"/>
      <c r="AK88" s="382"/>
      <c r="AL88" s="382"/>
      <c r="AM88" s="382"/>
      <c r="AN88" s="382"/>
      <c r="AO88" s="382"/>
      <c r="AP88" s="382"/>
      <c r="AQ88" s="382"/>
      <c r="AR88" s="382"/>
      <c r="AS88" s="382"/>
      <c r="AT88" s="382"/>
      <c r="AU88" s="382"/>
      <c r="AV88" s="382"/>
      <c r="AW88" s="382"/>
      <c r="AX88" s="382"/>
      <c r="AY88" s="382"/>
    </row>
    <row r="89" spans="1:51" ht="12.75" customHeight="1" collapsed="1">
      <c r="A89" s="392" t="s">
        <v>544</v>
      </c>
      <c r="B89" s="408" t="s">
        <v>545</v>
      </c>
      <c r="C89" s="409"/>
      <c r="D89" s="411">
        <v>2718055.14</v>
      </c>
      <c r="E89" s="411">
        <v>0</v>
      </c>
      <c r="F89" s="411">
        <v>0</v>
      </c>
      <c r="G89" s="411">
        <v>0</v>
      </c>
      <c r="H89" s="392"/>
      <c r="I89" s="392"/>
      <c r="J89" s="392"/>
      <c r="K89" s="392"/>
      <c r="L89" s="392"/>
      <c r="M89" s="392"/>
      <c r="N89" s="392"/>
      <c r="O89" s="392"/>
      <c r="P89" s="392"/>
      <c r="Q89" s="392"/>
      <c r="R89" s="392"/>
      <c r="S89" s="392"/>
      <c r="T89" s="392"/>
      <c r="U89" s="392"/>
      <c r="V89" s="392"/>
      <c r="W89" s="392"/>
      <c r="X89" s="392"/>
      <c r="Y89" s="392"/>
      <c r="Z89" s="392"/>
      <c r="AA89" s="392"/>
      <c r="AB89" s="392"/>
      <c r="AC89" s="392"/>
      <c r="AD89" s="392"/>
      <c r="AE89" s="392"/>
      <c r="AF89" s="392"/>
      <c r="AG89" s="392"/>
      <c r="AH89" s="392"/>
      <c r="AI89" s="392"/>
      <c r="AJ89" s="392"/>
      <c r="AK89" s="392"/>
      <c r="AL89" s="392"/>
      <c r="AM89" s="392"/>
      <c r="AN89" s="392"/>
      <c r="AO89" s="392"/>
      <c r="AP89" s="392"/>
      <c r="AQ89" s="392"/>
      <c r="AR89" s="392"/>
      <c r="AS89" s="392"/>
      <c r="AT89" s="392"/>
      <c r="AU89" s="392"/>
      <c r="AV89" s="392"/>
      <c r="AW89" s="392"/>
      <c r="AX89" s="392"/>
      <c r="AY89" s="392"/>
    </row>
    <row r="90" spans="1:51" s="379" customFormat="1" ht="38.25" hidden="1" outlineLevel="1">
      <c r="A90" s="379" t="s">
        <v>292</v>
      </c>
      <c r="B90" s="379" t="s">
        <v>293</v>
      </c>
      <c r="C90" s="380" t="s">
        <v>294</v>
      </c>
      <c r="D90" s="381">
        <v>11076.8</v>
      </c>
      <c r="E90" s="381">
        <v>0</v>
      </c>
      <c r="F90" s="379">
        <v>0</v>
      </c>
      <c r="G90" s="379">
        <v>0</v>
      </c>
      <c r="H90" s="382"/>
      <c r="I90" s="382"/>
      <c r="J90" s="382"/>
      <c r="K90" s="382"/>
      <c r="L90" s="382"/>
      <c r="M90" s="382"/>
      <c r="N90" s="382"/>
      <c r="O90" s="382"/>
      <c r="P90" s="382"/>
      <c r="Q90" s="382"/>
      <c r="R90" s="382"/>
      <c r="S90" s="382"/>
      <c r="T90" s="382"/>
      <c r="U90" s="382"/>
      <c r="V90" s="382"/>
      <c r="W90" s="382"/>
      <c r="X90" s="382"/>
      <c r="Y90" s="382"/>
      <c r="Z90" s="382"/>
      <c r="AA90" s="382"/>
      <c r="AB90" s="382"/>
      <c r="AC90" s="382"/>
      <c r="AD90" s="382"/>
      <c r="AE90" s="382"/>
      <c r="AF90" s="382"/>
      <c r="AG90" s="382"/>
      <c r="AH90" s="382"/>
      <c r="AI90" s="382"/>
      <c r="AJ90" s="382"/>
      <c r="AK90" s="382"/>
      <c r="AL90" s="382"/>
      <c r="AM90" s="382"/>
      <c r="AN90" s="382"/>
      <c r="AO90" s="382"/>
      <c r="AP90" s="382"/>
      <c r="AQ90" s="382"/>
      <c r="AR90" s="382"/>
      <c r="AS90" s="382"/>
      <c r="AT90" s="382"/>
      <c r="AU90" s="382"/>
      <c r="AV90" s="382"/>
      <c r="AW90" s="382"/>
      <c r="AX90" s="382"/>
      <c r="AY90" s="382"/>
    </row>
    <row r="91" spans="1:51" s="379" customFormat="1" ht="38.25" hidden="1" outlineLevel="1">
      <c r="A91" s="379" t="s">
        <v>295</v>
      </c>
      <c r="B91" s="379" t="s">
        <v>296</v>
      </c>
      <c r="C91" s="380" t="s">
        <v>297</v>
      </c>
      <c r="D91" s="381">
        <v>21618.81</v>
      </c>
      <c r="E91" s="381">
        <v>0</v>
      </c>
      <c r="F91" s="379">
        <v>0</v>
      </c>
      <c r="G91" s="379">
        <v>0</v>
      </c>
      <c r="H91" s="382"/>
      <c r="I91" s="382"/>
      <c r="J91" s="382"/>
      <c r="K91" s="382"/>
      <c r="L91" s="382"/>
      <c r="M91" s="382"/>
      <c r="N91" s="382"/>
      <c r="O91" s="382"/>
      <c r="P91" s="382"/>
      <c r="Q91" s="382"/>
      <c r="R91" s="382"/>
      <c r="S91" s="382"/>
      <c r="T91" s="382"/>
      <c r="U91" s="382"/>
      <c r="V91" s="382"/>
      <c r="W91" s="382"/>
      <c r="X91" s="382"/>
      <c r="Y91" s="382"/>
      <c r="Z91" s="382"/>
      <c r="AA91" s="382"/>
      <c r="AB91" s="382"/>
      <c r="AC91" s="382"/>
      <c r="AD91" s="382"/>
      <c r="AE91" s="382"/>
      <c r="AF91" s="382"/>
      <c r="AG91" s="382"/>
      <c r="AH91" s="382"/>
      <c r="AI91" s="382"/>
      <c r="AJ91" s="382"/>
      <c r="AK91" s="382"/>
      <c r="AL91" s="382"/>
      <c r="AM91" s="382"/>
      <c r="AN91" s="382"/>
      <c r="AO91" s="382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</row>
    <row r="92" spans="1:51" s="379" customFormat="1" ht="38.25" hidden="1" outlineLevel="1">
      <c r="A92" s="379" t="s">
        <v>298</v>
      </c>
      <c r="B92" s="379" t="s">
        <v>299</v>
      </c>
      <c r="C92" s="380" t="s">
        <v>300</v>
      </c>
      <c r="D92" s="381">
        <v>16664.58</v>
      </c>
      <c r="E92" s="381">
        <v>0</v>
      </c>
      <c r="F92" s="379">
        <v>0</v>
      </c>
      <c r="G92" s="379">
        <v>0</v>
      </c>
      <c r="H92" s="382"/>
      <c r="I92" s="382"/>
      <c r="J92" s="382"/>
      <c r="K92" s="382"/>
      <c r="L92" s="382"/>
      <c r="M92" s="382"/>
      <c r="N92" s="382"/>
      <c r="O92" s="382"/>
      <c r="P92" s="382"/>
      <c r="Q92" s="382"/>
      <c r="R92" s="382"/>
      <c r="S92" s="382"/>
      <c r="T92" s="382"/>
      <c r="U92" s="382"/>
      <c r="V92" s="382"/>
      <c r="W92" s="382"/>
      <c r="X92" s="382"/>
      <c r="Y92" s="382"/>
      <c r="Z92" s="382"/>
      <c r="AA92" s="382"/>
      <c r="AB92" s="382"/>
      <c r="AC92" s="382"/>
      <c r="AD92" s="382"/>
      <c r="AE92" s="382"/>
      <c r="AF92" s="382"/>
      <c r="AG92" s="382"/>
      <c r="AH92" s="382"/>
      <c r="AI92" s="382"/>
      <c r="AJ92" s="382"/>
      <c r="AK92" s="382"/>
      <c r="AL92" s="382"/>
      <c r="AM92" s="382"/>
      <c r="AN92" s="382"/>
      <c r="AO92" s="382"/>
      <c r="AP92" s="382"/>
      <c r="AQ92" s="382"/>
      <c r="AR92" s="382"/>
      <c r="AS92" s="382"/>
      <c r="AT92" s="382"/>
      <c r="AU92" s="382"/>
      <c r="AV92" s="382"/>
      <c r="AW92" s="382"/>
      <c r="AX92" s="382"/>
      <c r="AY92" s="382"/>
    </row>
    <row r="93" spans="1:51" s="379" customFormat="1" ht="38.25" hidden="1" outlineLevel="1">
      <c r="A93" s="379" t="s">
        <v>301</v>
      </c>
      <c r="B93" s="379" t="s">
        <v>302</v>
      </c>
      <c r="C93" s="380" t="s">
        <v>303</v>
      </c>
      <c r="D93" s="381">
        <v>206.57</v>
      </c>
      <c r="E93" s="381">
        <v>0</v>
      </c>
      <c r="F93" s="379">
        <v>0</v>
      </c>
      <c r="G93" s="379">
        <v>0</v>
      </c>
      <c r="H93" s="382"/>
      <c r="I93" s="382"/>
      <c r="J93" s="382"/>
      <c r="K93" s="382"/>
      <c r="L93" s="382"/>
      <c r="M93" s="382"/>
      <c r="N93" s="382"/>
      <c r="O93" s="382"/>
      <c r="P93" s="382"/>
      <c r="Q93" s="382"/>
      <c r="R93" s="382"/>
      <c r="S93" s="382"/>
      <c r="T93" s="382"/>
      <c r="U93" s="382"/>
      <c r="V93" s="382"/>
      <c r="W93" s="382"/>
      <c r="X93" s="382"/>
      <c r="Y93" s="382"/>
      <c r="Z93" s="382"/>
      <c r="AA93" s="382"/>
      <c r="AB93" s="382"/>
      <c r="AC93" s="382"/>
      <c r="AD93" s="382"/>
      <c r="AE93" s="382"/>
      <c r="AF93" s="382"/>
      <c r="AG93" s="382"/>
      <c r="AH93" s="382"/>
      <c r="AI93" s="382"/>
      <c r="AJ93" s="382"/>
      <c r="AK93" s="382"/>
      <c r="AL93" s="382"/>
      <c r="AM93" s="382"/>
      <c r="AN93" s="382"/>
      <c r="AO93" s="382"/>
      <c r="AP93" s="382"/>
      <c r="AQ93" s="382"/>
      <c r="AR93" s="382"/>
      <c r="AS93" s="382"/>
      <c r="AT93" s="382"/>
      <c r="AU93" s="382"/>
      <c r="AV93" s="382"/>
      <c r="AW93" s="382"/>
      <c r="AX93" s="382"/>
      <c r="AY93" s="382"/>
    </row>
    <row r="94" spans="1:51" s="379" customFormat="1" ht="38.25" hidden="1" outlineLevel="1">
      <c r="A94" s="379" t="s">
        <v>2539</v>
      </c>
      <c r="B94" s="379" t="s">
        <v>2540</v>
      </c>
      <c r="C94" s="380" t="s">
        <v>2541</v>
      </c>
      <c r="D94" s="381">
        <v>0</v>
      </c>
      <c r="E94" s="381">
        <v>252266.21</v>
      </c>
      <c r="F94" s="379">
        <v>0</v>
      </c>
      <c r="G94" s="379">
        <v>10489.65</v>
      </c>
      <c r="H94" s="382"/>
      <c r="I94" s="382"/>
      <c r="J94" s="382"/>
      <c r="K94" s="382"/>
      <c r="L94" s="382"/>
      <c r="M94" s="382"/>
      <c r="N94" s="382"/>
      <c r="O94" s="382"/>
      <c r="P94" s="382"/>
      <c r="Q94" s="382"/>
      <c r="R94" s="382"/>
      <c r="S94" s="382"/>
      <c r="T94" s="382"/>
      <c r="U94" s="382"/>
      <c r="V94" s="382"/>
      <c r="W94" s="382"/>
      <c r="X94" s="382"/>
      <c r="Y94" s="382"/>
      <c r="Z94" s="382"/>
      <c r="AA94" s="382"/>
      <c r="AB94" s="382"/>
      <c r="AC94" s="382"/>
      <c r="AD94" s="382"/>
      <c r="AE94" s="382"/>
      <c r="AF94" s="382"/>
      <c r="AG94" s="382"/>
      <c r="AH94" s="382"/>
      <c r="AI94" s="382"/>
      <c r="AJ94" s="382"/>
      <c r="AK94" s="382"/>
      <c r="AL94" s="382"/>
      <c r="AM94" s="382"/>
      <c r="AN94" s="382"/>
      <c r="AO94" s="382"/>
      <c r="AP94" s="382"/>
      <c r="AQ94" s="382"/>
      <c r="AR94" s="382"/>
      <c r="AS94" s="382"/>
      <c r="AT94" s="382"/>
      <c r="AU94" s="382"/>
      <c r="AV94" s="382"/>
      <c r="AW94" s="382"/>
      <c r="AX94" s="382"/>
      <c r="AY94" s="382"/>
    </row>
    <row r="95" spans="1:51" s="379" customFormat="1" ht="38.25" hidden="1" outlineLevel="1">
      <c r="A95" s="379" t="s">
        <v>2542</v>
      </c>
      <c r="B95" s="379" t="s">
        <v>2543</v>
      </c>
      <c r="C95" s="380" t="s">
        <v>2544</v>
      </c>
      <c r="D95" s="381">
        <v>0</v>
      </c>
      <c r="E95" s="381">
        <v>110243.18</v>
      </c>
      <c r="F95" s="379">
        <v>0</v>
      </c>
      <c r="G95" s="379">
        <v>0</v>
      </c>
      <c r="H95" s="382"/>
      <c r="I95" s="382"/>
      <c r="J95" s="382"/>
      <c r="K95" s="382"/>
      <c r="L95" s="382"/>
      <c r="M95" s="382"/>
      <c r="N95" s="382"/>
      <c r="O95" s="382"/>
      <c r="P95" s="382"/>
      <c r="Q95" s="382"/>
      <c r="R95" s="382"/>
      <c r="S95" s="382"/>
      <c r="T95" s="382"/>
      <c r="U95" s="382"/>
      <c r="V95" s="382"/>
      <c r="W95" s="382"/>
      <c r="X95" s="382"/>
      <c r="Y95" s="382"/>
      <c r="Z95" s="382"/>
      <c r="AA95" s="382"/>
      <c r="AB95" s="382"/>
      <c r="AC95" s="382"/>
      <c r="AD95" s="382"/>
      <c r="AE95" s="382"/>
      <c r="AF95" s="382"/>
      <c r="AG95" s="382"/>
      <c r="AH95" s="382"/>
      <c r="AI95" s="382"/>
      <c r="AJ95" s="382"/>
      <c r="AK95" s="382"/>
      <c r="AL95" s="382"/>
      <c r="AM95" s="382"/>
      <c r="AN95" s="382"/>
      <c r="AO95" s="382"/>
      <c r="AP95" s="382"/>
      <c r="AQ95" s="382"/>
      <c r="AR95" s="382"/>
      <c r="AS95" s="382"/>
      <c r="AT95" s="382"/>
      <c r="AU95" s="382"/>
      <c r="AV95" s="382"/>
      <c r="AW95" s="382"/>
      <c r="AX95" s="382"/>
      <c r="AY95" s="382"/>
    </row>
    <row r="96" spans="1:51" s="379" customFormat="1" ht="38.25" hidden="1" outlineLevel="1">
      <c r="A96" s="379" t="s">
        <v>2545</v>
      </c>
      <c r="B96" s="379" t="s">
        <v>2546</v>
      </c>
      <c r="C96" s="380" t="s">
        <v>2547</v>
      </c>
      <c r="D96" s="381">
        <v>0</v>
      </c>
      <c r="E96" s="381">
        <v>581385.86</v>
      </c>
      <c r="F96" s="379">
        <v>0</v>
      </c>
      <c r="G96" s="379">
        <v>0</v>
      </c>
      <c r="H96" s="382"/>
      <c r="I96" s="382"/>
      <c r="J96" s="382"/>
      <c r="K96" s="382"/>
      <c r="L96" s="382"/>
      <c r="M96" s="382"/>
      <c r="N96" s="382"/>
      <c r="O96" s="382"/>
      <c r="P96" s="382"/>
      <c r="Q96" s="382"/>
      <c r="R96" s="382"/>
      <c r="S96" s="382"/>
      <c r="T96" s="382"/>
      <c r="U96" s="382"/>
      <c r="V96" s="382"/>
      <c r="W96" s="382"/>
      <c r="X96" s="382"/>
      <c r="Y96" s="382"/>
      <c r="Z96" s="382"/>
      <c r="AA96" s="382"/>
      <c r="AB96" s="382"/>
      <c r="AC96" s="382"/>
      <c r="AD96" s="382"/>
      <c r="AE96" s="382"/>
      <c r="AF96" s="382"/>
      <c r="AG96" s="382"/>
      <c r="AH96" s="382"/>
      <c r="AI96" s="382"/>
      <c r="AJ96" s="382"/>
      <c r="AK96" s="382"/>
      <c r="AL96" s="382"/>
      <c r="AM96" s="382"/>
      <c r="AN96" s="382"/>
      <c r="AO96" s="382"/>
      <c r="AP96" s="382"/>
      <c r="AQ96" s="382"/>
      <c r="AR96" s="382"/>
      <c r="AS96" s="382"/>
      <c r="AT96" s="382"/>
      <c r="AU96" s="382"/>
      <c r="AV96" s="382"/>
      <c r="AW96" s="382"/>
      <c r="AX96" s="382"/>
      <c r="AY96" s="382"/>
    </row>
    <row r="97" spans="1:51" s="379" customFormat="1" ht="38.25" hidden="1" outlineLevel="1">
      <c r="A97" s="379" t="s">
        <v>2548</v>
      </c>
      <c r="B97" s="379" t="s">
        <v>2549</v>
      </c>
      <c r="C97" s="380" t="s">
        <v>2550</v>
      </c>
      <c r="D97" s="381">
        <v>0</v>
      </c>
      <c r="E97" s="381">
        <v>0</v>
      </c>
      <c r="F97" s="379">
        <v>0</v>
      </c>
      <c r="G97" s="379">
        <v>3629.62</v>
      </c>
      <c r="H97" s="382"/>
      <c r="I97" s="382"/>
      <c r="J97" s="382"/>
      <c r="K97" s="382"/>
      <c r="L97" s="382"/>
      <c r="M97" s="382"/>
      <c r="N97" s="382"/>
      <c r="O97" s="382"/>
      <c r="P97" s="382"/>
      <c r="Q97" s="382"/>
      <c r="R97" s="382"/>
      <c r="S97" s="382"/>
      <c r="T97" s="382"/>
      <c r="U97" s="382"/>
      <c r="V97" s="382"/>
      <c r="W97" s="382"/>
      <c r="X97" s="382"/>
      <c r="Y97" s="382"/>
      <c r="Z97" s="382"/>
      <c r="AA97" s="382"/>
      <c r="AB97" s="382"/>
      <c r="AC97" s="382"/>
      <c r="AD97" s="382"/>
      <c r="AE97" s="382"/>
      <c r="AF97" s="382"/>
      <c r="AG97" s="382"/>
      <c r="AH97" s="382"/>
      <c r="AI97" s="382"/>
      <c r="AJ97" s="382"/>
      <c r="AK97" s="382"/>
      <c r="AL97" s="382"/>
      <c r="AM97" s="382"/>
      <c r="AN97" s="382"/>
      <c r="AO97" s="382"/>
      <c r="AP97" s="382"/>
      <c r="AQ97" s="382"/>
      <c r="AR97" s="382"/>
      <c r="AS97" s="382"/>
      <c r="AT97" s="382"/>
      <c r="AU97" s="382"/>
      <c r="AV97" s="382"/>
      <c r="AW97" s="382"/>
      <c r="AX97" s="382"/>
      <c r="AY97" s="382"/>
    </row>
    <row r="98" spans="1:51" s="379" customFormat="1" ht="38.25" hidden="1" outlineLevel="1">
      <c r="A98" s="379" t="s">
        <v>304</v>
      </c>
      <c r="B98" s="379" t="s">
        <v>305</v>
      </c>
      <c r="C98" s="380" t="s">
        <v>306</v>
      </c>
      <c r="D98" s="381">
        <v>0</v>
      </c>
      <c r="E98" s="381">
        <v>94545.92</v>
      </c>
      <c r="F98" s="379">
        <v>0</v>
      </c>
      <c r="G98" s="379">
        <v>0</v>
      </c>
      <c r="H98" s="382"/>
      <c r="I98" s="382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2"/>
      <c r="U98" s="382"/>
      <c r="V98" s="382"/>
      <c r="W98" s="382"/>
      <c r="X98" s="382"/>
      <c r="Y98" s="382"/>
      <c r="Z98" s="382"/>
      <c r="AA98" s="382"/>
      <c r="AB98" s="382"/>
      <c r="AC98" s="382"/>
      <c r="AD98" s="382"/>
      <c r="AE98" s="382"/>
      <c r="AF98" s="382"/>
      <c r="AG98" s="382"/>
      <c r="AH98" s="382"/>
      <c r="AI98" s="382"/>
      <c r="AJ98" s="382"/>
      <c r="AK98" s="382"/>
      <c r="AL98" s="382"/>
      <c r="AM98" s="382"/>
      <c r="AN98" s="382"/>
      <c r="AO98" s="382"/>
      <c r="AP98" s="382"/>
      <c r="AQ98" s="382"/>
      <c r="AR98" s="382"/>
      <c r="AS98" s="382"/>
      <c r="AT98" s="382"/>
      <c r="AU98" s="382"/>
      <c r="AV98" s="382"/>
      <c r="AW98" s="382"/>
      <c r="AX98" s="382"/>
      <c r="AY98" s="382"/>
    </row>
    <row r="99" spans="1:51" ht="12.75" customHeight="1" collapsed="1">
      <c r="A99" s="392" t="s">
        <v>546</v>
      </c>
      <c r="B99" s="408" t="s">
        <v>547</v>
      </c>
      <c r="C99" s="409"/>
      <c r="D99" s="411">
        <v>49566.76</v>
      </c>
      <c r="E99" s="411">
        <v>1038441.17</v>
      </c>
      <c r="F99" s="411">
        <v>0</v>
      </c>
      <c r="G99" s="411">
        <v>14119.27</v>
      </c>
      <c r="H99" s="392"/>
      <c r="I99" s="392"/>
      <c r="J99" s="392"/>
      <c r="K99" s="392"/>
      <c r="L99" s="392"/>
      <c r="M99" s="392"/>
      <c r="N99" s="392"/>
      <c r="O99" s="392"/>
      <c r="P99" s="392"/>
      <c r="Q99" s="392"/>
      <c r="R99" s="392"/>
      <c r="S99" s="392"/>
      <c r="T99" s="392"/>
      <c r="U99" s="392"/>
      <c r="V99" s="392"/>
      <c r="W99" s="392"/>
      <c r="X99" s="392"/>
      <c r="Y99" s="392"/>
      <c r="Z99" s="392"/>
      <c r="AA99" s="392"/>
      <c r="AB99" s="392"/>
      <c r="AC99" s="392"/>
      <c r="AD99" s="392"/>
      <c r="AE99" s="392"/>
      <c r="AF99" s="392"/>
      <c r="AG99" s="392"/>
      <c r="AH99" s="392"/>
      <c r="AI99" s="392"/>
      <c r="AJ99" s="392"/>
      <c r="AK99" s="392"/>
      <c r="AL99" s="392"/>
      <c r="AM99" s="392"/>
      <c r="AN99" s="392"/>
      <c r="AO99" s="392"/>
      <c r="AP99" s="392"/>
      <c r="AQ99" s="392"/>
      <c r="AR99" s="392"/>
      <c r="AS99" s="392"/>
      <c r="AT99" s="392"/>
      <c r="AU99" s="392"/>
      <c r="AV99" s="392"/>
      <c r="AW99" s="392"/>
      <c r="AX99" s="392"/>
      <c r="AY99" s="392"/>
    </row>
    <row r="100" spans="1:51" s="379" customFormat="1" ht="38.25" hidden="1" outlineLevel="1">
      <c r="A100" s="379" t="s">
        <v>2221</v>
      </c>
      <c r="B100" s="379" t="s">
        <v>2222</v>
      </c>
      <c r="C100" s="380" t="s">
        <v>2223</v>
      </c>
      <c r="D100" s="381">
        <v>25200.05</v>
      </c>
      <c r="E100" s="381">
        <v>83184.96</v>
      </c>
      <c r="F100" s="379">
        <v>39310.61</v>
      </c>
      <c r="G100" s="379">
        <v>36001.89</v>
      </c>
      <c r="H100" s="382"/>
      <c r="I100" s="382"/>
      <c r="J100" s="382"/>
      <c r="K100" s="382"/>
      <c r="L100" s="382"/>
      <c r="M100" s="382"/>
      <c r="N100" s="382"/>
      <c r="O100" s="382"/>
      <c r="P100" s="382"/>
      <c r="Q100" s="382"/>
      <c r="R100" s="382"/>
      <c r="S100" s="382"/>
      <c r="T100" s="382"/>
      <c r="U100" s="382"/>
      <c r="V100" s="382"/>
      <c r="W100" s="382"/>
      <c r="X100" s="382"/>
      <c r="Y100" s="382"/>
      <c r="Z100" s="382"/>
      <c r="AA100" s="382"/>
      <c r="AB100" s="382"/>
      <c r="AC100" s="382"/>
      <c r="AD100" s="382"/>
      <c r="AE100" s="382"/>
      <c r="AF100" s="382"/>
      <c r="AG100" s="382"/>
      <c r="AH100" s="382"/>
      <c r="AI100" s="382"/>
      <c r="AJ100" s="382"/>
      <c r="AK100" s="382"/>
      <c r="AL100" s="382"/>
      <c r="AM100" s="382"/>
      <c r="AN100" s="382"/>
      <c r="AO100" s="382"/>
      <c r="AP100" s="382"/>
      <c r="AQ100" s="382"/>
      <c r="AR100" s="382"/>
      <c r="AS100" s="382"/>
      <c r="AT100" s="382"/>
      <c r="AU100" s="382"/>
      <c r="AV100" s="382"/>
      <c r="AW100" s="382"/>
      <c r="AX100" s="382"/>
      <c r="AY100" s="382"/>
    </row>
    <row r="101" spans="1:51" s="379" customFormat="1" ht="38.25" hidden="1" outlineLevel="1">
      <c r="A101" s="379" t="s">
        <v>2224</v>
      </c>
      <c r="B101" s="379" t="s">
        <v>2225</v>
      </c>
      <c r="C101" s="380" t="s">
        <v>2226</v>
      </c>
      <c r="D101" s="381">
        <v>1862.68</v>
      </c>
      <c r="E101" s="381">
        <v>16911.37</v>
      </c>
      <c r="F101" s="379">
        <v>302.31</v>
      </c>
      <c r="G101" s="379">
        <v>0</v>
      </c>
      <c r="H101" s="382"/>
      <c r="I101" s="382"/>
      <c r="J101" s="382"/>
      <c r="K101" s="382"/>
      <c r="L101" s="382"/>
      <c r="M101" s="382"/>
      <c r="N101" s="382"/>
      <c r="O101" s="382"/>
      <c r="P101" s="382"/>
      <c r="Q101" s="382"/>
      <c r="R101" s="382"/>
      <c r="S101" s="382"/>
      <c r="T101" s="382"/>
      <c r="U101" s="382"/>
      <c r="V101" s="382"/>
      <c r="W101" s="382"/>
      <c r="X101" s="382"/>
      <c r="Y101" s="382"/>
      <c r="Z101" s="382"/>
      <c r="AA101" s="382"/>
      <c r="AB101" s="382"/>
      <c r="AC101" s="382"/>
      <c r="AD101" s="382"/>
      <c r="AE101" s="382"/>
      <c r="AF101" s="382"/>
      <c r="AG101" s="382"/>
      <c r="AH101" s="382"/>
      <c r="AI101" s="382"/>
      <c r="AJ101" s="382"/>
      <c r="AK101" s="382"/>
      <c r="AL101" s="382"/>
      <c r="AM101" s="382"/>
      <c r="AN101" s="382"/>
      <c r="AO101" s="382"/>
      <c r="AP101" s="382"/>
      <c r="AQ101" s="382"/>
      <c r="AR101" s="382"/>
      <c r="AS101" s="382"/>
      <c r="AT101" s="382"/>
      <c r="AU101" s="382"/>
      <c r="AV101" s="382"/>
      <c r="AW101" s="382"/>
      <c r="AX101" s="382"/>
      <c r="AY101" s="382"/>
    </row>
    <row r="102" spans="1:51" s="379" customFormat="1" ht="38.25" hidden="1" outlineLevel="1">
      <c r="A102" s="379" t="s">
        <v>2230</v>
      </c>
      <c r="B102" s="379" t="s">
        <v>2231</v>
      </c>
      <c r="C102" s="380" t="s">
        <v>2232</v>
      </c>
      <c r="D102" s="381">
        <v>0</v>
      </c>
      <c r="E102" s="381">
        <v>25.96</v>
      </c>
      <c r="F102" s="379">
        <v>12.95</v>
      </c>
      <c r="G102" s="379">
        <v>0</v>
      </c>
      <c r="H102" s="382"/>
      <c r="I102" s="382"/>
      <c r="J102" s="382"/>
      <c r="K102" s="382"/>
      <c r="L102" s="382"/>
      <c r="M102" s="382"/>
      <c r="N102" s="382"/>
      <c r="O102" s="382"/>
      <c r="P102" s="382"/>
      <c r="Q102" s="382"/>
      <c r="R102" s="382"/>
      <c r="S102" s="382"/>
      <c r="T102" s="382"/>
      <c r="U102" s="382"/>
      <c r="V102" s="382"/>
      <c r="W102" s="382"/>
      <c r="X102" s="382"/>
      <c r="Y102" s="382"/>
      <c r="Z102" s="382"/>
      <c r="AA102" s="382"/>
      <c r="AB102" s="382"/>
      <c r="AC102" s="382"/>
      <c r="AD102" s="382"/>
      <c r="AE102" s="382"/>
      <c r="AF102" s="382"/>
      <c r="AG102" s="382"/>
      <c r="AH102" s="382"/>
      <c r="AI102" s="382"/>
      <c r="AJ102" s="382"/>
      <c r="AK102" s="382"/>
      <c r="AL102" s="382"/>
      <c r="AM102" s="382"/>
      <c r="AN102" s="382"/>
      <c r="AO102" s="382"/>
      <c r="AP102" s="382"/>
      <c r="AQ102" s="382"/>
      <c r="AR102" s="382"/>
      <c r="AS102" s="382"/>
      <c r="AT102" s="382"/>
      <c r="AU102" s="382"/>
      <c r="AV102" s="382"/>
      <c r="AW102" s="382"/>
      <c r="AX102" s="382"/>
      <c r="AY102" s="382"/>
    </row>
    <row r="103" spans="1:51" s="379" customFormat="1" ht="38.25" hidden="1" outlineLevel="1">
      <c r="A103" s="379" t="s">
        <v>2239</v>
      </c>
      <c r="B103" s="379" t="s">
        <v>2240</v>
      </c>
      <c r="C103" s="380" t="s">
        <v>2241</v>
      </c>
      <c r="D103" s="381">
        <v>0</v>
      </c>
      <c r="E103" s="381">
        <v>1569.99</v>
      </c>
      <c r="F103" s="379">
        <v>16618.38</v>
      </c>
      <c r="G103" s="379">
        <v>99</v>
      </c>
      <c r="H103" s="382"/>
      <c r="I103" s="382"/>
      <c r="J103" s="382"/>
      <c r="K103" s="382"/>
      <c r="L103" s="382"/>
      <c r="M103" s="382"/>
      <c r="N103" s="382"/>
      <c r="O103" s="382"/>
      <c r="P103" s="382"/>
      <c r="Q103" s="382"/>
      <c r="R103" s="382"/>
      <c r="S103" s="382"/>
      <c r="T103" s="382"/>
      <c r="U103" s="382"/>
      <c r="V103" s="382"/>
      <c r="W103" s="382"/>
      <c r="X103" s="382"/>
      <c r="Y103" s="382"/>
      <c r="Z103" s="382"/>
      <c r="AA103" s="382"/>
      <c r="AB103" s="382"/>
      <c r="AC103" s="382"/>
      <c r="AD103" s="382"/>
      <c r="AE103" s="382"/>
      <c r="AF103" s="382"/>
      <c r="AG103" s="382"/>
      <c r="AH103" s="382"/>
      <c r="AI103" s="382"/>
      <c r="AJ103" s="382"/>
      <c r="AK103" s="382"/>
      <c r="AL103" s="382"/>
      <c r="AM103" s="382"/>
      <c r="AN103" s="382"/>
      <c r="AO103" s="382"/>
      <c r="AP103" s="382"/>
      <c r="AQ103" s="382"/>
      <c r="AR103" s="382"/>
      <c r="AS103" s="382"/>
      <c r="AT103" s="382"/>
      <c r="AU103" s="382"/>
      <c r="AV103" s="382"/>
      <c r="AW103" s="382"/>
      <c r="AX103" s="382"/>
      <c r="AY103" s="382"/>
    </row>
    <row r="104" spans="1:51" s="379" customFormat="1" ht="38.25" hidden="1" outlineLevel="1">
      <c r="A104" s="379" t="s">
        <v>2245</v>
      </c>
      <c r="B104" s="379" t="s">
        <v>2246</v>
      </c>
      <c r="C104" s="380" t="s">
        <v>2247</v>
      </c>
      <c r="D104" s="381">
        <v>0</v>
      </c>
      <c r="E104" s="381">
        <v>0</v>
      </c>
      <c r="F104" s="379">
        <v>176908.75</v>
      </c>
      <c r="G104" s="379">
        <v>0</v>
      </c>
      <c r="H104" s="382"/>
      <c r="I104" s="382"/>
      <c r="J104" s="382"/>
      <c r="K104" s="382"/>
      <c r="L104" s="382"/>
      <c r="M104" s="382"/>
      <c r="N104" s="382"/>
      <c r="O104" s="382"/>
      <c r="P104" s="382"/>
      <c r="Q104" s="382"/>
      <c r="R104" s="382"/>
      <c r="S104" s="382"/>
      <c r="T104" s="382"/>
      <c r="U104" s="382"/>
      <c r="V104" s="382"/>
      <c r="W104" s="382"/>
      <c r="X104" s="382"/>
      <c r="Y104" s="382"/>
      <c r="Z104" s="382"/>
      <c r="AA104" s="382"/>
      <c r="AB104" s="382"/>
      <c r="AC104" s="382"/>
      <c r="AD104" s="382"/>
      <c r="AE104" s="382"/>
      <c r="AF104" s="382"/>
      <c r="AG104" s="382"/>
      <c r="AH104" s="382"/>
      <c r="AI104" s="382"/>
      <c r="AJ104" s="382"/>
      <c r="AK104" s="382"/>
      <c r="AL104" s="382"/>
      <c r="AM104" s="382"/>
      <c r="AN104" s="382"/>
      <c r="AO104" s="382"/>
      <c r="AP104" s="382"/>
      <c r="AQ104" s="382"/>
      <c r="AR104" s="382"/>
      <c r="AS104" s="382"/>
      <c r="AT104" s="382"/>
      <c r="AU104" s="382"/>
      <c r="AV104" s="382"/>
      <c r="AW104" s="382"/>
      <c r="AX104" s="382"/>
      <c r="AY104" s="382"/>
    </row>
    <row r="105" spans="1:51" s="379" customFormat="1" ht="38.25" hidden="1" outlineLevel="1">
      <c r="A105" s="379" t="s">
        <v>2248</v>
      </c>
      <c r="B105" s="379" t="s">
        <v>2249</v>
      </c>
      <c r="C105" s="380" t="s">
        <v>2250</v>
      </c>
      <c r="D105" s="381">
        <v>0</v>
      </c>
      <c r="E105" s="381">
        <v>0</v>
      </c>
      <c r="F105" s="379">
        <v>11649.31</v>
      </c>
      <c r="G105" s="379">
        <v>0</v>
      </c>
      <c r="H105" s="382"/>
      <c r="I105" s="382"/>
      <c r="J105" s="382"/>
      <c r="K105" s="382"/>
      <c r="L105" s="382"/>
      <c r="M105" s="382"/>
      <c r="N105" s="382"/>
      <c r="O105" s="382"/>
      <c r="P105" s="382"/>
      <c r="Q105" s="382"/>
      <c r="R105" s="382"/>
      <c r="S105" s="382"/>
      <c r="T105" s="382"/>
      <c r="U105" s="382"/>
      <c r="V105" s="382"/>
      <c r="W105" s="382"/>
      <c r="X105" s="382"/>
      <c r="Y105" s="382"/>
      <c r="Z105" s="382"/>
      <c r="AA105" s="382"/>
      <c r="AB105" s="382"/>
      <c r="AC105" s="382"/>
      <c r="AD105" s="382"/>
      <c r="AE105" s="382"/>
      <c r="AF105" s="382"/>
      <c r="AG105" s="382"/>
      <c r="AH105" s="382"/>
      <c r="AI105" s="382"/>
      <c r="AJ105" s="382"/>
      <c r="AK105" s="382"/>
      <c r="AL105" s="382"/>
      <c r="AM105" s="382"/>
      <c r="AN105" s="382"/>
      <c r="AO105" s="382"/>
      <c r="AP105" s="382"/>
      <c r="AQ105" s="382"/>
      <c r="AR105" s="382"/>
      <c r="AS105" s="382"/>
      <c r="AT105" s="382"/>
      <c r="AU105" s="382"/>
      <c r="AV105" s="382"/>
      <c r="AW105" s="382"/>
      <c r="AX105" s="382"/>
      <c r="AY105" s="382"/>
    </row>
    <row r="106" spans="1:51" s="379" customFormat="1" ht="38.25" hidden="1" outlineLevel="1">
      <c r="A106" s="379" t="s">
        <v>2254</v>
      </c>
      <c r="B106" s="379" t="s">
        <v>2255</v>
      </c>
      <c r="C106" s="380" t="s">
        <v>2256</v>
      </c>
      <c r="D106" s="381">
        <v>0</v>
      </c>
      <c r="E106" s="381">
        <v>5757.13</v>
      </c>
      <c r="F106" s="379">
        <v>0</v>
      </c>
      <c r="G106" s="379">
        <v>0</v>
      </c>
      <c r="H106" s="382"/>
      <c r="I106" s="382"/>
      <c r="J106" s="382"/>
      <c r="K106" s="382"/>
      <c r="L106" s="382"/>
      <c r="M106" s="382"/>
      <c r="N106" s="382"/>
      <c r="O106" s="382"/>
      <c r="P106" s="382"/>
      <c r="Q106" s="382"/>
      <c r="R106" s="382"/>
      <c r="S106" s="382"/>
      <c r="T106" s="382"/>
      <c r="U106" s="382"/>
      <c r="V106" s="382"/>
      <c r="W106" s="382"/>
      <c r="X106" s="382"/>
      <c r="Y106" s="382"/>
      <c r="Z106" s="382"/>
      <c r="AA106" s="382"/>
      <c r="AB106" s="382"/>
      <c r="AC106" s="382"/>
      <c r="AD106" s="382"/>
      <c r="AE106" s="382"/>
      <c r="AF106" s="382"/>
      <c r="AG106" s="382"/>
      <c r="AH106" s="382"/>
      <c r="AI106" s="382"/>
      <c r="AJ106" s="382"/>
      <c r="AK106" s="382"/>
      <c r="AL106" s="382"/>
      <c r="AM106" s="382"/>
      <c r="AN106" s="382"/>
      <c r="AO106" s="382"/>
      <c r="AP106" s="382"/>
      <c r="AQ106" s="382"/>
      <c r="AR106" s="382"/>
      <c r="AS106" s="382"/>
      <c r="AT106" s="382"/>
      <c r="AU106" s="382"/>
      <c r="AV106" s="382"/>
      <c r="AW106" s="382"/>
      <c r="AX106" s="382"/>
      <c r="AY106" s="382"/>
    </row>
    <row r="107" spans="1:51" s="379" customFormat="1" ht="38.25" hidden="1" outlineLevel="1">
      <c r="A107" s="379" t="s">
        <v>2257</v>
      </c>
      <c r="B107" s="379" t="s">
        <v>2258</v>
      </c>
      <c r="C107" s="380" t="s">
        <v>2259</v>
      </c>
      <c r="D107" s="381">
        <v>0</v>
      </c>
      <c r="E107" s="381">
        <v>0</v>
      </c>
      <c r="F107" s="379">
        <v>600</v>
      </c>
      <c r="G107" s="379">
        <v>0</v>
      </c>
      <c r="H107" s="382"/>
      <c r="I107" s="382"/>
      <c r="J107" s="382"/>
      <c r="K107" s="382"/>
      <c r="L107" s="382"/>
      <c r="M107" s="382"/>
      <c r="N107" s="382"/>
      <c r="O107" s="382"/>
      <c r="P107" s="382"/>
      <c r="Q107" s="382"/>
      <c r="R107" s="382"/>
      <c r="S107" s="382"/>
      <c r="T107" s="382"/>
      <c r="U107" s="382"/>
      <c r="V107" s="382"/>
      <c r="W107" s="382"/>
      <c r="X107" s="382"/>
      <c r="Y107" s="382"/>
      <c r="Z107" s="382"/>
      <c r="AA107" s="382"/>
      <c r="AB107" s="382"/>
      <c r="AC107" s="382"/>
      <c r="AD107" s="382"/>
      <c r="AE107" s="382"/>
      <c r="AF107" s="382"/>
      <c r="AG107" s="382"/>
      <c r="AH107" s="382"/>
      <c r="AI107" s="382"/>
      <c r="AJ107" s="382"/>
      <c r="AK107" s="382"/>
      <c r="AL107" s="382"/>
      <c r="AM107" s="382"/>
      <c r="AN107" s="382"/>
      <c r="AO107" s="382"/>
      <c r="AP107" s="382"/>
      <c r="AQ107" s="382"/>
      <c r="AR107" s="382"/>
      <c r="AS107" s="382"/>
      <c r="AT107" s="382"/>
      <c r="AU107" s="382"/>
      <c r="AV107" s="382"/>
      <c r="AW107" s="382"/>
      <c r="AX107" s="382"/>
      <c r="AY107" s="382"/>
    </row>
    <row r="108" spans="1:51" s="379" customFormat="1" ht="38.25" hidden="1" outlineLevel="1">
      <c r="A108" s="379" t="s">
        <v>2260</v>
      </c>
      <c r="B108" s="379" t="s">
        <v>2261</v>
      </c>
      <c r="C108" s="380" t="s">
        <v>2262</v>
      </c>
      <c r="D108" s="381">
        <v>0</v>
      </c>
      <c r="E108" s="381">
        <v>1974.82</v>
      </c>
      <c r="F108" s="379">
        <v>0</v>
      </c>
      <c r="G108" s="379">
        <v>0</v>
      </c>
      <c r="H108" s="382"/>
      <c r="I108" s="382"/>
      <c r="J108" s="382"/>
      <c r="K108" s="382"/>
      <c r="L108" s="382"/>
      <c r="M108" s="382"/>
      <c r="N108" s="382"/>
      <c r="O108" s="382"/>
      <c r="P108" s="382"/>
      <c r="Q108" s="382"/>
      <c r="R108" s="382"/>
      <c r="S108" s="382"/>
      <c r="T108" s="382"/>
      <c r="U108" s="382"/>
      <c r="V108" s="382"/>
      <c r="W108" s="382"/>
      <c r="X108" s="382"/>
      <c r="Y108" s="382"/>
      <c r="Z108" s="382"/>
      <c r="AA108" s="382"/>
      <c r="AB108" s="382"/>
      <c r="AC108" s="382"/>
      <c r="AD108" s="382"/>
      <c r="AE108" s="382"/>
      <c r="AF108" s="382"/>
      <c r="AG108" s="382"/>
      <c r="AH108" s="382"/>
      <c r="AI108" s="382"/>
      <c r="AJ108" s="382"/>
      <c r="AK108" s="382"/>
      <c r="AL108" s="382"/>
      <c r="AM108" s="382"/>
      <c r="AN108" s="382"/>
      <c r="AO108" s="382"/>
      <c r="AP108" s="382"/>
      <c r="AQ108" s="382"/>
      <c r="AR108" s="382"/>
      <c r="AS108" s="382"/>
      <c r="AT108" s="382"/>
      <c r="AU108" s="382"/>
      <c r="AV108" s="382"/>
      <c r="AW108" s="382"/>
      <c r="AX108" s="382"/>
      <c r="AY108" s="382"/>
    </row>
    <row r="109" spans="1:51" s="379" customFormat="1" ht="38.25" hidden="1" outlineLevel="1">
      <c r="A109" s="379" t="s">
        <v>2263</v>
      </c>
      <c r="B109" s="379" t="s">
        <v>2264</v>
      </c>
      <c r="C109" s="380" t="s">
        <v>2265</v>
      </c>
      <c r="D109" s="381">
        <v>617.14</v>
      </c>
      <c r="E109" s="381">
        <v>454.88</v>
      </c>
      <c r="F109" s="379">
        <v>0</v>
      </c>
      <c r="G109" s="379">
        <v>5586.75</v>
      </c>
      <c r="H109" s="382"/>
      <c r="I109" s="382"/>
      <c r="J109" s="382"/>
      <c r="K109" s="382"/>
      <c r="L109" s="382"/>
      <c r="M109" s="382"/>
      <c r="N109" s="382"/>
      <c r="O109" s="382"/>
      <c r="P109" s="382"/>
      <c r="Q109" s="382"/>
      <c r="R109" s="382"/>
      <c r="S109" s="382"/>
      <c r="T109" s="382"/>
      <c r="U109" s="382"/>
      <c r="V109" s="382"/>
      <c r="W109" s="382"/>
      <c r="X109" s="382"/>
      <c r="Y109" s="382"/>
      <c r="Z109" s="382"/>
      <c r="AA109" s="382"/>
      <c r="AB109" s="382"/>
      <c r="AC109" s="382"/>
      <c r="AD109" s="382"/>
      <c r="AE109" s="382"/>
      <c r="AF109" s="382"/>
      <c r="AG109" s="382"/>
      <c r="AH109" s="382"/>
      <c r="AI109" s="382"/>
      <c r="AJ109" s="382"/>
      <c r="AK109" s="382"/>
      <c r="AL109" s="382"/>
      <c r="AM109" s="382"/>
      <c r="AN109" s="382"/>
      <c r="AO109" s="382"/>
      <c r="AP109" s="382"/>
      <c r="AQ109" s="382"/>
      <c r="AR109" s="382"/>
      <c r="AS109" s="382"/>
      <c r="AT109" s="382"/>
      <c r="AU109" s="382"/>
      <c r="AV109" s="382"/>
      <c r="AW109" s="382"/>
      <c r="AX109" s="382"/>
      <c r="AY109" s="382"/>
    </row>
    <row r="110" spans="1:51" s="379" customFormat="1" ht="38.25" hidden="1" outlineLevel="1">
      <c r="A110" s="379" t="s">
        <v>2272</v>
      </c>
      <c r="B110" s="379" t="s">
        <v>2273</v>
      </c>
      <c r="C110" s="380" t="s">
        <v>2274</v>
      </c>
      <c r="D110" s="381">
        <v>0</v>
      </c>
      <c r="E110" s="381">
        <v>0</v>
      </c>
      <c r="F110" s="379">
        <v>12510.86</v>
      </c>
      <c r="G110" s="379">
        <v>0</v>
      </c>
      <c r="H110" s="382"/>
      <c r="I110" s="382"/>
      <c r="J110" s="382"/>
      <c r="K110" s="382"/>
      <c r="L110" s="382"/>
      <c r="M110" s="382"/>
      <c r="N110" s="382"/>
      <c r="O110" s="382"/>
      <c r="P110" s="382"/>
      <c r="Q110" s="382"/>
      <c r="R110" s="382"/>
      <c r="S110" s="382"/>
      <c r="T110" s="382"/>
      <c r="U110" s="382"/>
      <c r="V110" s="382"/>
      <c r="W110" s="382"/>
      <c r="X110" s="382"/>
      <c r="Y110" s="382"/>
      <c r="Z110" s="382"/>
      <c r="AA110" s="382"/>
      <c r="AB110" s="382"/>
      <c r="AC110" s="382"/>
      <c r="AD110" s="382"/>
      <c r="AE110" s="382"/>
      <c r="AF110" s="382"/>
      <c r="AG110" s="382"/>
      <c r="AH110" s="382"/>
      <c r="AI110" s="382"/>
      <c r="AJ110" s="382"/>
      <c r="AK110" s="382"/>
      <c r="AL110" s="382"/>
      <c r="AM110" s="382"/>
      <c r="AN110" s="382"/>
      <c r="AO110" s="382"/>
      <c r="AP110" s="382"/>
      <c r="AQ110" s="382"/>
      <c r="AR110" s="382"/>
      <c r="AS110" s="382"/>
      <c r="AT110" s="382"/>
      <c r="AU110" s="382"/>
      <c r="AV110" s="382"/>
      <c r="AW110" s="382"/>
      <c r="AX110" s="382"/>
      <c r="AY110" s="382"/>
    </row>
    <row r="111" spans="1:51" s="379" customFormat="1" ht="38.25" hidden="1" outlineLevel="1">
      <c r="A111" s="379" t="s">
        <v>2275</v>
      </c>
      <c r="B111" s="379" t="s">
        <v>2276</v>
      </c>
      <c r="C111" s="380" t="s">
        <v>2277</v>
      </c>
      <c r="D111" s="381">
        <v>0</v>
      </c>
      <c r="E111" s="381">
        <v>29402.03</v>
      </c>
      <c r="F111" s="379">
        <v>0</v>
      </c>
      <c r="G111" s="379">
        <v>0</v>
      </c>
      <c r="H111" s="382"/>
      <c r="I111" s="382"/>
      <c r="J111" s="382"/>
      <c r="K111" s="382"/>
      <c r="L111" s="382"/>
      <c r="M111" s="382"/>
      <c r="N111" s="382"/>
      <c r="O111" s="382"/>
      <c r="P111" s="382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  <c r="AB111" s="382"/>
      <c r="AC111" s="382"/>
      <c r="AD111" s="382"/>
      <c r="AE111" s="382"/>
      <c r="AF111" s="382"/>
      <c r="AG111" s="382"/>
      <c r="AH111" s="382"/>
      <c r="AI111" s="382"/>
      <c r="AJ111" s="382"/>
      <c r="AK111" s="382"/>
      <c r="AL111" s="382"/>
      <c r="AM111" s="382"/>
      <c r="AN111" s="382"/>
      <c r="AO111" s="382"/>
      <c r="AP111" s="382"/>
      <c r="AQ111" s="382"/>
      <c r="AR111" s="382"/>
      <c r="AS111" s="382"/>
      <c r="AT111" s="382"/>
      <c r="AU111" s="382"/>
      <c r="AV111" s="382"/>
      <c r="AW111" s="382"/>
      <c r="AX111" s="382"/>
      <c r="AY111" s="382"/>
    </row>
    <row r="112" spans="1:51" s="379" customFormat="1" ht="38.25" hidden="1" outlineLevel="1">
      <c r="A112" s="379" t="s">
        <v>2278</v>
      </c>
      <c r="B112" s="379" t="s">
        <v>2279</v>
      </c>
      <c r="C112" s="380" t="s">
        <v>2280</v>
      </c>
      <c r="D112" s="381">
        <v>0</v>
      </c>
      <c r="E112" s="381">
        <v>300</v>
      </c>
      <c r="F112" s="379">
        <v>0</v>
      </c>
      <c r="G112" s="379">
        <v>0</v>
      </c>
      <c r="H112" s="382"/>
      <c r="I112" s="382"/>
      <c r="J112" s="382"/>
      <c r="K112" s="382"/>
      <c r="L112" s="382"/>
      <c r="M112" s="382"/>
      <c r="N112" s="382"/>
      <c r="O112" s="382"/>
      <c r="P112" s="382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  <c r="AB112" s="382"/>
      <c r="AC112" s="382"/>
      <c r="AD112" s="382"/>
      <c r="AE112" s="382"/>
      <c r="AF112" s="382"/>
      <c r="AG112" s="382"/>
      <c r="AH112" s="382"/>
      <c r="AI112" s="382"/>
      <c r="AJ112" s="382"/>
      <c r="AK112" s="382"/>
      <c r="AL112" s="382"/>
      <c r="AM112" s="382"/>
      <c r="AN112" s="382"/>
      <c r="AO112" s="382"/>
      <c r="AP112" s="382"/>
      <c r="AQ112" s="382"/>
      <c r="AR112" s="382"/>
      <c r="AS112" s="382"/>
      <c r="AT112" s="382"/>
      <c r="AU112" s="382"/>
      <c r="AV112" s="382"/>
      <c r="AW112" s="382"/>
      <c r="AX112" s="382"/>
      <c r="AY112" s="382"/>
    </row>
    <row r="113" spans="1:51" s="379" customFormat="1" ht="38.25" hidden="1" outlineLevel="1">
      <c r="A113" s="379" t="s">
        <v>2281</v>
      </c>
      <c r="B113" s="379" t="s">
        <v>2282</v>
      </c>
      <c r="C113" s="380" t="s">
        <v>2283</v>
      </c>
      <c r="D113" s="381">
        <v>0</v>
      </c>
      <c r="E113" s="381">
        <v>3008.86</v>
      </c>
      <c r="F113" s="379">
        <v>0</v>
      </c>
      <c r="G113" s="379">
        <v>0</v>
      </c>
      <c r="H113" s="382"/>
      <c r="I113" s="382"/>
      <c r="J113" s="382"/>
      <c r="K113" s="382"/>
      <c r="L113" s="382"/>
      <c r="M113" s="382"/>
      <c r="N113" s="382"/>
      <c r="O113" s="382"/>
      <c r="P113" s="382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  <c r="AB113" s="382"/>
      <c r="AC113" s="382"/>
      <c r="AD113" s="382"/>
      <c r="AE113" s="382"/>
      <c r="AF113" s="382"/>
      <c r="AG113" s="382"/>
      <c r="AH113" s="382"/>
      <c r="AI113" s="382"/>
      <c r="AJ113" s="382"/>
      <c r="AK113" s="382"/>
      <c r="AL113" s="382"/>
      <c r="AM113" s="382"/>
      <c r="AN113" s="382"/>
      <c r="AO113" s="382"/>
      <c r="AP113" s="382"/>
      <c r="AQ113" s="382"/>
      <c r="AR113" s="382"/>
      <c r="AS113" s="382"/>
      <c r="AT113" s="382"/>
      <c r="AU113" s="382"/>
      <c r="AV113" s="382"/>
      <c r="AW113" s="382"/>
      <c r="AX113" s="382"/>
      <c r="AY113" s="382"/>
    </row>
    <row r="114" spans="1:51" s="379" customFormat="1" ht="38.25" hidden="1" outlineLevel="1">
      <c r="A114" s="379" t="s">
        <v>2284</v>
      </c>
      <c r="B114" s="379" t="s">
        <v>2285</v>
      </c>
      <c r="C114" s="380" t="s">
        <v>2286</v>
      </c>
      <c r="D114" s="381">
        <v>0</v>
      </c>
      <c r="E114" s="381">
        <v>9584.61</v>
      </c>
      <c r="F114" s="379">
        <v>0</v>
      </c>
      <c r="G114" s="379">
        <v>0</v>
      </c>
      <c r="H114" s="382"/>
      <c r="I114" s="382"/>
      <c r="J114" s="382"/>
      <c r="K114" s="382"/>
      <c r="L114" s="382"/>
      <c r="M114" s="382"/>
      <c r="N114" s="382"/>
      <c r="O114" s="382"/>
      <c r="P114" s="382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  <c r="AB114" s="382"/>
      <c r="AC114" s="382"/>
      <c r="AD114" s="382"/>
      <c r="AE114" s="382"/>
      <c r="AF114" s="382"/>
      <c r="AG114" s="382"/>
      <c r="AH114" s="382"/>
      <c r="AI114" s="382"/>
      <c r="AJ114" s="382"/>
      <c r="AK114" s="382"/>
      <c r="AL114" s="382"/>
      <c r="AM114" s="382"/>
      <c r="AN114" s="382"/>
      <c r="AO114" s="382"/>
      <c r="AP114" s="382"/>
      <c r="AQ114" s="382"/>
      <c r="AR114" s="382"/>
      <c r="AS114" s="382"/>
      <c r="AT114" s="382"/>
      <c r="AU114" s="382"/>
      <c r="AV114" s="382"/>
      <c r="AW114" s="382"/>
      <c r="AX114" s="382"/>
      <c r="AY114" s="382"/>
    </row>
    <row r="115" spans="1:51" s="379" customFormat="1" ht="38.25" hidden="1" outlineLevel="1">
      <c r="A115" s="379" t="s">
        <v>250</v>
      </c>
      <c r="B115" s="379" t="s">
        <v>251</v>
      </c>
      <c r="C115" s="380" t="s">
        <v>252</v>
      </c>
      <c r="D115" s="381">
        <v>0</v>
      </c>
      <c r="E115" s="381">
        <v>0</v>
      </c>
      <c r="F115" s="379">
        <v>195</v>
      </c>
      <c r="G115" s="379">
        <v>0</v>
      </c>
      <c r="H115" s="382"/>
      <c r="I115" s="382"/>
      <c r="J115" s="382"/>
      <c r="K115" s="382"/>
      <c r="L115" s="382"/>
      <c r="M115" s="382"/>
      <c r="N115" s="382"/>
      <c r="O115" s="382"/>
      <c r="P115" s="382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  <c r="AB115" s="382"/>
      <c r="AC115" s="382"/>
      <c r="AD115" s="382"/>
      <c r="AE115" s="382"/>
      <c r="AF115" s="382"/>
      <c r="AG115" s="382"/>
      <c r="AH115" s="382"/>
      <c r="AI115" s="382"/>
      <c r="AJ115" s="382"/>
      <c r="AK115" s="382"/>
      <c r="AL115" s="382"/>
      <c r="AM115" s="382"/>
      <c r="AN115" s="382"/>
      <c r="AO115" s="382"/>
      <c r="AP115" s="382"/>
      <c r="AQ115" s="382"/>
      <c r="AR115" s="382"/>
      <c r="AS115" s="382"/>
      <c r="AT115" s="382"/>
      <c r="AU115" s="382"/>
      <c r="AV115" s="382"/>
      <c r="AW115" s="382"/>
      <c r="AX115" s="382"/>
      <c r="AY115" s="382"/>
    </row>
    <row r="116" spans="1:51" s="379" customFormat="1" ht="38.25" hidden="1" outlineLevel="1">
      <c r="A116" s="379" t="s">
        <v>2368</v>
      </c>
      <c r="B116" s="379" t="s">
        <v>2369</v>
      </c>
      <c r="C116" s="380" t="s">
        <v>2370</v>
      </c>
      <c r="D116" s="381">
        <v>0</v>
      </c>
      <c r="E116" s="381">
        <v>0</v>
      </c>
      <c r="F116" s="379">
        <v>0</v>
      </c>
      <c r="G116" s="379">
        <v>6060.26</v>
      </c>
      <c r="H116" s="382"/>
      <c r="I116" s="382"/>
      <c r="J116" s="382"/>
      <c r="K116" s="382"/>
      <c r="L116" s="382"/>
      <c r="M116" s="382"/>
      <c r="N116" s="382"/>
      <c r="O116" s="382"/>
      <c r="P116" s="382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  <c r="AB116" s="382"/>
      <c r="AC116" s="382"/>
      <c r="AD116" s="382"/>
      <c r="AE116" s="382"/>
      <c r="AF116" s="382"/>
      <c r="AG116" s="382"/>
      <c r="AH116" s="382"/>
      <c r="AI116" s="382"/>
      <c r="AJ116" s="382"/>
      <c r="AK116" s="382"/>
      <c r="AL116" s="382"/>
      <c r="AM116" s="382"/>
      <c r="AN116" s="382"/>
      <c r="AO116" s="382"/>
      <c r="AP116" s="382"/>
      <c r="AQ116" s="382"/>
      <c r="AR116" s="382"/>
      <c r="AS116" s="382"/>
      <c r="AT116" s="382"/>
      <c r="AU116" s="382"/>
      <c r="AV116" s="382"/>
      <c r="AW116" s="382"/>
      <c r="AX116" s="382"/>
      <c r="AY116" s="382"/>
    </row>
    <row r="117" spans="1:51" s="379" customFormat="1" ht="38.25" hidden="1" outlineLevel="1">
      <c r="A117" s="379" t="s">
        <v>2371</v>
      </c>
      <c r="B117" s="379" t="s">
        <v>2372</v>
      </c>
      <c r="C117" s="380" t="s">
        <v>2373</v>
      </c>
      <c r="D117" s="381">
        <v>0</v>
      </c>
      <c r="E117" s="381">
        <v>16835.36</v>
      </c>
      <c r="F117" s="379">
        <v>0</v>
      </c>
      <c r="G117" s="379">
        <v>0</v>
      </c>
      <c r="H117" s="382"/>
      <c r="I117" s="382"/>
      <c r="J117" s="382"/>
      <c r="K117" s="382"/>
      <c r="L117" s="382"/>
      <c r="M117" s="382"/>
      <c r="N117" s="382"/>
      <c r="O117" s="382"/>
      <c r="P117" s="382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  <c r="AB117" s="382"/>
      <c r="AC117" s="382"/>
      <c r="AD117" s="382"/>
      <c r="AE117" s="382"/>
      <c r="AF117" s="382"/>
      <c r="AG117" s="382"/>
      <c r="AH117" s="382"/>
      <c r="AI117" s="382"/>
      <c r="AJ117" s="382"/>
      <c r="AK117" s="382"/>
      <c r="AL117" s="382"/>
      <c r="AM117" s="382"/>
      <c r="AN117" s="382"/>
      <c r="AO117" s="382"/>
      <c r="AP117" s="382"/>
      <c r="AQ117" s="382"/>
      <c r="AR117" s="382"/>
      <c r="AS117" s="382"/>
      <c r="AT117" s="382"/>
      <c r="AU117" s="382"/>
      <c r="AV117" s="382"/>
      <c r="AW117" s="382"/>
      <c r="AX117" s="382"/>
      <c r="AY117" s="382"/>
    </row>
    <row r="118" spans="1:51" s="379" customFormat="1" ht="38.25" hidden="1" outlineLevel="1">
      <c r="A118" s="379" t="s">
        <v>2374</v>
      </c>
      <c r="B118" s="379" t="s">
        <v>2375</v>
      </c>
      <c r="C118" s="380" t="s">
        <v>2376</v>
      </c>
      <c r="D118" s="381">
        <v>0</v>
      </c>
      <c r="E118" s="381">
        <v>179.99</v>
      </c>
      <c r="F118" s="379">
        <v>0</v>
      </c>
      <c r="G118" s="379">
        <v>0</v>
      </c>
      <c r="H118" s="382"/>
      <c r="I118" s="382"/>
      <c r="J118" s="382"/>
      <c r="K118" s="382"/>
      <c r="L118" s="382"/>
      <c r="M118" s="382"/>
      <c r="N118" s="382"/>
      <c r="O118" s="382"/>
      <c r="P118" s="382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  <c r="AB118" s="382"/>
      <c r="AC118" s="382"/>
      <c r="AD118" s="382"/>
      <c r="AE118" s="382"/>
      <c r="AF118" s="382"/>
      <c r="AG118" s="382"/>
      <c r="AH118" s="382"/>
      <c r="AI118" s="382"/>
      <c r="AJ118" s="382"/>
      <c r="AK118" s="382"/>
      <c r="AL118" s="382"/>
      <c r="AM118" s="382"/>
      <c r="AN118" s="382"/>
      <c r="AO118" s="382"/>
      <c r="AP118" s="382"/>
      <c r="AQ118" s="382"/>
      <c r="AR118" s="382"/>
      <c r="AS118" s="382"/>
      <c r="AT118" s="382"/>
      <c r="AU118" s="382"/>
      <c r="AV118" s="382"/>
      <c r="AW118" s="382"/>
      <c r="AX118" s="382"/>
      <c r="AY118" s="382"/>
    </row>
    <row r="119" spans="1:51" s="379" customFormat="1" ht="38.25" hidden="1" outlineLevel="1">
      <c r="A119" s="379" t="s">
        <v>2377</v>
      </c>
      <c r="B119" s="379" t="s">
        <v>2378</v>
      </c>
      <c r="C119" s="380" t="s">
        <v>2379</v>
      </c>
      <c r="D119" s="381">
        <v>0</v>
      </c>
      <c r="E119" s="381">
        <v>2438.94</v>
      </c>
      <c r="F119" s="379">
        <v>200</v>
      </c>
      <c r="G119" s="379">
        <v>0</v>
      </c>
      <c r="H119" s="382"/>
      <c r="I119" s="382"/>
      <c r="J119" s="382"/>
      <c r="K119" s="382"/>
      <c r="L119" s="382"/>
      <c r="M119" s="382"/>
      <c r="N119" s="382"/>
      <c r="O119" s="382"/>
      <c r="P119" s="382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  <c r="AB119" s="382"/>
      <c r="AC119" s="382"/>
      <c r="AD119" s="382"/>
      <c r="AE119" s="382"/>
      <c r="AF119" s="382"/>
      <c r="AG119" s="382"/>
      <c r="AH119" s="382"/>
      <c r="AI119" s="382"/>
      <c r="AJ119" s="382"/>
      <c r="AK119" s="382"/>
      <c r="AL119" s="382"/>
      <c r="AM119" s="382"/>
      <c r="AN119" s="382"/>
      <c r="AO119" s="382"/>
      <c r="AP119" s="382"/>
      <c r="AQ119" s="382"/>
      <c r="AR119" s="382"/>
      <c r="AS119" s="382"/>
      <c r="AT119" s="382"/>
      <c r="AU119" s="382"/>
      <c r="AV119" s="382"/>
      <c r="AW119" s="382"/>
      <c r="AX119" s="382"/>
      <c r="AY119" s="382"/>
    </row>
    <row r="120" spans="1:51" s="379" customFormat="1" ht="38.25" hidden="1" outlineLevel="1">
      <c r="A120" s="379" t="s">
        <v>2380</v>
      </c>
      <c r="B120" s="379" t="s">
        <v>2381</v>
      </c>
      <c r="C120" s="380" t="s">
        <v>2382</v>
      </c>
      <c r="D120" s="381">
        <v>0</v>
      </c>
      <c r="E120" s="381">
        <v>425.59</v>
      </c>
      <c r="F120" s="379">
        <v>0</v>
      </c>
      <c r="G120" s="379">
        <v>0</v>
      </c>
      <c r="H120" s="382"/>
      <c r="I120" s="382"/>
      <c r="J120" s="382"/>
      <c r="K120" s="382"/>
      <c r="L120" s="382"/>
      <c r="M120" s="382"/>
      <c r="N120" s="382"/>
      <c r="O120" s="382"/>
      <c r="P120" s="382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  <c r="AB120" s="382"/>
      <c r="AC120" s="382"/>
      <c r="AD120" s="382"/>
      <c r="AE120" s="382"/>
      <c r="AF120" s="382"/>
      <c r="AG120" s="382"/>
      <c r="AH120" s="382"/>
      <c r="AI120" s="382"/>
      <c r="AJ120" s="382"/>
      <c r="AK120" s="382"/>
      <c r="AL120" s="382"/>
      <c r="AM120" s="382"/>
      <c r="AN120" s="382"/>
      <c r="AO120" s="382"/>
      <c r="AP120" s="382"/>
      <c r="AQ120" s="382"/>
      <c r="AR120" s="382"/>
      <c r="AS120" s="382"/>
      <c r="AT120" s="382"/>
      <c r="AU120" s="382"/>
      <c r="AV120" s="382"/>
      <c r="AW120" s="382"/>
      <c r="AX120" s="382"/>
      <c r="AY120" s="382"/>
    </row>
    <row r="121" spans="1:51" s="379" customFormat="1" ht="38.25" hidden="1" outlineLevel="1">
      <c r="A121" s="379" t="s">
        <v>2386</v>
      </c>
      <c r="B121" s="379" t="s">
        <v>2387</v>
      </c>
      <c r="C121" s="380" t="s">
        <v>2388</v>
      </c>
      <c r="D121" s="381">
        <v>0</v>
      </c>
      <c r="E121" s="381">
        <v>11986.78</v>
      </c>
      <c r="F121" s="379">
        <v>0</v>
      </c>
      <c r="G121" s="379">
        <v>0</v>
      </c>
      <c r="H121" s="382"/>
      <c r="I121" s="382"/>
      <c r="J121" s="382"/>
      <c r="K121" s="382"/>
      <c r="L121" s="382"/>
      <c r="M121" s="382"/>
      <c r="N121" s="382"/>
      <c r="O121" s="382"/>
      <c r="P121" s="382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  <c r="AB121" s="382"/>
      <c r="AC121" s="382"/>
      <c r="AD121" s="382"/>
      <c r="AE121" s="382"/>
      <c r="AF121" s="382"/>
      <c r="AG121" s="382"/>
      <c r="AH121" s="382"/>
      <c r="AI121" s="382"/>
      <c r="AJ121" s="382"/>
      <c r="AK121" s="382"/>
      <c r="AL121" s="382"/>
      <c r="AM121" s="382"/>
      <c r="AN121" s="382"/>
      <c r="AO121" s="382"/>
      <c r="AP121" s="382"/>
      <c r="AQ121" s="382"/>
      <c r="AR121" s="382"/>
      <c r="AS121" s="382"/>
      <c r="AT121" s="382"/>
      <c r="AU121" s="382"/>
      <c r="AV121" s="382"/>
      <c r="AW121" s="382"/>
      <c r="AX121" s="382"/>
      <c r="AY121" s="382"/>
    </row>
    <row r="122" spans="1:51" s="379" customFormat="1" ht="38.25" hidden="1" outlineLevel="1">
      <c r="A122" s="379" t="s">
        <v>2392</v>
      </c>
      <c r="B122" s="379" t="s">
        <v>2393</v>
      </c>
      <c r="C122" s="380" t="s">
        <v>2394</v>
      </c>
      <c r="D122" s="381">
        <v>0</v>
      </c>
      <c r="E122" s="381">
        <v>6591.08</v>
      </c>
      <c r="F122" s="379">
        <v>0</v>
      </c>
      <c r="G122" s="379">
        <v>0</v>
      </c>
      <c r="H122" s="382"/>
      <c r="I122" s="382"/>
      <c r="J122" s="382"/>
      <c r="K122" s="382"/>
      <c r="L122" s="382"/>
      <c r="M122" s="382"/>
      <c r="N122" s="382"/>
      <c r="O122" s="382"/>
      <c r="P122" s="382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  <c r="AB122" s="382"/>
      <c r="AC122" s="382"/>
      <c r="AD122" s="382"/>
      <c r="AE122" s="382"/>
      <c r="AF122" s="382"/>
      <c r="AG122" s="382"/>
      <c r="AH122" s="382"/>
      <c r="AI122" s="382"/>
      <c r="AJ122" s="382"/>
      <c r="AK122" s="382"/>
      <c r="AL122" s="382"/>
      <c r="AM122" s="382"/>
      <c r="AN122" s="382"/>
      <c r="AO122" s="382"/>
      <c r="AP122" s="382"/>
      <c r="AQ122" s="382"/>
      <c r="AR122" s="382"/>
      <c r="AS122" s="382"/>
      <c r="AT122" s="382"/>
      <c r="AU122" s="382"/>
      <c r="AV122" s="382"/>
      <c r="AW122" s="382"/>
      <c r="AX122" s="382"/>
      <c r="AY122" s="382"/>
    </row>
    <row r="123" spans="1:51" s="379" customFormat="1" ht="38.25" hidden="1" outlineLevel="1">
      <c r="A123" s="379" t="s">
        <v>2398</v>
      </c>
      <c r="B123" s="379" t="s">
        <v>2399</v>
      </c>
      <c r="C123" s="380" t="s">
        <v>2400</v>
      </c>
      <c r="D123" s="381">
        <v>304.7</v>
      </c>
      <c r="E123" s="381">
        <v>15163.9</v>
      </c>
      <c r="F123" s="379">
        <v>1969.91</v>
      </c>
      <c r="G123" s="379">
        <v>18.44</v>
      </c>
      <c r="H123" s="382"/>
      <c r="I123" s="382"/>
      <c r="J123" s="382"/>
      <c r="K123" s="382"/>
      <c r="L123" s="382"/>
      <c r="M123" s="382"/>
      <c r="N123" s="382"/>
      <c r="O123" s="382"/>
      <c r="P123" s="382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  <c r="AB123" s="382"/>
      <c r="AC123" s="382"/>
      <c r="AD123" s="382"/>
      <c r="AE123" s="382"/>
      <c r="AF123" s="382"/>
      <c r="AG123" s="382"/>
      <c r="AH123" s="382"/>
      <c r="AI123" s="382"/>
      <c r="AJ123" s="382"/>
      <c r="AK123" s="382"/>
      <c r="AL123" s="382"/>
      <c r="AM123" s="382"/>
      <c r="AN123" s="382"/>
      <c r="AO123" s="382"/>
      <c r="AP123" s="382"/>
      <c r="AQ123" s="382"/>
      <c r="AR123" s="382"/>
      <c r="AS123" s="382"/>
      <c r="AT123" s="382"/>
      <c r="AU123" s="382"/>
      <c r="AV123" s="382"/>
      <c r="AW123" s="382"/>
      <c r="AX123" s="382"/>
      <c r="AY123" s="382"/>
    </row>
    <row r="124" spans="1:51" s="379" customFormat="1" ht="38.25" hidden="1" outlineLevel="1">
      <c r="A124" s="379" t="s">
        <v>2500</v>
      </c>
      <c r="B124" s="379" t="s">
        <v>2501</v>
      </c>
      <c r="C124" s="380" t="s">
        <v>2502</v>
      </c>
      <c r="D124" s="381">
        <v>1124.75</v>
      </c>
      <c r="E124" s="381">
        <v>1619.9</v>
      </c>
      <c r="F124" s="379">
        <v>1859.35</v>
      </c>
      <c r="G124" s="379">
        <v>10985.02</v>
      </c>
      <c r="H124" s="382"/>
      <c r="I124" s="382"/>
      <c r="J124" s="382"/>
      <c r="K124" s="382"/>
      <c r="L124" s="382"/>
      <c r="M124" s="382"/>
      <c r="N124" s="382"/>
      <c r="O124" s="382"/>
      <c r="P124" s="382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  <c r="AB124" s="382"/>
      <c r="AC124" s="382"/>
      <c r="AD124" s="382"/>
      <c r="AE124" s="382"/>
      <c r="AF124" s="382"/>
      <c r="AG124" s="382"/>
      <c r="AH124" s="382"/>
      <c r="AI124" s="382"/>
      <c r="AJ124" s="382"/>
      <c r="AK124" s="382"/>
      <c r="AL124" s="382"/>
      <c r="AM124" s="382"/>
      <c r="AN124" s="382"/>
      <c r="AO124" s="382"/>
      <c r="AP124" s="382"/>
      <c r="AQ124" s="382"/>
      <c r="AR124" s="382"/>
      <c r="AS124" s="382"/>
      <c r="AT124" s="382"/>
      <c r="AU124" s="382"/>
      <c r="AV124" s="382"/>
      <c r="AW124" s="382"/>
      <c r="AX124" s="382"/>
      <c r="AY124" s="382"/>
    </row>
    <row r="125" spans="1:51" s="379" customFormat="1" ht="38.25" hidden="1" outlineLevel="1">
      <c r="A125" s="379" t="s">
        <v>2503</v>
      </c>
      <c r="B125" s="379" t="s">
        <v>2504</v>
      </c>
      <c r="C125" s="380" t="s">
        <v>2505</v>
      </c>
      <c r="D125" s="381">
        <v>172.81</v>
      </c>
      <c r="E125" s="381">
        <v>0</v>
      </c>
      <c r="F125" s="379">
        <v>0</v>
      </c>
      <c r="G125" s="379">
        <v>3239.55</v>
      </c>
      <c r="H125" s="382"/>
      <c r="I125" s="382"/>
      <c r="J125" s="382"/>
      <c r="K125" s="382"/>
      <c r="L125" s="382"/>
      <c r="M125" s="382"/>
      <c r="N125" s="382"/>
      <c r="O125" s="382"/>
      <c r="P125" s="382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  <c r="AB125" s="382"/>
      <c r="AC125" s="382"/>
      <c r="AD125" s="382"/>
      <c r="AE125" s="382"/>
      <c r="AF125" s="382"/>
      <c r="AG125" s="382"/>
      <c r="AH125" s="382"/>
      <c r="AI125" s="382"/>
      <c r="AJ125" s="382"/>
      <c r="AK125" s="382"/>
      <c r="AL125" s="382"/>
      <c r="AM125" s="382"/>
      <c r="AN125" s="382"/>
      <c r="AO125" s="382"/>
      <c r="AP125" s="382"/>
      <c r="AQ125" s="382"/>
      <c r="AR125" s="382"/>
      <c r="AS125" s="382"/>
      <c r="AT125" s="382"/>
      <c r="AU125" s="382"/>
      <c r="AV125" s="382"/>
      <c r="AW125" s="382"/>
      <c r="AX125" s="382"/>
      <c r="AY125" s="382"/>
    </row>
    <row r="126" spans="1:51" s="379" customFormat="1" ht="38.25" hidden="1" outlineLevel="1">
      <c r="A126" s="379" t="s">
        <v>2509</v>
      </c>
      <c r="B126" s="379" t="s">
        <v>2510</v>
      </c>
      <c r="C126" s="380" t="s">
        <v>2511</v>
      </c>
      <c r="D126" s="381">
        <v>2500</v>
      </c>
      <c r="E126" s="381">
        <v>0</v>
      </c>
      <c r="F126" s="379">
        <v>0</v>
      </c>
      <c r="G126" s="379">
        <v>0</v>
      </c>
      <c r="H126" s="382"/>
      <c r="I126" s="382"/>
      <c r="J126" s="382"/>
      <c r="K126" s="382"/>
      <c r="L126" s="382"/>
      <c r="M126" s="382"/>
      <c r="N126" s="382"/>
      <c r="O126" s="382"/>
      <c r="P126" s="382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  <c r="AB126" s="382"/>
      <c r="AC126" s="382"/>
      <c r="AD126" s="382"/>
      <c r="AE126" s="382"/>
      <c r="AF126" s="382"/>
      <c r="AG126" s="382"/>
      <c r="AH126" s="382"/>
      <c r="AI126" s="382"/>
      <c r="AJ126" s="382"/>
      <c r="AK126" s="382"/>
      <c r="AL126" s="382"/>
      <c r="AM126" s="382"/>
      <c r="AN126" s="382"/>
      <c r="AO126" s="382"/>
      <c r="AP126" s="382"/>
      <c r="AQ126" s="382"/>
      <c r="AR126" s="382"/>
      <c r="AS126" s="382"/>
      <c r="AT126" s="382"/>
      <c r="AU126" s="382"/>
      <c r="AV126" s="382"/>
      <c r="AW126" s="382"/>
      <c r="AX126" s="382"/>
      <c r="AY126" s="382"/>
    </row>
    <row r="127" spans="1:51" s="379" customFormat="1" ht="38.25" hidden="1" outlineLevel="1">
      <c r="A127" s="379" t="s">
        <v>2515</v>
      </c>
      <c r="B127" s="379" t="s">
        <v>2516</v>
      </c>
      <c r="C127" s="380" t="s">
        <v>2517</v>
      </c>
      <c r="D127" s="381">
        <v>0</v>
      </c>
      <c r="E127" s="381">
        <v>315</v>
      </c>
      <c r="F127" s="379">
        <v>41826.45</v>
      </c>
      <c r="G127" s="379">
        <v>4662</v>
      </c>
      <c r="H127" s="382"/>
      <c r="I127" s="382"/>
      <c r="J127" s="382"/>
      <c r="K127" s="382"/>
      <c r="L127" s="382"/>
      <c r="M127" s="382"/>
      <c r="N127" s="382"/>
      <c r="O127" s="382"/>
      <c r="P127" s="382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  <c r="AB127" s="382"/>
      <c r="AC127" s="382"/>
      <c r="AD127" s="382"/>
      <c r="AE127" s="382"/>
      <c r="AF127" s="382"/>
      <c r="AG127" s="382"/>
      <c r="AH127" s="382"/>
      <c r="AI127" s="382"/>
      <c r="AJ127" s="382"/>
      <c r="AK127" s="382"/>
      <c r="AL127" s="382"/>
      <c r="AM127" s="382"/>
      <c r="AN127" s="382"/>
      <c r="AO127" s="382"/>
      <c r="AP127" s="382"/>
      <c r="AQ127" s="382"/>
      <c r="AR127" s="382"/>
      <c r="AS127" s="382"/>
      <c r="AT127" s="382"/>
      <c r="AU127" s="382"/>
      <c r="AV127" s="382"/>
      <c r="AW127" s="382"/>
      <c r="AX127" s="382"/>
      <c r="AY127" s="382"/>
    </row>
    <row r="128" spans="1:51" s="379" customFormat="1" ht="38.25" hidden="1" outlineLevel="1">
      <c r="A128" s="379" t="s">
        <v>2518</v>
      </c>
      <c r="B128" s="379" t="s">
        <v>2519</v>
      </c>
      <c r="C128" s="380" t="s">
        <v>2520</v>
      </c>
      <c r="D128" s="381">
        <v>0</v>
      </c>
      <c r="E128" s="381">
        <v>0</v>
      </c>
      <c r="F128" s="379">
        <v>13804.2</v>
      </c>
      <c r="G128" s="379">
        <v>126360</v>
      </c>
      <c r="H128" s="382"/>
      <c r="I128" s="382"/>
      <c r="J128" s="382"/>
      <c r="K128" s="382"/>
      <c r="L128" s="382"/>
      <c r="M128" s="382"/>
      <c r="N128" s="382"/>
      <c r="O128" s="382"/>
      <c r="P128" s="382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  <c r="AB128" s="382"/>
      <c r="AC128" s="382"/>
      <c r="AD128" s="382"/>
      <c r="AE128" s="382"/>
      <c r="AF128" s="382"/>
      <c r="AG128" s="382"/>
      <c r="AH128" s="382"/>
      <c r="AI128" s="382"/>
      <c r="AJ128" s="382"/>
      <c r="AK128" s="382"/>
      <c r="AL128" s="382"/>
      <c r="AM128" s="382"/>
      <c r="AN128" s="382"/>
      <c r="AO128" s="382"/>
      <c r="AP128" s="382"/>
      <c r="AQ128" s="382"/>
      <c r="AR128" s="382"/>
      <c r="AS128" s="382"/>
      <c r="AT128" s="382"/>
      <c r="AU128" s="382"/>
      <c r="AV128" s="382"/>
      <c r="AW128" s="382"/>
      <c r="AX128" s="382"/>
      <c r="AY128" s="382"/>
    </row>
    <row r="129" spans="1:51" s="379" customFormat="1" ht="38.25" hidden="1" outlineLevel="1">
      <c r="A129" s="379" t="s">
        <v>2524</v>
      </c>
      <c r="B129" s="379" t="s">
        <v>2525</v>
      </c>
      <c r="C129" s="380" t="s">
        <v>2526</v>
      </c>
      <c r="D129" s="381">
        <v>0</v>
      </c>
      <c r="E129" s="381">
        <v>25</v>
      </c>
      <c r="F129" s="379">
        <v>18554.68</v>
      </c>
      <c r="G129" s="379">
        <v>56861.92</v>
      </c>
      <c r="H129" s="382"/>
      <c r="I129" s="382"/>
      <c r="J129" s="382"/>
      <c r="K129" s="382"/>
      <c r="L129" s="382"/>
      <c r="M129" s="382"/>
      <c r="N129" s="382"/>
      <c r="O129" s="382"/>
      <c r="P129" s="382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  <c r="AB129" s="382"/>
      <c r="AC129" s="382"/>
      <c r="AD129" s="382"/>
      <c r="AE129" s="382"/>
      <c r="AF129" s="382"/>
      <c r="AG129" s="382"/>
      <c r="AH129" s="382"/>
      <c r="AI129" s="382"/>
      <c r="AJ129" s="382"/>
      <c r="AK129" s="382"/>
      <c r="AL129" s="382"/>
      <c r="AM129" s="382"/>
      <c r="AN129" s="382"/>
      <c r="AO129" s="382"/>
      <c r="AP129" s="382"/>
      <c r="AQ129" s="382"/>
      <c r="AR129" s="382"/>
      <c r="AS129" s="382"/>
      <c r="AT129" s="382"/>
      <c r="AU129" s="382"/>
      <c r="AV129" s="382"/>
      <c r="AW129" s="382"/>
      <c r="AX129" s="382"/>
      <c r="AY129" s="382"/>
    </row>
    <row r="130" spans="1:51" s="379" customFormat="1" ht="38.25" hidden="1" outlineLevel="1">
      <c r="A130" s="379" t="s">
        <v>2527</v>
      </c>
      <c r="B130" s="379" t="s">
        <v>2528</v>
      </c>
      <c r="C130" s="380" t="s">
        <v>2529</v>
      </c>
      <c r="D130" s="381">
        <v>0</v>
      </c>
      <c r="E130" s="381">
        <v>10340</v>
      </c>
      <c r="F130" s="379">
        <v>0</v>
      </c>
      <c r="G130" s="379">
        <v>3439.22</v>
      </c>
      <c r="H130" s="382"/>
      <c r="I130" s="382"/>
      <c r="J130" s="382"/>
      <c r="K130" s="382"/>
      <c r="L130" s="382"/>
      <c r="M130" s="382"/>
      <c r="N130" s="382"/>
      <c r="O130" s="382"/>
      <c r="P130" s="382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  <c r="AB130" s="382"/>
      <c r="AC130" s="382"/>
      <c r="AD130" s="382"/>
      <c r="AE130" s="382"/>
      <c r="AF130" s="382"/>
      <c r="AG130" s="382"/>
      <c r="AH130" s="382"/>
      <c r="AI130" s="382"/>
      <c r="AJ130" s="382"/>
      <c r="AK130" s="382"/>
      <c r="AL130" s="382"/>
      <c r="AM130" s="382"/>
      <c r="AN130" s="382"/>
      <c r="AO130" s="382"/>
      <c r="AP130" s="382"/>
      <c r="AQ130" s="382"/>
      <c r="AR130" s="382"/>
      <c r="AS130" s="382"/>
      <c r="AT130" s="382"/>
      <c r="AU130" s="382"/>
      <c r="AV130" s="382"/>
      <c r="AW130" s="382"/>
      <c r="AX130" s="382"/>
      <c r="AY130" s="382"/>
    </row>
    <row r="131" spans="1:51" s="379" customFormat="1" ht="38.25" hidden="1" outlineLevel="1">
      <c r="A131" s="379" t="s">
        <v>2530</v>
      </c>
      <c r="B131" s="379" t="s">
        <v>2531</v>
      </c>
      <c r="C131" s="380" t="s">
        <v>2532</v>
      </c>
      <c r="D131" s="381">
        <v>223.3</v>
      </c>
      <c r="E131" s="381">
        <v>112685.51</v>
      </c>
      <c r="F131" s="379">
        <v>0</v>
      </c>
      <c r="G131" s="379">
        <v>0</v>
      </c>
      <c r="H131" s="382"/>
      <c r="I131" s="382"/>
      <c r="J131" s="382"/>
      <c r="K131" s="382"/>
      <c r="L131" s="382"/>
      <c r="M131" s="382"/>
      <c r="N131" s="382"/>
      <c r="O131" s="382"/>
      <c r="P131" s="382"/>
      <c r="Q131" s="382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  <c r="AC131" s="382"/>
      <c r="AD131" s="382"/>
      <c r="AE131" s="382"/>
      <c r="AF131" s="382"/>
      <c r="AG131" s="382"/>
      <c r="AH131" s="382"/>
      <c r="AI131" s="382"/>
      <c r="AJ131" s="382"/>
      <c r="AK131" s="382"/>
      <c r="AL131" s="382"/>
      <c r="AM131" s="382"/>
      <c r="AN131" s="382"/>
      <c r="AO131" s="382"/>
      <c r="AP131" s="382"/>
      <c r="AQ131" s="382"/>
      <c r="AR131" s="382"/>
      <c r="AS131" s="382"/>
      <c r="AT131" s="382"/>
      <c r="AU131" s="382"/>
      <c r="AV131" s="382"/>
      <c r="AW131" s="382"/>
      <c r="AX131" s="382"/>
      <c r="AY131" s="382"/>
    </row>
    <row r="132" spans="1:51" s="379" customFormat="1" ht="38.25" hidden="1" outlineLevel="1">
      <c r="A132" s="379" t="s">
        <v>2533</v>
      </c>
      <c r="B132" s="379" t="s">
        <v>2534</v>
      </c>
      <c r="C132" s="380" t="s">
        <v>2535</v>
      </c>
      <c r="D132" s="381">
        <v>3838.64</v>
      </c>
      <c r="E132" s="381">
        <v>318945.4</v>
      </c>
      <c r="F132" s="379">
        <v>0</v>
      </c>
      <c r="G132" s="379">
        <v>2448.6</v>
      </c>
      <c r="H132" s="382"/>
      <c r="I132" s="382"/>
      <c r="J132" s="382"/>
      <c r="K132" s="382"/>
      <c r="L132" s="382"/>
      <c r="M132" s="382"/>
      <c r="N132" s="382"/>
      <c r="O132" s="382"/>
      <c r="P132" s="382"/>
      <c r="Q132" s="382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  <c r="AC132" s="382"/>
      <c r="AD132" s="382"/>
      <c r="AE132" s="382"/>
      <c r="AF132" s="382"/>
      <c r="AG132" s="382"/>
      <c r="AH132" s="382"/>
      <c r="AI132" s="382"/>
      <c r="AJ132" s="382"/>
      <c r="AK132" s="382"/>
      <c r="AL132" s="382"/>
      <c r="AM132" s="382"/>
      <c r="AN132" s="382"/>
      <c r="AO132" s="382"/>
      <c r="AP132" s="382"/>
      <c r="AQ132" s="382"/>
      <c r="AR132" s="382"/>
      <c r="AS132" s="382"/>
      <c r="AT132" s="382"/>
      <c r="AU132" s="382"/>
      <c r="AV132" s="382"/>
      <c r="AW132" s="382"/>
      <c r="AX132" s="382"/>
      <c r="AY132" s="382"/>
    </row>
    <row r="133" spans="1:51" s="379" customFormat="1" ht="38.25" hidden="1" outlineLevel="1">
      <c r="A133" s="379" t="s">
        <v>2536</v>
      </c>
      <c r="B133" s="379" t="s">
        <v>2537</v>
      </c>
      <c r="C133" s="380" t="s">
        <v>2538</v>
      </c>
      <c r="D133" s="381">
        <v>0</v>
      </c>
      <c r="E133" s="381">
        <v>14981.32</v>
      </c>
      <c r="F133" s="379">
        <v>0</v>
      </c>
      <c r="G133" s="379">
        <v>0</v>
      </c>
      <c r="H133" s="382"/>
      <c r="I133" s="382"/>
      <c r="J133" s="382"/>
      <c r="K133" s="382"/>
      <c r="L133" s="382"/>
      <c r="M133" s="382"/>
      <c r="N133" s="382"/>
      <c r="O133" s="382"/>
      <c r="P133" s="382"/>
      <c r="Q133" s="382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  <c r="AC133" s="382"/>
      <c r="AD133" s="382"/>
      <c r="AE133" s="382"/>
      <c r="AF133" s="382"/>
      <c r="AG133" s="382"/>
      <c r="AH133" s="382"/>
      <c r="AI133" s="382"/>
      <c r="AJ133" s="382"/>
      <c r="AK133" s="382"/>
      <c r="AL133" s="382"/>
      <c r="AM133" s="382"/>
      <c r="AN133" s="382"/>
      <c r="AO133" s="382"/>
      <c r="AP133" s="382"/>
      <c r="AQ133" s="382"/>
      <c r="AR133" s="382"/>
      <c r="AS133" s="382"/>
      <c r="AT133" s="382"/>
      <c r="AU133" s="382"/>
      <c r="AV133" s="382"/>
      <c r="AW133" s="382"/>
      <c r="AX133" s="382"/>
      <c r="AY133" s="382"/>
    </row>
    <row r="134" spans="1:51" ht="12.75" customHeight="1" collapsed="1">
      <c r="A134" s="392" t="s">
        <v>548</v>
      </c>
      <c r="B134" s="408" t="s">
        <v>549</v>
      </c>
      <c r="C134" s="409"/>
      <c r="D134" s="411">
        <v>35844.07</v>
      </c>
      <c r="E134" s="411">
        <v>664708.38</v>
      </c>
      <c r="F134" s="411">
        <v>336322.76</v>
      </c>
      <c r="G134" s="411">
        <v>255762.65</v>
      </c>
      <c r="H134" s="392"/>
      <c r="I134" s="392"/>
      <c r="J134" s="392"/>
      <c r="K134" s="392"/>
      <c r="L134" s="392"/>
      <c r="M134" s="392"/>
      <c r="N134" s="392"/>
      <c r="O134" s="392"/>
      <c r="P134" s="392"/>
      <c r="Q134" s="392"/>
      <c r="R134" s="392"/>
      <c r="S134" s="392"/>
      <c r="T134" s="392"/>
      <c r="U134" s="392"/>
      <c r="V134" s="392"/>
      <c r="W134" s="392"/>
      <c r="X134" s="392"/>
      <c r="Y134" s="392"/>
      <c r="Z134" s="392"/>
      <c r="AA134" s="392"/>
      <c r="AB134" s="392"/>
      <c r="AC134" s="392"/>
      <c r="AD134" s="392"/>
      <c r="AE134" s="392"/>
      <c r="AF134" s="392"/>
      <c r="AG134" s="392"/>
      <c r="AH134" s="392"/>
      <c r="AI134" s="392"/>
      <c r="AJ134" s="392"/>
      <c r="AK134" s="392"/>
      <c r="AL134" s="392"/>
      <c r="AM134" s="392"/>
      <c r="AN134" s="392"/>
      <c r="AO134" s="392"/>
      <c r="AP134" s="392"/>
      <c r="AQ134" s="392"/>
      <c r="AR134" s="392"/>
      <c r="AS134" s="392"/>
      <c r="AT134" s="392"/>
      <c r="AU134" s="392"/>
      <c r="AV134" s="392"/>
      <c r="AW134" s="392"/>
      <c r="AX134" s="392"/>
      <c r="AY134" s="392"/>
    </row>
    <row r="135" spans="1:51" s="379" customFormat="1" ht="38.25" hidden="1" outlineLevel="1">
      <c r="A135" s="379" t="s">
        <v>2443</v>
      </c>
      <c r="B135" s="379" t="s">
        <v>2444</v>
      </c>
      <c r="C135" s="380" t="s">
        <v>2445</v>
      </c>
      <c r="D135" s="381">
        <v>3972.84</v>
      </c>
      <c r="E135" s="381">
        <v>61273.16</v>
      </c>
      <c r="F135" s="379">
        <v>230085.25</v>
      </c>
      <c r="G135" s="379">
        <v>47285</v>
      </c>
      <c r="H135" s="382"/>
      <c r="I135" s="382"/>
      <c r="J135" s="382"/>
      <c r="K135" s="382"/>
      <c r="L135" s="382"/>
      <c r="M135" s="382"/>
      <c r="N135" s="382"/>
      <c r="O135" s="382"/>
      <c r="P135" s="382"/>
      <c r="Q135" s="382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  <c r="AC135" s="382"/>
      <c r="AD135" s="382"/>
      <c r="AE135" s="382"/>
      <c r="AF135" s="382"/>
      <c r="AG135" s="382"/>
      <c r="AH135" s="382"/>
      <c r="AI135" s="382"/>
      <c r="AJ135" s="382"/>
      <c r="AK135" s="382"/>
      <c r="AL135" s="382"/>
      <c r="AM135" s="382"/>
      <c r="AN135" s="382"/>
      <c r="AO135" s="382"/>
      <c r="AP135" s="382"/>
      <c r="AQ135" s="382"/>
      <c r="AR135" s="382"/>
      <c r="AS135" s="382"/>
      <c r="AT135" s="382"/>
      <c r="AU135" s="382"/>
      <c r="AV135" s="382"/>
      <c r="AW135" s="382"/>
      <c r="AX135" s="382"/>
      <c r="AY135" s="382"/>
    </row>
    <row r="136" spans="1:51" s="379" customFormat="1" ht="38.25" hidden="1" outlineLevel="1">
      <c r="A136" s="379" t="s">
        <v>2446</v>
      </c>
      <c r="B136" s="379" t="s">
        <v>2447</v>
      </c>
      <c r="C136" s="380" t="s">
        <v>2448</v>
      </c>
      <c r="D136" s="381">
        <v>2144.89</v>
      </c>
      <c r="E136" s="381">
        <v>-175819.51</v>
      </c>
      <c r="F136" s="379">
        <v>0</v>
      </c>
      <c r="G136" s="379">
        <v>0</v>
      </c>
      <c r="H136" s="382"/>
      <c r="I136" s="382"/>
      <c r="J136" s="382"/>
      <c r="K136" s="382"/>
      <c r="L136" s="382"/>
      <c r="M136" s="382"/>
      <c r="N136" s="382"/>
      <c r="O136" s="382"/>
      <c r="P136" s="382"/>
      <c r="Q136" s="382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  <c r="AC136" s="382"/>
      <c r="AD136" s="382"/>
      <c r="AE136" s="382"/>
      <c r="AF136" s="382"/>
      <c r="AG136" s="382"/>
      <c r="AH136" s="382"/>
      <c r="AI136" s="382"/>
      <c r="AJ136" s="382"/>
      <c r="AK136" s="382"/>
      <c r="AL136" s="382"/>
      <c r="AM136" s="382"/>
      <c r="AN136" s="382"/>
      <c r="AO136" s="382"/>
      <c r="AP136" s="382"/>
      <c r="AQ136" s="382"/>
      <c r="AR136" s="382"/>
      <c r="AS136" s="382"/>
      <c r="AT136" s="382"/>
      <c r="AU136" s="382"/>
      <c r="AV136" s="382"/>
      <c r="AW136" s="382"/>
      <c r="AX136" s="382"/>
      <c r="AY136" s="382"/>
    </row>
    <row r="137" spans="1:51" s="379" customFormat="1" ht="38.25" hidden="1" outlineLevel="1">
      <c r="A137" s="379" t="s">
        <v>2449</v>
      </c>
      <c r="B137" s="379" t="s">
        <v>2450</v>
      </c>
      <c r="C137" s="380" t="s">
        <v>2451</v>
      </c>
      <c r="D137" s="381">
        <v>0</v>
      </c>
      <c r="E137" s="381">
        <v>0</v>
      </c>
      <c r="F137" s="379">
        <v>1460.8</v>
      </c>
      <c r="G137" s="379">
        <v>0</v>
      </c>
      <c r="H137" s="382"/>
      <c r="I137" s="382"/>
      <c r="J137" s="382"/>
      <c r="K137" s="382"/>
      <c r="L137" s="382"/>
      <c r="M137" s="382"/>
      <c r="N137" s="382"/>
      <c r="O137" s="382"/>
      <c r="P137" s="382"/>
      <c r="Q137" s="382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  <c r="AC137" s="382"/>
      <c r="AD137" s="382"/>
      <c r="AE137" s="382"/>
      <c r="AF137" s="382"/>
      <c r="AG137" s="382"/>
      <c r="AH137" s="382"/>
      <c r="AI137" s="382"/>
      <c r="AJ137" s="382"/>
      <c r="AK137" s="382"/>
      <c r="AL137" s="382"/>
      <c r="AM137" s="382"/>
      <c r="AN137" s="382"/>
      <c r="AO137" s="382"/>
      <c r="AP137" s="382"/>
      <c r="AQ137" s="382"/>
      <c r="AR137" s="382"/>
      <c r="AS137" s="382"/>
      <c r="AT137" s="382"/>
      <c r="AU137" s="382"/>
      <c r="AV137" s="382"/>
      <c r="AW137" s="382"/>
      <c r="AX137" s="382"/>
      <c r="AY137" s="382"/>
    </row>
    <row r="138" spans="1:51" s="379" customFormat="1" ht="38.25" hidden="1" outlineLevel="1">
      <c r="A138" s="379" t="s">
        <v>2458</v>
      </c>
      <c r="B138" s="379" t="s">
        <v>2459</v>
      </c>
      <c r="C138" s="380" t="s">
        <v>2460</v>
      </c>
      <c r="D138" s="381">
        <v>0</v>
      </c>
      <c r="E138" s="381">
        <v>1213.89</v>
      </c>
      <c r="F138" s="379">
        <v>0</v>
      </c>
      <c r="G138" s="379">
        <v>0</v>
      </c>
      <c r="H138" s="382"/>
      <c r="I138" s="382"/>
      <c r="J138" s="382"/>
      <c r="K138" s="382"/>
      <c r="L138" s="382"/>
      <c r="M138" s="382"/>
      <c r="N138" s="382"/>
      <c r="O138" s="382"/>
      <c r="P138" s="382"/>
      <c r="Q138" s="382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  <c r="AC138" s="382"/>
      <c r="AD138" s="382"/>
      <c r="AE138" s="382"/>
      <c r="AF138" s="382"/>
      <c r="AG138" s="382"/>
      <c r="AH138" s="382"/>
      <c r="AI138" s="382"/>
      <c r="AJ138" s="382"/>
      <c r="AK138" s="382"/>
      <c r="AL138" s="382"/>
      <c r="AM138" s="382"/>
      <c r="AN138" s="382"/>
      <c r="AO138" s="382"/>
      <c r="AP138" s="382"/>
      <c r="AQ138" s="382"/>
      <c r="AR138" s="382"/>
      <c r="AS138" s="382"/>
      <c r="AT138" s="382"/>
      <c r="AU138" s="382"/>
      <c r="AV138" s="382"/>
      <c r="AW138" s="382"/>
      <c r="AX138" s="382"/>
      <c r="AY138" s="382"/>
    </row>
    <row r="139" spans="1:51" s="379" customFormat="1" ht="38.25" hidden="1" outlineLevel="1">
      <c r="A139" s="379" t="s">
        <v>2464</v>
      </c>
      <c r="B139" s="379" t="s">
        <v>2465</v>
      </c>
      <c r="C139" s="380" t="s">
        <v>2466</v>
      </c>
      <c r="D139" s="381">
        <v>0</v>
      </c>
      <c r="E139" s="381">
        <v>90.5</v>
      </c>
      <c r="F139" s="379">
        <v>0</v>
      </c>
      <c r="G139" s="379">
        <v>0</v>
      </c>
      <c r="H139" s="382"/>
      <c r="I139" s="382"/>
      <c r="J139" s="382"/>
      <c r="K139" s="382"/>
      <c r="L139" s="382"/>
      <c r="M139" s="382"/>
      <c r="N139" s="382"/>
      <c r="O139" s="382"/>
      <c r="P139" s="382"/>
      <c r="Q139" s="382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  <c r="AC139" s="382"/>
      <c r="AD139" s="382"/>
      <c r="AE139" s="382"/>
      <c r="AF139" s="382"/>
      <c r="AG139" s="382"/>
      <c r="AH139" s="382"/>
      <c r="AI139" s="382"/>
      <c r="AJ139" s="382"/>
      <c r="AK139" s="382"/>
      <c r="AL139" s="382"/>
      <c r="AM139" s="382"/>
      <c r="AN139" s="382"/>
      <c r="AO139" s="382"/>
      <c r="AP139" s="382"/>
      <c r="AQ139" s="382"/>
      <c r="AR139" s="382"/>
      <c r="AS139" s="382"/>
      <c r="AT139" s="382"/>
      <c r="AU139" s="382"/>
      <c r="AV139" s="382"/>
      <c r="AW139" s="382"/>
      <c r="AX139" s="382"/>
      <c r="AY139" s="382"/>
    </row>
    <row r="140" spans="1:51" s="379" customFormat="1" ht="38.25" hidden="1" outlineLevel="1">
      <c r="A140" s="379" t="s">
        <v>2470</v>
      </c>
      <c r="B140" s="379" t="s">
        <v>2471</v>
      </c>
      <c r="C140" s="380" t="s">
        <v>2472</v>
      </c>
      <c r="D140" s="381">
        <v>343.85</v>
      </c>
      <c r="E140" s="381">
        <v>37148.12</v>
      </c>
      <c r="F140" s="379">
        <v>0</v>
      </c>
      <c r="G140" s="379">
        <v>0</v>
      </c>
      <c r="H140" s="382"/>
      <c r="I140" s="382"/>
      <c r="J140" s="382"/>
      <c r="K140" s="382"/>
      <c r="L140" s="382"/>
      <c r="M140" s="382"/>
      <c r="N140" s="382"/>
      <c r="O140" s="382"/>
      <c r="P140" s="382"/>
      <c r="Q140" s="382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  <c r="AC140" s="382"/>
      <c r="AD140" s="382"/>
      <c r="AE140" s="382"/>
      <c r="AF140" s="382"/>
      <c r="AG140" s="382"/>
      <c r="AH140" s="382"/>
      <c r="AI140" s="382"/>
      <c r="AJ140" s="382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2"/>
      <c r="AU140" s="382"/>
      <c r="AV140" s="382"/>
      <c r="AW140" s="382"/>
      <c r="AX140" s="382"/>
      <c r="AY140" s="382"/>
    </row>
    <row r="141" spans="1:51" s="379" customFormat="1" ht="38.25" hidden="1" outlineLevel="1">
      <c r="A141" s="379" t="s">
        <v>2473</v>
      </c>
      <c r="B141" s="379" t="s">
        <v>2474</v>
      </c>
      <c r="C141" s="380" t="s">
        <v>2475</v>
      </c>
      <c r="D141" s="381">
        <v>0</v>
      </c>
      <c r="E141" s="381">
        <v>35</v>
      </c>
      <c r="F141" s="379">
        <v>7958.75</v>
      </c>
      <c r="G141" s="379">
        <v>0</v>
      </c>
      <c r="H141" s="382"/>
      <c r="I141" s="382"/>
      <c r="J141" s="382"/>
      <c r="K141" s="382"/>
      <c r="L141" s="382"/>
      <c r="M141" s="382"/>
      <c r="N141" s="382"/>
      <c r="O141" s="382"/>
      <c r="P141" s="382"/>
      <c r="Q141" s="382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  <c r="AC141" s="382"/>
      <c r="AD141" s="382"/>
      <c r="AE141" s="382"/>
      <c r="AF141" s="382"/>
      <c r="AG141" s="382"/>
      <c r="AH141" s="382"/>
      <c r="AI141" s="382"/>
      <c r="AJ141" s="382"/>
      <c r="AK141" s="382"/>
      <c r="AL141" s="382"/>
      <c r="AM141" s="382"/>
      <c r="AN141" s="382"/>
      <c r="AO141" s="382"/>
      <c r="AP141" s="382"/>
      <c r="AQ141" s="382"/>
      <c r="AR141" s="382"/>
      <c r="AS141" s="382"/>
      <c r="AT141" s="382"/>
      <c r="AU141" s="382"/>
      <c r="AV141" s="382"/>
      <c r="AW141" s="382"/>
      <c r="AX141" s="382"/>
      <c r="AY141" s="382"/>
    </row>
    <row r="142" spans="1:51" s="379" customFormat="1" ht="38.25" hidden="1" outlineLevel="1">
      <c r="A142" s="379" t="s">
        <v>2476</v>
      </c>
      <c r="B142" s="379" t="s">
        <v>2477</v>
      </c>
      <c r="C142" s="380" t="s">
        <v>2478</v>
      </c>
      <c r="D142" s="381">
        <v>13994.94</v>
      </c>
      <c r="E142" s="381">
        <v>35406.15</v>
      </c>
      <c r="F142" s="379">
        <v>0</v>
      </c>
      <c r="G142" s="379">
        <v>0</v>
      </c>
      <c r="H142" s="382"/>
      <c r="I142" s="382"/>
      <c r="J142" s="382"/>
      <c r="K142" s="382"/>
      <c r="L142" s="382"/>
      <c r="M142" s="382"/>
      <c r="N142" s="382"/>
      <c r="O142" s="382"/>
      <c r="P142" s="382"/>
      <c r="Q142" s="382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  <c r="AC142" s="382"/>
      <c r="AD142" s="382"/>
      <c r="AE142" s="382"/>
      <c r="AF142" s="382"/>
      <c r="AG142" s="382"/>
      <c r="AH142" s="382"/>
      <c r="AI142" s="382"/>
      <c r="AJ142" s="382"/>
      <c r="AK142" s="382"/>
      <c r="AL142" s="382"/>
      <c r="AM142" s="382"/>
      <c r="AN142" s="382"/>
      <c r="AO142" s="382"/>
      <c r="AP142" s="382"/>
      <c r="AQ142" s="382"/>
      <c r="AR142" s="382"/>
      <c r="AS142" s="382"/>
      <c r="AT142" s="382"/>
      <c r="AU142" s="382"/>
      <c r="AV142" s="382"/>
      <c r="AW142" s="382"/>
      <c r="AX142" s="382"/>
      <c r="AY142" s="382"/>
    </row>
    <row r="143" spans="1:51" s="379" customFormat="1" ht="38.25" hidden="1" outlineLevel="1">
      <c r="A143" s="379" t="s">
        <v>2479</v>
      </c>
      <c r="B143" s="379" t="s">
        <v>2480</v>
      </c>
      <c r="C143" s="380" t="s">
        <v>2481</v>
      </c>
      <c r="D143" s="381">
        <v>0</v>
      </c>
      <c r="E143" s="381">
        <v>1931.62</v>
      </c>
      <c r="F143" s="379">
        <v>213</v>
      </c>
      <c r="G143" s="379">
        <v>0</v>
      </c>
      <c r="H143" s="382"/>
      <c r="I143" s="382"/>
      <c r="J143" s="382"/>
      <c r="K143" s="382"/>
      <c r="L143" s="382"/>
      <c r="M143" s="382"/>
      <c r="N143" s="382"/>
      <c r="O143" s="382"/>
      <c r="P143" s="382"/>
      <c r="Q143" s="382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  <c r="AC143" s="382"/>
      <c r="AD143" s="382"/>
      <c r="AE143" s="382"/>
      <c r="AF143" s="382"/>
      <c r="AG143" s="382"/>
      <c r="AH143" s="382"/>
      <c r="AI143" s="382"/>
      <c r="AJ143" s="382"/>
      <c r="AK143" s="382"/>
      <c r="AL143" s="382"/>
      <c r="AM143" s="382"/>
      <c r="AN143" s="382"/>
      <c r="AO143" s="382"/>
      <c r="AP143" s="382"/>
      <c r="AQ143" s="382"/>
      <c r="AR143" s="382"/>
      <c r="AS143" s="382"/>
      <c r="AT143" s="382"/>
      <c r="AU143" s="382"/>
      <c r="AV143" s="382"/>
      <c r="AW143" s="382"/>
      <c r="AX143" s="382"/>
      <c r="AY143" s="382"/>
    </row>
    <row r="144" spans="1:51" s="379" customFormat="1" ht="38.25" hidden="1" outlineLevel="1">
      <c r="A144" s="379" t="s">
        <v>280</v>
      </c>
      <c r="B144" s="379" t="s">
        <v>281</v>
      </c>
      <c r="C144" s="380" t="s">
        <v>282</v>
      </c>
      <c r="D144" s="381">
        <v>0</v>
      </c>
      <c r="E144" s="381">
        <v>0</v>
      </c>
      <c r="F144" s="379">
        <v>1636.72</v>
      </c>
      <c r="G144" s="379">
        <v>0</v>
      </c>
      <c r="H144" s="382"/>
      <c r="I144" s="382"/>
      <c r="J144" s="382"/>
      <c r="K144" s="382"/>
      <c r="L144" s="382"/>
      <c r="M144" s="382"/>
      <c r="N144" s="382"/>
      <c r="O144" s="382"/>
      <c r="P144" s="382"/>
      <c r="Q144" s="382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  <c r="AC144" s="382"/>
      <c r="AD144" s="382"/>
      <c r="AE144" s="382"/>
      <c r="AF144" s="382"/>
      <c r="AG144" s="382"/>
      <c r="AH144" s="382"/>
      <c r="AI144" s="382"/>
      <c r="AJ144" s="382"/>
      <c r="AK144" s="382"/>
      <c r="AL144" s="382"/>
      <c r="AM144" s="382"/>
      <c r="AN144" s="382"/>
      <c r="AO144" s="382"/>
      <c r="AP144" s="382"/>
      <c r="AQ144" s="382"/>
      <c r="AR144" s="382"/>
      <c r="AS144" s="382"/>
      <c r="AT144" s="382"/>
      <c r="AU144" s="382"/>
      <c r="AV144" s="382"/>
      <c r="AW144" s="382"/>
      <c r="AX144" s="382"/>
      <c r="AY144" s="382"/>
    </row>
    <row r="145" spans="1:51" ht="12.75" customHeight="1" collapsed="1">
      <c r="A145" s="392" t="s">
        <v>550</v>
      </c>
      <c r="B145" s="408" t="s">
        <v>551</v>
      </c>
      <c r="C145" s="409"/>
      <c r="D145" s="411">
        <v>20456.52</v>
      </c>
      <c r="E145" s="411">
        <v>-38721.07</v>
      </c>
      <c r="F145" s="411">
        <v>241354.52</v>
      </c>
      <c r="G145" s="411">
        <v>47285</v>
      </c>
      <c r="H145" s="392"/>
      <c r="I145" s="392"/>
      <c r="J145" s="392"/>
      <c r="K145" s="392"/>
      <c r="L145" s="392"/>
      <c r="M145" s="392"/>
      <c r="N145" s="392"/>
      <c r="O145" s="392"/>
      <c r="P145" s="392"/>
      <c r="Q145" s="392"/>
      <c r="R145" s="392"/>
      <c r="S145" s="392"/>
      <c r="T145" s="392"/>
      <c r="U145" s="392"/>
      <c r="V145" s="392"/>
      <c r="W145" s="392"/>
      <c r="X145" s="392"/>
      <c r="Y145" s="392"/>
      <c r="Z145" s="392"/>
      <c r="AA145" s="392"/>
      <c r="AB145" s="392"/>
      <c r="AC145" s="392"/>
      <c r="AD145" s="392"/>
      <c r="AE145" s="392"/>
      <c r="AF145" s="392"/>
      <c r="AG145" s="392"/>
      <c r="AH145" s="392"/>
      <c r="AI145" s="392"/>
      <c r="AJ145" s="392"/>
      <c r="AK145" s="392"/>
      <c r="AL145" s="392"/>
      <c r="AM145" s="392"/>
      <c r="AN145" s="392"/>
      <c r="AO145" s="392"/>
      <c r="AP145" s="392"/>
      <c r="AQ145" s="392"/>
      <c r="AR145" s="392"/>
      <c r="AS145" s="392"/>
      <c r="AT145" s="392"/>
      <c r="AU145" s="392"/>
      <c r="AV145" s="392"/>
      <c r="AW145" s="392"/>
      <c r="AX145" s="392"/>
      <c r="AY145" s="392"/>
    </row>
    <row r="146" spans="1:51" s="379" customFormat="1" ht="38.25" hidden="1" outlineLevel="1">
      <c r="A146" s="379" t="s">
        <v>1683</v>
      </c>
      <c r="B146" s="379" t="s">
        <v>1684</v>
      </c>
      <c r="C146" s="380" t="s">
        <v>1685</v>
      </c>
      <c r="D146" s="381">
        <v>-222222.31</v>
      </c>
      <c r="E146" s="381">
        <v>-10000</v>
      </c>
      <c r="F146" s="379">
        <v>-51000</v>
      </c>
      <c r="G146" s="379">
        <v>0</v>
      </c>
      <c r="H146" s="382"/>
      <c r="I146" s="382"/>
      <c r="J146" s="382"/>
      <c r="K146" s="382"/>
      <c r="L146" s="382"/>
      <c r="M146" s="382"/>
      <c r="N146" s="382"/>
      <c r="O146" s="382"/>
      <c r="P146" s="382"/>
      <c r="Q146" s="382"/>
      <c r="R146" s="382"/>
      <c r="S146" s="382"/>
      <c r="T146" s="382"/>
      <c r="U146" s="382"/>
      <c r="V146" s="382"/>
      <c r="W146" s="382"/>
      <c r="X146" s="382"/>
      <c r="Y146" s="382"/>
      <c r="Z146" s="382"/>
      <c r="AA146" s="382"/>
      <c r="AB146" s="382"/>
      <c r="AC146" s="382"/>
      <c r="AD146" s="382"/>
      <c r="AE146" s="382"/>
      <c r="AF146" s="382"/>
      <c r="AG146" s="382"/>
      <c r="AH146" s="382"/>
      <c r="AI146" s="382"/>
      <c r="AJ146" s="382"/>
      <c r="AK146" s="382"/>
      <c r="AL146" s="382"/>
      <c r="AM146" s="382"/>
      <c r="AN146" s="382"/>
      <c r="AO146" s="382"/>
      <c r="AP146" s="382"/>
      <c r="AQ146" s="382"/>
      <c r="AR146" s="382"/>
      <c r="AS146" s="382"/>
      <c r="AT146" s="382"/>
      <c r="AU146" s="382"/>
      <c r="AV146" s="382"/>
      <c r="AW146" s="382"/>
      <c r="AX146" s="382"/>
      <c r="AY146" s="382"/>
    </row>
    <row r="147" spans="1:51" s="379" customFormat="1" ht="38.25" hidden="1" outlineLevel="1">
      <c r="A147" s="379" t="s">
        <v>1731</v>
      </c>
      <c r="B147" s="379" t="s">
        <v>1732</v>
      </c>
      <c r="C147" s="380" t="s">
        <v>1733</v>
      </c>
      <c r="D147" s="381">
        <v>156.31</v>
      </c>
      <c r="E147" s="381">
        <v>1153.28</v>
      </c>
      <c r="F147" s="379">
        <v>6781.2</v>
      </c>
      <c r="G147" s="379">
        <v>0</v>
      </c>
      <c r="H147" s="382"/>
      <c r="I147" s="382"/>
      <c r="J147" s="382"/>
      <c r="K147" s="382"/>
      <c r="L147" s="382"/>
      <c r="M147" s="382"/>
      <c r="N147" s="382"/>
      <c r="O147" s="382"/>
      <c r="P147" s="382"/>
      <c r="Q147" s="382"/>
      <c r="R147" s="382"/>
      <c r="S147" s="382"/>
      <c r="T147" s="382"/>
      <c r="U147" s="382"/>
      <c r="V147" s="382"/>
      <c r="W147" s="382"/>
      <c r="X147" s="382"/>
      <c r="Y147" s="382"/>
      <c r="Z147" s="382"/>
      <c r="AA147" s="382"/>
      <c r="AB147" s="382"/>
      <c r="AC147" s="382"/>
      <c r="AD147" s="382"/>
      <c r="AE147" s="382"/>
      <c r="AF147" s="382"/>
      <c r="AG147" s="382"/>
      <c r="AH147" s="382"/>
      <c r="AI147" s="382"/>
      <c r="AJ147" s="382"/>
      <c r="AK147" s="382"/>
      <c r="AL147" s="382"/>
      <c r="AM147" s="382"/>
      <c r="AN147" s="382"/>
      <c r="AO147" s="382"/>
      <c r="AP147" s="382"/>
      <c r="AQ147" s="382"/>
      <c r="AR147" s="382"/>
      <c r="AS147" s="382"/>
      <c r="AT147" s="382"/>
      <c r="AU147" s="382"/>
      <c r="AV147" s="382"/>
      <c r="AW147" s="382"/>
      <c r="AX147" s="382"/>
      <c r="AY147" s="382"/>
    </row>
    <row r="148" spans="1:51" s="379" customFormat="1" ht="38.25" hidden="1" outlineLevel="1">
      <c r="A148" s="379" t="s">
        <v>1734</v>
      </c>
      <c r="B148" s="379" t="s">
        <v>1735</v>
      </c>
      <c r="C148" s="380" t="s">
        <v>1736</v>
      </c>
      <c r="D148" s="381">
        <v>1339.98</v>
      </c>
      <c r="E148" s="381">
        <v>843.11</v>
      </c>
      <c r="F148" s="379">
        <v>0</v>
      </c>
      <c r="G148" s="379">
        <v>0</v>
      </c>
      <c r="H148" s="382"/>
      <c r="I148" s="382"/>
      <c r="J148" s="382"/>
      <c r="K148" s="382"/>
      <c r="L148" s="382"/>
      <c r="M148" s="382"/>
      <c r="N148" s="382"/>
      <c r="O148" s="382"/>
      <c r="P148" s="382"/>
      <c r="Q148" s="382"/>
      <c r="R148" s="382"/>
      <c r="S148" s="382"/>
      <c r="T148" s="382"/>
      <c r="U148" s="382"/>
      <c r="V148" s="382"/>
      <c r="W148" s="382"/>
      <c r="X148" s="382"/>
      <c r="Y148" s="382"/>
      <c r="Z148" s="382"/>
      <c r="AA148" s="382"/>
      <c r="AB148" s="382"/>
      <c r="AC148" s="382"/>
      <c r="AD148" s="382"/>
      <c r="AE148" s="382"/>
      <c r="AF148" s="382"/>
      <c r="AG148" s="382"/>
      <c r="AH148" s="382"/>
      <c r="AI148" s="382"/>
      <c r="AJ148" s="382"/>
      <c r="AK148" s="382"/>
      <c r="AL148" s="382"/>
      <c r="AM148" s="382"/>
      <c r="AN148" s="382"/>
      <c r="AO148" s="382"/>
      <c r="AP148" s="382"/>
      <c r="AQ148" s="382"/>
      <c r="AR148" s="382"/>
      <c r="AS148" s="382"/>
      <c r="AT148" s="382"/>
      <c r="AU148" s="382"/>
      <c r="AV148" s="382"/>
      <c r="AW148" s="382"/>
      <c r="AX148" s="382"/>
      <c r="AY148" s="382"/>
    </row>
    <row r="149" spans="1:51" s="379" customFormat="1" ht="38.25" hidden="1" outlineLevel="1">
      <c r="A149" s="379" t="s">
        <v>1737</v>
      </c>
      <c r="B149" s="379" t="s">
        <v>1738</v>
      </c>
      <c r="C149" s="380" t="s">
        <v>1739</v>
      </c>
      <c r="D149" s="381">
        <v>0</v>
      </c>
      <c r="E149" s="381">
        <v>5202.94</v>
      </c>
      <c r="F149" s="379">
        <v>0</v>
      </c>
      <c r="G149" s="379">
        <v>0</v>
      </c>
      <c r="H149" s="382"/>
      <c r="I149" s="382"/>
      <c r="J149" s="382"/>
      <c r="K149" s="382"/>
      <c r="L149" s="382"/>
      <c r="M149" s="382"/>
      <c r="N149" s="382"/>
      <c r="O149" s="382"/>
      <c r="P149" s="382"/>
      <c r="Q149" s="382"/>
      <c r="R149" s="382"/>
      <c r="S149" s="382"/>
      <c r="T149" s="382"/>
      <c r="U149" s="382"/>
      <c r="V149" s="382"/>
      <c r="W149" s="382"/>
      <c r="X149" s="382"/>
      <c r="Y149" s="382"/>
      <c r="Z149" s="382"/>
      <c r="AA149" s="382"/>
      <c r="AB149" s="382"/>
      <c r="AC149" s="382"/>
      <c r="AD149" s="382"/>
      <c r="AE149" s="382"/>
      <c r="AF149" s="382"/>
      <c r="AG149" s="382"/>
      <c r="AH149" s="382"/>
      <c r="AI149" s="382"/>
      <c r="AJ149" s="382"/>
      <c r="AK149" s="382"/>
      <c r="AL149" s="382"/>
      <c r="AM149" s="382"/>
      <c r="AN149" s="382"/>
      <c r="AO149" s="382"/>
      <c r="AP149" s="382"/>
      <c r="AQ149" s="382"/>
      <c r="AR149" s="382"/>
      <c r="AS149" s="382"/>
      <c r="AT149" s="382"/>
      <c r="AU149" s="382"/>
      <c r="AV149" s="382"/>
      <c r="AW149" s="382"/>
      <c r="AX149" s="382"/>
      <c r="AY149" s="382"/>
    </row>
    <row r="150" spans="1:51" s="379" customFormat="1" ht="38.25" hidden="1" outlineLevel="1">
      <c r="A150" s="379" t="s">
        <v>1743</v>
      </c>
      <c r="B150" s="379" t="s">
        <v>1744</v>
      </c>
      <c r="C150" s="380" t="s">
        <v>1745</v>
      </c>
      <c r="D150" s="381">
        <v>0</v>
      </c>
      <c r="E150" s="381">
        <v>113.49</v>
      </c>
      <c r="F150" s="379">
        <v>558.09</v>
      </c>
      <c r="G150" s="379">
        <v>0</v>
      </c>
      <c r="H150" s="382"/>
      <c r="I150" s="382"/>
      <c r="J150" s="382"/>
      <c r="K150" s="382"/>
      <c r="L150" s="382"/>
      <c r="M150" s="382"/>
      <c r="N150" s="382"/>
      <c r="O150" s="382"/>
      <c r="P150" s="382"/>
      <c r="Q150" s="382"/>
      <c r="R150" s="382"/>
      <c r="S150" s="382"/>
      <c r="T150" s="382"/>
      <c r="U150" s="382"/>
      <c r="V150" s="382"/>
      <c r="W150" s="382"/>
      <c r="X150" s="382"/>
      <c r="Y150" s="382"/>
      <c r="Z150" s="382"/>
      <c r="AA150" s="382"/>
      <c r="AB150" s="382"/>
      <c r="AC150" s="382"/>
      <c r="AD150" s="382"/>
      <c r="AE150" s="382"/>
      <c r="AF150" s="382"/>
      <c r="AG150" s="382"/>
      <c r="AH150" s="382"/>
      <c r="AI150" s="382"/>
      <c r="AJ150" s="382"/>
      <c r="AK150" s="382"/>
      <c r="AL150" s="382"/>
      <c r="AM150" s="382"/>
      <c r="AN150" s="382"/>
      <c r="AO150" s="382"/>
      <c r="AP150" s="382"/>
      <c r="AQ150" s="382"/>
      <c r="AR150" s="382"/>
      <c r="AS150" s="382"/>
      <c r="AT150" s="382"/>
      <c r="AU150" s="382"/>
      <c r="AV150" s="382"/>
      <c r="AW150" s="382"/>
      <c r="AX150" s="382"/>
      <c r="AY150" s="382"/>
    </row>
    <row r="151" spans="1:51" s="379" customFormat="1" ht="38.25" hidden="1" outlineLevel="1">
      <c r="A151" s="379" t="s">
        <v>1752</v>
      </c>
      <c r="B151" s="379" t="s">
        <v>1753</v>
      </c>
      <c r="C151" s="380" t="s">
        <v>1754</v>
      </c>
      <c r="D151" s="381">
        <v>0</v>
      </c>
      <c r="E151" s="381">
        <v>0</v>
      </c>
      <c r="F151" s="379">
        <v>444729.31</v>
      </c>
      <c r="G151" s="379">
        <v>0</v>
      </c>
      <c r="H151" s="382"/>
      <c r="I151" s="382"/>
      <c r="J151" s="382"/>
      <c r="K151" s="382"/>
      <c r="L151" s="382"/>
      <c r="M151" s="382"/>
      <c r="N151" s="382"/>
      <c r="O151" s="382"/>
      <c r="P151" s="382"/>
      <c r="Q151" s="382"/>
      <c r="R151" s="382"/>
      <c r="S151" s="382"/>
      <c r="T151" s="382"/>
      <c r="U151" s="382"/>
      <c r="V151" s="382"/>
      <c r="W151" s="382"/>
      <c r="X151" s="382"/>
      <c r="Y151" s="382"/>
      <c r="Z151" s="382"/>
      <c r="AA151" s="382"/>
      <c r="AB151" s="382"/>
      <c r="AC151" s="382"/>
      <c r="AD151" s="382"/>
      <c r="AE151" s="382"/>
      <c r="AF151" s="382"/>
      <c r="AG151" s="382"/>
      <c r="AH151" s="382"/>
      <c r="AI151" s="382"/>
      <c r="AJ151" s="382"/>
      <c r="AK151" s="382"/>
      <c r="AL151" s="382"/>
      <c r="AM151" s="382"/>
      <c r="AN151" s="382"/>
      <c r="AO151" s="382"/>
      <c r="AP151" s="382"/>
      <c r="AQ151" s="382"/>
      <c r="AR151" s="382"/>
      <c r="AS151" s="382"/>
      <c r="AT151" s="382"/>
      <c r="AU151" s="382"/>
      <c r="AV151" s="382"/>
      <c r="AW151" s="382"/>
      <c r="AX151" s="382"/>
      <c r="AY151" s="382"/>
    </row>
    <row r="152" spans="1:51" s="379" customFormat="1" ht="38.25" hidden="1" outlineLevel="1">
      <c r="A152" s="379" t="s">
        <v>241</v>
      </c>
      <c r="B152" s="379" t="s">
        <v>242</v>
      </c>
      <c r="C152" s="380" t="s">
        <v>243</v>
      </c>
      <c r="D152" s="381">
        <v>0</v>
      </c>
      <c r="E152" s="381">
        <v>0</v>
      </c>
      <c r="F152" s="379">
        <v>61506.39</v>
      </c>
      <c r="G152" s="379">
        <v>0</v>
      </c>
      <c r="H152" s="382"/>
      <c r="I152" s="382"/>
      <c r="J152" s="382"/>
      <c r="K152" s="382"/>
      <c r="L152" s="382"/>
      <c r="M152" s="382"/>
      <c r="N152" s="382"/>
      <c r="O152" s="382"/>
      <c r="P152" s="382"/>
      <c r="Q152" s="382"/>
      <c r="R152" s="382"/>
      <c r="S152" s="382"/>
      <c r="T152" s="382"/>
      <c r="U152" s="382"/>
      <c r="V152" s="382"/>
      <c r="W152" s="382"/>
      <c r="X152" s="382"/>
      <c r="Y152" s="382"/>
      <c r="Z152" s="382"/>
      <c r="AA152" s="382"/>
      <c r="AB152" s="382"/>
      <c r="AC152" s="382"/>
      <c r="AD152" s="382"/>
      <c r="AE152" s="382"/>
      <c r="AF152" s="382"/>
      <c r="AG152" s="382"/>
      <c r="AH152" s="382"/>
      <c r="AI152" s="382"/>
      <c r="AJ152" s="382"/>
      <c r="AK152" s="382"/>
      <c r="AL152" s="382"/>
      <c r="AM152" s="382"/>
      <c r="AN152" s="382"/>
      <c r="AO152" s="382"/>
      <c r="AP152" s="382"/>
      <c r="AQ152" s="382"/>
      <c r="AR152" s="382"/>
      <c r="AS152" s="382"/>
      <c r="AT152" s="382"/>
      <c r="AU152" s="382"/>
      <c r="AV152" s="382"/>
      <c r="AW152" s="382"/>
      <c r="AX152" s="382"/>
      <c r="AY152" s="382"/>
    </row>
    <row r="153" spans="1:51" s="379" customFormat="1" ht="38.25" hidden="1" outlineLevel="1">
      <c r="A153" s="379" t="s">
        <v>1755</v>
      </c>
      <c r="B153" s="379" t="s">
        <v>1756</v>
      </c>
      <c r="C153" s="380" t="s">
        <v>1757</v>
      </c>
      <c r="D153" s="381">
        <v>0</v>
      </c>
      <c r="E153" s="381">
        <v>0</v>
      </c>
      <c r="F153" s="379">
        <v>56170.72</v>
      </c>
      <c r="G153" s="379">
        <v>0</v>
      </c>
      <c r="H153" s="382"/>
      <c r="I153" s="382"/>
      <c r="J153" s="382"/>
      <c r="K153" s="382"/>
      <c r="L153" s="382"/>
      <c r="M153" s="382"/>
      <c r="N153" s="382"/>
      <c r="O153" s="382"/>
      <c r="P153" s="382"/>
      <c r="Q153" s="382"/>
      <c r="R153" s="382"/>
      <c r="S153" s="382"/>
      <c r="T153" s="382"/>
      <c r="U153" s="382"/>
      <c r="V153" s="382"/>
      <c r="W153" s="382"/>
      <c r="X153" s="382"/>
      <c r="Y153" s="382"/>
      <c r="Z153" s="382"/>
      <c r="AA153" s="382"/>
      <c r="AB153" s="382"/>
      <c r="AC153" s="382"/>
      <c r="AD153" s="382"/>
      <c r="AE153" s="382"/>
      <c r="AF153" s="382"/>
      <c r="AG153" s="382"/>
      <c r="AH153" s="382"/>
      <c r="AI153" s="382"/>
      <c r="AJ153" s="382"/>
      <c r="AK153" s="382"/>
      <c r="AL153" s="382"/>
      <c r="AM153" s="382"/>
      <c r="AN153" s="382"/>
      <c r="AO153" s="382"/>
      <c r="AP153" s="382"/>
      <c r="AQ153" s="382"/>
      <c r="AR153" s="382"/>
      <c r="AS153" s="382"/>
      <c r="AT153" s="382"/>
      <c r="AU153" s="382"/>
      <c r="AV153" s="382"/>
      <c r="AW153" s="382"/>
      <c r="AX153" s="382"/>
      <c r="AY153" s="382"/>
    </row>
    <row r="154" spans="1:51" s="379" customFormat="1" ht="38.25" hidden="1" outlineLevel="1">
      <c r="A154" s="379" t="s">
        <v>1758</v>
      </c>
      <c r="B154" s="379" t="s">
        <v>1759</v>
      </c>
      <c r="C154" s="380" t="s">
        <v>1760</v>
      </c>
      <c r="D154" s="381">
        <v>0</v>
      </c>
      <c r="E154" s="381">
        <v>0</v>
      </c>
      <c r="F154" s="379">
        <v>8840</v>
      </c>
      <c r="G154" s="379">
        <v>0</v>
      </c>
      <c r="H154" s="382"/>
      <c r="I154" s="382"/>
      <c r="J154" s="382"/>
      <c r="K154" s="382"/>
      <c r="L154" s="382"/>
      <c r="M154" s="382"/>
      <c r="N154" s="382"/>
      <c r="O154" s="382"/>
      <c r="P154" s="382"/>
      <c r="Q154" s="382"/>
      <c r="R154" s="382"/>
      <c r="S154" s="382"/>
      <c r="T154" s="382"/>
      <c r="U154" s="382"/>
      <c r="V154" s="382"/>
      <c r="W154" s="382"/>
      <c r="X154" s="382"/>
      <c r="Y154" s="382"/>
      <c r="Z154" s="382"/>
      <c r="AA154" s="382"/>
      <c r="AB154" s="382"/>
      <c r="AC154" s="382"/>
      <c r="AD154" s="382"/>
      <c r="AE154" s="382"/>
      <c r="AF154" s="382"/>
      <c r="AG154" s="382"/>
      <c r="AH154" s="382"/>
      <c r="AI154" s="382"/>
      <c r="AJ154" s="382"/>
      <c r="AK154" s="382"/>
      <c r="AL154" s="382"/>
      <c r="AM154" s="382"/>
      <c r="AN154" s="382"/>
      <c r="AO154" s="382"/>
      <c r="AP154" s="382"/>
      <c r="AQ154" s="382"/>
      <c r="AR154" s="382"/>
      <c r="AS154" s="382"/>
      <c r="AT154" s="382"/>
      <c r="AU154" s="382"/>
      <c r="AV154" s="382"/>
      <c r="AW154" s="382"/>
      <c r="AX154" s="382"/>
      <c r="AY154" s="382"/>
    </row>
    <row r="155" spans="1:51" s="379" customFormat="1" ht="38.25" hidden="1" outlineLevel="1">
      <c r="A155" s="379" t="s">
        <v>1767</v>
      </c>
      <c r="B155" s="379" t="s">
        <v>1768</v>
      </c>
      <c r="C155" s="380" t="s">
        <v>2115</v>
      </c>
      <c r="D155" s="381">
        <v>0</v>
      </c>
      <c r="E155" s="381">
        <v>9964.21</v>
      </c>
      <c r="F155" s="379">
        <v>769.81</v>
      </c>
      <c r="G155" s="379">
        <v>0</v>
      </c>
      <c r="H155" s="382"/>
      <c r="I155" s="382"/>
      <c r="J155" s="382"/>
      <c r="K155" s="382"/>
      <c r="L155" s="382"/>
      <c r="M155" s="382"/>
      <c r="N155" s="382"/>
      <c r="O155" s="382"/>
      <c r="P155" s="382"/>
      <c r="Q155" s="382"/>
      <c r="R155" s="382"/>
      <c r="S155" s="382"/>
      <c r="T155" s="382"/>
      <c r="U155" s="382"/>
      <c r="V155" s="382"/>
      <c r="W155" s="382"/>
      <c r="X155" s="382"/>
      <c r="Y155" s="382"/>
      <c r="Z155" s="382"/>
      <c r="AA155" s="382"/>
      <c r="AB155" s="382"/>
      <c r="AC155" s="382"/>
      <c r="AD155" s="382"/>
      <c r="AE155" s="382"/>
      <c r="AF155" s="382"/>
      <c r="AG155" s="382"/>
      <c r="AH155" s="382"/>
      <c r="AI155" s="382"/>
      <c r="AJ155" s="382"/>
      <c r="AK155" s="382"/>
      <c r="AL155" s="382"/>
      <c r="AM155" s="382"/>
      <c r="AN155" s="382"/>
      <c r="AO155" s="382"/>
      <c r="AP155" s="382"/>
      <c r="AQ155" s="382"/>
      <c r="AR155" s="382"/>
      <c r="AS155" s="382"/>
      <c r="AT155" s="382"/>
      <c r="AU155" s="382"/>
      <c r="AV155" s="382"/>
      <c r="AW155" s="382"/>
      <c r="AX155" s="382"/>
      <c r="AY155" s="382"/>
    </row>
    <row r="156" spans="1:51" s="379" customFormat="1" ht="38.25" hidden="1" outlineLevel="1">
      <c r="A156" s="379" t="s">
        <v>2116</v>
      </c>
      <c r="B156" s="379" t="s">
        <v>2117</v>
      </c>
      <c r="C156" s="380" t="s">
        <v>2118</v>
      </c>
      <c r="D156" s="381">
        <v>0</v>
      </c>
      <c r="E156" s="381">
        <v>0</v>
      </c>
      <c r="F156" s="379">
        <v>12189.19</v>
      </c>
      <c r="G156" s="379">
        <v>0</v>
      </c>
      <c r="H156" s="382"/>
      <c r="I156" s="382"/>
      <c r="J156" s="382"/>
      <c r="K156" s="382"/>
      <c r="L156" s="382"/>
      <c r="M156" s="382"/>
      <c r="N156" s="382"/>
      <c r="O156" s="382"/>
      <c r="P156" s="382"/>
      <c r="Q156" s="382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  <c r="AC156" s="382"/>
      <c r="AD156" s="382"/>
      <c r="AE156" s="382"/>
      <c r="AF156" s="382"/>
      <c r="AG156" s="382"/>
      <c r="AH156" s="382"/>
      <c r="AI156" s="382"/>
      <c r="AJ156" s="382"/>
      <c r="AK156" s="382"/>
      <c r="AL156" s="382"/>
      <c r="AM156" s="382"/>
      <c r="AN156" s="382"/>
      <c r="AO156" s="382"/>
      <c r="AP156" s="382"/>
      <c r="AQ156" s="382"/>
      <c r="AR156" s="382"/>
      <c r="AS156" s="382"/>
      <c r="AT156" s="382"/>
      <c r="AU156" s="382"/>
      <c r="AV156" s="382"/>
      <c r="AW156" s="382"/>
      <c r="AX156" s="382"/>
      <c r="AY156" s="382"/>
    </row>
    <row r="157" spans="1:51" s="379" customFormat="1" ht="38.25" hidden="1" outlineLevel="1">
      <c r="A157" s="379" t="s">
        <v>2122</v>
      </c>
      <c r="B157" s="379" t="s">
        <v>2123</v>
      </c>
      <c r="C157" s="380" t="s">
        <v>2124</v>
      </c>
      <c r="D157" s="381">
        <v>0</v>
      </c>
      <c r="E157" s="381">
        <v>5924.62</v>
      </c>
      <c r="F157" s="379">
        <v>13266.44</v>
      </c>
      <c r="G157" s="379">
        <v>0</v>
      </c>
      <c r="H157" s="382"/>
      <c r="I157" s="382"/>
      <c r="J157" s="382"/>
      <c r="K157" s="382"/>
      <c r="L157" s="382"/>
      <c r="M157" s="382"/>
      <c r="N157" s="382"/>
      <c r="O157" s="382"/>
      <c r="P157" s="382"/>
      <c r="Q157" s="382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  <c r="AC157" s="382"/>
      <c r="AD157" s="382"/>
      <c r="AE157" s="382"/>
      <c r="AF157" s="382"/>
      <c r="AG157" s="382"/>
      <c r="AH157" s="382"/>
      <c r="AI157" s="382"/>
      <c r="AJ157" s="382"/>
      <c r="AK157" s="382"/>
      <c r="AL157" s="382"/>
      <c r="AM157" s="382"/>
      <c r="AN157" s="382"/>
      <c r="AO157" s="382"/>
      <c r="AP157" s="382"/>
      <c r="AQ157" s="382"/>
      <c r="AR157" s="382"/>
      <c r="AS157" s="382"/>
      <c r="AT157" s="382"/>
      <c r="AU157" s="382"/>
      <c r="AV157" s="382"/>
      <c r="AW157" s="382"/>
      <c r="AX157" s="382"/>
      <c r="AY157" s="382"/>
    </row>
    <row r="158" spans="1:51" s="379" customFormat="1" ht="38.25" hidden="1" outlineLevel="1">
      <c r="A158" s="379" t="s">
        <v>2125</v>
      </c>
      <c r="B158" s="379" t="s">
        <v>2126</v>
      </c>
      <c r="C158" s="380" t="s">
        <v>2127</v>
      </c>
      <c r="D158" s="381">
        <v>0</v>
      </c>
      <c r="E158" s="381">
        <v>1164.09</v>
      </c>
      <c r="F158" s="379">
        <v>0</v>
      </c>
      <c r="G158" s="379">
        <v>0</v>
      </c>
      <c r="H158" s="382"/>
      <c r="I158" s="382"/>
      <c r="J158" s="382"/>
      <c r="K158" s="382"/>
      <c r="L158" s="382"/>
      <c r="M158" s="382"/>
      <c r="N158" s="382"/>
      <c r="O158" s="382"/>
      <c r="P158" s="382"/>
      <c r="Q158" s="382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  <c r="AC158" s="382"/>
      <c r="AD158" s="382"/>
      <c r="AE158" s="382"/>
      <c r="AF158" s="382"/>
      <c r="AG158" s="382"/>
      <c r="AH158" s="382"/>
      <c r="AI158" s="382"/>
      <c r="AJ158" s="382"/>
      <c r="AK158" s="382"/>
      <c r="AL158" s="382"/>
      <c r="AM158" s="382"/>
      <c r="AN158" s="382"/>
      <c r="AO158" s="382"/>
      <c r="AP158" s="382"/>
      <c r="AQ158" s="382"/>
      <c r="AR158" s="382"/>
      <c r="AS158" s="382"/>
      <c r="AT158" s="382"/>
      <c r="AU158" s="382"/>
      <c r="AV158" s="382"/>
      <c r="AW158" s="382"/>
      <c r="AX158" s="382"/>
      <c r="AY158" s="382"/>
    </row>
    <row r="159" spans="1:51" s="379" customFormat="1" ht="38.25" hidden="1" outlineLevel="1">
      <c r="A159" s="379" t="s">
        <v>2134</v>
      </c>
      <c r="B159" s="379" t="s">
        <v>2135</v>
      </c>
      <c r="C159" s="380" t="s">
        <v>2136</v>
      </c>
      <c r="D159" s="381">
        <v>0</v>
      </c>
      <c r="E159" s="381">
        <v>630.25</v>
      </c>
      <c r="F159" s="379">
        <v>0</v>
      </c>
      <c r="G159" s="379">
        <v>3204.16</v>
      </c>
      <c r="H159" s="382"/>
      <c r="I159" s="382"/>
      <c r="J159" s="382"/>
      <c r="K159" s="382"/>
      <c r="L159" s="382"/>
      <c r="M159" s="382"/>
      <c r="N159" s="382"/>
      <c r="O159" s="382"/>
      <c r="P159" s="382"/>
      <c r="Q159" s="382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  <c r="AC159" s="382"/>
      <c r="AD159" s="382"/>
      <c r="AE159" s="382"/>
      <c r="AF159" s="382"/>
      <c r="AG159" s="382"/>
      <c r="AH159" s="382"/>
      <c r="AI159" s="382"/>
      <c r="AJ159" s="382"/>
      <c r="AK159" s="382"/>
      <c r="AL159" s="382"/>
      <c r="AM159" s="382"/>
      <c r="AN159" s="382"/>
      <c r="AO159" s="382"/>
      <c r="AP159" s="382"/>
      <c r="AQ159" s="382"/>
      <c r="AR159" s="382"/>
      <c r="AS159" s="382"/>
      <c r="AT159" s="382"/>
      <c r="AU159" s="382"/>
      <c r="AV159" s="382"/>
      <c r="AW159" s="382"/>
      <c r="AX159" s="382"/>
      <c r="AY159" s="382"/>
    </row>
    <row r="160" spans="1:51" s="379" customFormat="1" ht="38.25" hidden="1" outlineLevel="1">
      <c r="A160" s="379" t="s">
        <v>2143</v>
      </c>
      <c r="B160" s="379" t="s">
        <v>2144</v>
      </c>
      <c r="C160" s="380" t="s">
        <v>2145</v>
      </c>
      <c r="D160" s="381">
        <v>3274.02</v>
      </c>
      <c r="E160" s="381">
        <v>3185.36</v>
      </c>
      <c r="F160" s="379">
        <v>18041.98</v>
      </c>
      <c r="G160" s="379">
        <v>1449.69</v>
      </c>
      <c r="H160" s="382"/>
      <c r="I160" s="382"/>
      <c r="J160" s="382"/>
      <c r="K160" s="382"/>
      <c r="L160" s="382"/>
      <c r="M160" s="382"/>
      <c r="N160" s="382"/>
      <c r="O160" s="382"/>
      <c r="P160" s="382"/>
      <c r="Q160" s="382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  <c r="AC160" s="382"/>
      <c r="AD160" s="382"/>
      <c r="AE160" s="382"/>
      <c r="AF160" s="382"/>
      <c r="AG160" s="382"/>
      <c r="AH160" s="382"/>
      <c r="AI160" s="382"/>
      <c r="AJ160" s="382"/>
      <c r="AK160" s="382"/>
      <c r="AL160" s="382"/>
      <c r="AM160" s="382"/>
      <c r="AN160" s="382"/>
      <c r="AO160" s="382"/>
      <c r="AP160" s="382"/>
      <c r="AQ160" s="382"/>
      <c r="AR160" s="382"/>
      <c r="AS160" s="382"/>
      <c r="AT160" s="382"/>
      <c r="AU160" s="382"/>
      <c r="AV160" s="382"/>
      <c r="AW160" s="382"/>
      <c r="AX160" s="382"/>
      <c r="AY160" s="382"/>
    </row>
    <row r="161" spans="1:51" s="379" customFormat="1" ht="38.25" hidden="1" outlineLevel="1">
      <c r="A161" s="379" t="s">
        <v>2146</v>
      </c>
      <c r="B161" s="379" t="s">
        <v>2147</v>
      </c>
      <c r="C161" s="380" t="s">
        <v>2148</v>
      </c>
      <c r="D161" s="381">
        <v>0</v>
      </c>
      <c r="E161" s="381">
        <v>108.81</v>
      </c>
      <c r="F161" s="379">
        <v>0</v>
      </c>
      <c r="G161" s="379">
        <v>0</v>
      </c>
      <c r="H161" s="382"/>
      <c r="I161" s="382"/>
      <c r="J161" s="382"/>
      <c r="K161" s="382"/>
      <c r="L161" s="382"/>
      <c r="M161" s="382"/>
      <c r="N161" s="382"/>
      <c r="O161" s="382"/>
      <c r="P161" s="382"/>
      <c r="Q161" s="382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  <c r="AC161" s="382"/>
      <c r="AD161" s="382"/>
      <c r="AE161" s="382"/>
      <c r="AF161" s="382"/>
      <c r="AG161" s="382"/>
      <c r="AH161" s="382"/>
      <c r="AI161" s="382"/>
      <c r="AJ161" s="382"/>
      <c r="AK161" s="382"/>
      <c r="AL161" s="382"/>
      <c r="AM161" s="382"/>
      <c r="AN161" s="382"/>
      <c r="AO161" s="382"/>
      <c r="AP161" s="382"/>
      <c r="AQ161" s="382"/>
      <c r="AR161" s="382"/>
      <c r="AS161" s="382"/>
      <c r="AT161" s="382"/>
      <c r="AU161" s="382"/>
      <c r="AV161" s="382"/>
      <c r="AW161" s="382"/>
      <c r="AX161" s="382"/>
      <c r="AY161" s="382"/>
    </row>
    <row r="162" spans="1:51" s="379" customFormat="1" ht="38.25" hidden="1" outlineLevel="1">
      <c r="A162" s="379" t="s">
        <v>2149</v>
      </c>
      <c r="B162" s="379" t="s">
        <v>2150</v>
      </c>
      <c r="C162" s="380" t="s">
        <v>2151</v>
      </c>
      <c r="D162" s="381">
        <v>0</v>
      </c>
      <c r="E162" s="381">
        <v>212.49</v>
      </c>
      <c r="F162" s="379">
        <v>0</v>
      </c>
      <c r="G162" s="379">
        <v>0</v>
      </c>
      <c r="H162" s="382"/>
      <c r="I162" s="382"/>
      <c r="J162" s="382"/>
      <c r="K162" s="382"/>
      <c r="L162" s="382"/>
      <c r="M162" s="382"/>
      <c r="N162" s="382"/>
      <c r="O162" s="382"/>
      <c r="P162" s="382"/>
      <c r="Q162" s="382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  <c r="AC162" s="382"/>
      <c r="AD162" s="382"/>
      <c r="AE162" s="382"/>
      <c r="AF162" s="382"/>
      <c r="AG162" s="382"/>
      <c r="AH162" s="382"/>
      <c r="AI162" s="382"/>
      <c r="AJ162" s="382"/>
      <c r="AK162" s="382"/>
      <c r="AL162" s="382"/>
      <c r="AM162" s="382"/>
      <c r="AN162" s="382"/>
      <c r="AO162" s="382"/>
      <c r="AP162" s="382"/>
      <c r="AQ162" s="382"/>
      <c r="AR162" s="382"/>
      <c r="AS162" s="382"/>
      <c r="AT162" s="382"/>
      <c r="AU162" s="382"/>
      <c r="AV162" s="382"/>
      <c r="AW162" s="382"/>
      <c r="AX162" s="382"/>
      <c r="AY162" s="382"/>
    </row>
    <row r="163" spans="1:51" s="379" customFormat="1" ht="38.25" hidden="1" outlineLevel="1">
      <c r="A163" s="379" t="s">
        <v>2152</v>
      </c>
      <c r="B163" s="379" t="s">
        <v>2153</v>
      </c>
      <c r="C163" s="380" t="s">
        <v>2154</v>
      </c>
      <c r="D163" s="381">
        <v>0</v>
      </c>
      <c r="E163" s="381">
        <v>1002.74</v>
      </c>
      <c r="F163" s="379">
        <v>0</v>
      </c>
      <c r="G163" s="379">
        <v>0</v>
      </c>
      <c r="H163" s="382"/>
      <c r="I163" s="382"/>
      <c r="J163" s="382"/>
      <c r="K163" s="382"/>
      <c r="L163" s="382"/>
      <c r="M163" s="382"/>
      <c r="N163" s="382"/>
      <c r="O163" s="382"/>
      <c r="P163" s="382"/>
      <c r="Q163" s="382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  <c r="AC163" s="382"/>
      <c r="AD163" s="382"/>
      <c r="AE163" s="382"/>
      <c r="AF163" s="382"/>
      <c r="AG163" s="382"/>
      <c r="AH163" s="382"/>
      <c r="AI163" s="382"/>
      <c r="AJ163" s="382"/>
      <c r="AK163" s="382"/>
      <c r="AL163" s="382"/>
      <c r="AM163" s="382"/>
      <c r="AN163" s="382"/>
      <c r="AO163" s="382"/>
      <c r="AP163" s="382"/>
      <c r="AQ163" s="382"/>
      <c r="AR163" s="382"/>
      <c r="AS163" s="382"/>
      <c r="AT163" s="382"/>
      <c r="AU163" s="382"/>
      <c r="AV163" s="382"/>
      <c r="AW163" s="382"/>
      <c r="AX163" s="382"/>
      <c r="AY163" s="382"/>
    </row>
    <row r="164" spans="1:51" s="379" customFormat="1" ht="38.25" hidden="1" outlineLevel="1">
      <c r="A164" s="379" t="s">
        <v>2155</v>
      </c>
      <c r="B164" s="379" t="s">
        <v>2156</v>
      </c>
      <c r="C164" s="380" t="s">
        <v>2157</v>
      </c>
      <c r="D164" s="381">
        <v>-3712.75</v>
      </c>
      <c r="E164" s="381">
        <v>1</v>
      </c>
      <c r="F164" s="379">
        <v>0</v>
      </c>
      <c r="G164" s="379">
        <v>0</v>
      </c>
      <c r="H164" s="382"/>
      <c r="I164" s="382"/>
      <c r="J164" s="382"/>
      <c r="K164" s="382"/>
      <c r="L164" s="382"/>
      <c r="M164" s="382"/>
      <c r="N164" s="382"/>
      <c r="O164" s="382"/>
      <c r="P164" s="382"/>
      <c r="Q164" s="382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  <c r="AC164" s="382"/>
      <c r="AD164" s="382"/>
      <c r="AE164" s="382"/>
      <c r="AF164" s="382"/>
      <c r="AG164" s="382"/>
      <c r="AH164" s="382"/>
      <c r="AI164" s="382"/>
      <c r="AJ164" s="382"/>
      <c r="AK164" s="382"/>
      <c r="AL164" s="382"/>
      <c r="AM164" s="382"/>
      <c r="AN164" s="382"/>
      <c r="AO164" s="382"/>
      <c r="AP164" s="382"/>
      <c r="AQ164" s="382"/>
      <c r="AR164" s="382"/>
      <c r="AS164" s="382"/>
      <c r="AT164" s="382"/>
      <c r="AU164" s="382"/>
      <c r="AV164" s="382"/>
      <c r="AW164" s="382"/>
      <c r="AX164" s="382"/>
      <c r="AY164" s="382"/>
    </row>
    <row r="165" spans="1:51" s="379" customFormat="1" ht="38.25" hidden="1" outlineLevel="1">
      <c r="A165" s="379" t="s">
        <v>2161</v>
      </c>
      <c r="B165" s="379" t="s">
        <v>2162</v>
      </c>
      <c r="C165" s="380" t="s">
        <v>2163</v>
      </c>
      <c r="D165" s="381">
        <v>4002.5</v>
      </c>
      <c r="E165" s="381">
        <v>132976.99</v>
      </c>
      <c r="F165" s="379">
        <v>22855.98</v>
      </c>
      <c r="G165" s="379">
        <v>3930</v>
      </c>
      <c r="H165" s="382"/>
      <c r="I165" s="382"/>
      <c r="J165" s="382"/>
      <c r="K165" s="382"/>
      <c r="L165" s="382"/>
      <c r="M165" s="382"/>
      <c r="N165" s="382"/>
      <c r="O165" s="382"/>
      <c r="P165" s="382"/>
      <c r="Q165" s="382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  <c r="AC165" s="382"/>
      <c r="AD165" s="382"/>
      <c r="AE165" s="382"/>
      <c r="AF165" s="382"/>
      <c r="AG165" s="382"/>
      <c r="AH165" s="382"/>
      <c r="AI165" s="382"/>
      <c r="AJ165" s="382"/>
      <c r="AK165" s="382"/>
      <c r="AL165" s="382"/>
      <c r="AM165" s="382"/>
      <c r="AN165" s="382"/>
      <c r="AO165" s="382"/>
      <c r="AP165" s="382"/>
      <c r="AQ165" s="382"/>
      <c r="AR165" s="382"/>
      <c r="AS165" s="382"/>
      <c r="AT165" s="382"/>
      <c r="AU165" s="382"/>
      <c r="AV165" s="382"/>
      <c r="AW165" s="382"/>
      <c r="AX165" s="382"/>
      <c r="AY165" s="382"/>
    </row>
    <row r="166" spans="1:51" s="379" customFormat="1" ht="38.25" hidden="1" outlineLevel="1">
      <c r="A166" s="379" t="s">
        <v>2167</v>
      </c>
      <c r="B166" s="379" t="s">
        <v>2168</v>
      </c>
      <c r="C166" s="380" t="s">
        <v>2169</v>
      </c>
      <c r="D166" s="381">
        <v>75</v>
      </c>
      <c r="E166" s="381">
        <v>1740</v>
      </c>
      <c r="F166" s="379">
        <v>50</v>
      </c>
      <c r="G166" s="379">
        <v>0</v>
      </c>
      <c r="H166" s="382"/>
      <c r="I166" s="382"/>
      <c r="J166" s="382"/>
      <c r="K166" s="382"/>
      <c r="L166" s="382"/>
      <c r="M166" s="382"/>
      <c r="N166" s="382"/>
      <c r="O166" s="382"/>
      <c r="P166" s="382"/>
      <c r="Q166" s="382"/>
      <c r="R166" s="382"/>
      <c r="S166" s="382"/>
      <c r="T166" s="382"/>
      <c r="U166" s="382"/>
      <c r="V166" s="382"/>
      <c r="W166" s="382"/>
      <c r="X166" s="382"/>
      <c r="Y166" s="382"/>
      <c r="Z166" s="382"/>
      <c r="AA166" s="382"/>
      <c r="AB166" s="382"/>
      <c r="AC166" s="382"/>
      <c r="AD166" s="382"/>
      <c r="AE166" s="382"/>
      <c r="AF166" s="382"/>
      <c r="AG166" s="382"/>
      <c r="AH166" s="382"/>
      <c r="AI166" s="382"/>
      <c r="AJ166" s="382"/>
      <c r="AK166" s="382"/>
      <c r="AL166" s="382"/>
      <c r="AM166" s="382"/>
      <c r="AN166" s="382"/>
      <c r="AO166" s="382"/>
      <c r="AP166" s="382"/>
      <c r="AQ166" s="382"/>
      <c r="AR166" s="382"/>
      <c r="AS166" s="382"/>
      <c r="AT166" s="382"/>
      <c r="AU166" s="382"/>
      <c r="AV166" s="382"/>
      <c r="AW166" s="382"/>
      <c r="AX166" s="382"/>
      <c r="AY166" s="382"/>
    </row>
    <row r="167" spans="1:51" s="379" customFormat="1" ht="38.25" hidden="1" outlineLevel="1">
      <c r="A167" s="379" t="s">
        <v>2173</v>
      </c>
      <c r="B167" s="379" t="s">
        <v>2174</v>
      </c>
      <c r="C167" s="380" t="s">
        <v>2175</v>
      </c>
      <c r="D167" s="381">
        <v>1047.69</v>
      </c>
      <c r="E167" s="381">
        <v>9185.17</v>
      </c>
      <c r="F167" s="379">
        <v>16743.69</v>
      </c>
      <c r="G167" s="379">
        <v>6655.77</v>
      </c>
      <c r="H167" s="382"/>
      <c r="I167" s="382"/>
      <c r="J167" s="382"/>
      <c r="K167" s="382"/>
      <c r="L167" s="382"/>
      <c r="M167" s="382"/>
      <c r="N167" s="382"/>
      <c r="O167" s="382"/>
      <c r="P167" s="382"/>
      <c r="Q167" s="382"/>
      <c r="R167" s="382"/>
      <c r="S167" s="382"/>
      <c r="T167" s="382"/>
      <c r="U167" s="382"/>
      <c r="V167" s="382"/>
      <c r="W167" s="382"/>
      <c r="X167" s="382"/>
      <c r="Y167" s="382"/>
      <c r="Z167" s="382"/>
      <c r="AA167" s="382"/>
      <c r="AB167" s="382"/>
      <c r="AC167" s="382"/>
      <c r="AD167" s="382"/>
      <c r="AE167" s="382"/>
      <c r="AF167" s="382"/>
      <c r="AG167" s="382"/>
      <c r="AH167" s="382"/>
      <c r="AI167" s="382"/>
      <c r="AJ167" s="382"/>
      <c r="AK167" s="382"/>
      <c r="AL167" s="382"/>
      <c r="AM167" s="382"/>
      <c r="AN167" s="382"/>
      <c r="AO167" s="382"/>
      <c r="AP167" s="382"/>
      <c r="AQ167" s="382"/>
      <c r="AR167" s="382"/>
      <c r="AS167" s="382"/>
      <c r="AT167" s="382"/>
      <c r="AU167" s="382"/>
      <c r="AV167" s="382"/>
      <c r="AW167" s="382"/>
      <c r="AX167" s="382"/>
      <c r="AY167" s="382"/>
    </row>
    <row r="168" spans="1:51" s="379" customFormat="1" ht="38.25" hidden="1" outlineLevel="1">
      <c r="A168" s="379" t="s">
        <v>2176</v>
      </c>
      <c r="B168" s="379" t="s">
        <v>2177</v>
      </c>
      <c r="C168" s="380" t="s">
        <v>2178</v>
      </c>
      <c r="D168" s="381">
        <v>0</v>
      </c>
      <c r="E168" s="381">
        <v>2796.2</v>
      </c>
      <c r="F168" s="379">
        <v>0</v>
      </c>
      <c r="G168" s="379">
        <v>0</v>
      </c>
      <c r="H168" s="382"/>
      <c r="I168" s="382"/>
      <c r="J168" s="382"/>
      <c r="K168" s="382"/>
      <c r="L168" s="382"/>
      <c r="M168" s="382"/>
      <c r="N168" s="382"/>
      <c r="O168" s="382"/>
      <c r="P168" s="382"/>
      <c r="Q168" s="382"/>
      <c r="R168" s="382"/>
      <c r="S168" s="382"/>
      <c r="T168" s="382"/>
      <c r="U168" s="382"/>
      <c r="V168" s="382"/>
      <c r="W168" s="382"/>
      <c r="X168" s="382"/>
      <c r="Y168" s="382"/>
      <c r="Z168" s="382"/>
      <c r="AA168" s="382"/>
      <c r="AB168" s="382"/>
      <c r="AC168" s="382"/>
      <c r="AD168" s="382"/>
      <c r="AE168" s="382"/>
      <c r="AF168" s="382"/>
      <c r="AG168" s="382"/>
      <c r="AH168" s="382"/>
      <c r="AI168" s="382"/>
      <c r="AJ168" s="382"/>
      <c r="AK168" s="382"/>
      <c r="AL168" s="382"/>
      <c r="AM168" s="382"/>
      <c r="AN168" s="382"/>
      <c r="AO168" s="382"/>
      <c r="AP168" s="382"/>
      <c r="AQ168" s="382"/>
      <c r="AR168" s="382"/>
      <c r="AS168" s="382"/>
      <c r="AT168" s="382"/>
      <c r="AU168" s="382"/>
      <c r="AV168" s="382"/>
      <c r="AW168" s="382"/>
      <c r="AX168" s="382"/>
      <c r="AY168" s="382"/>
    </row>
    <row r="169" spans="1:51" s="379" customFormat="1" ht="38.25" hidden="1" outlineLevel="1">
      <c r="A169" s="379" t="s">
        <v>2179</v>
      </c>
      <c r="B169" s="379" t="s">
        <v>2180</v>
      </c>
      <c r="C169" s="380" t="s">
        <v>2181</v>
      </c>
      <c r="D169" s="381">
        <v>338.85</v>
      </c>
      <c r="E169" s="381">
        <v>2477.14</v>
      </c>
      <c r="F169" s="379">
        <v>4999.74</v>
      </c>
      <c r="G169" s="379">
        <v>75.17</v>
      </c>
      <c r="H169" s="382"/>
      <c r="I169" s="382"/>
      <c r="J169" s="382"/>
      <c r="K169" s="382"/>
      <c r="L169" s="382"/>
      <c r="M169" s="382"/>
      <c r="N169" s="382"/>
      <c r="O169" s="382"/>
      <c r="P169" s="382"/>
      <c r="Q169" s="382"/>
      <c r="R169" s="382"/>
      <c r="S169" s="382"/>
      <c r="T169" s="382"/>
      <c r="U169" s="382"/>
      <c r="V169" s="382"/>
      <c r="W169" s="382"/>
      <c r="X169" s="382"/>
      <c r="Y169" s="382"/>
      <c r="Z169" s="382"/>
      <c r="AA169" s="382"/>
      <c r="AB169" s="382"/>
      <c r="AC169" s="382"/>
      <c r="AD169" s="382"/>
      <c r="AE169" s="382"/>
      <c r="AF169" s="382"/>
      <c r="AG169" s="382"/>
      <c r="AH169" s="382"/>
      <c r="AI169" s="382"/>
      <c r="AJ169" s="382"/>
      <c r="AK169" s="382"/>
      <c r="AL169" s="382"/>
      <c r="AM169" s="382"/>
      <c r="AN169" s="382"/>
      <c r="AO169" s="382"/>
      <c r="AP169" s="382"/>
      <c r="AQ169" s="382"/>
      <c r="AR169" s="382"/>
      <c r="AS169" s="382"/>
      <c r="AT169" s="382"/>
      <c r="AU169" s="382"/>
      <c r="AV169" s="382"/>
      <c r="AW169" s="382"/>
      <c r="AX169" s="382"/>
      <c r="AY169" s="382"/>
    </row>
    <row r="170" spans="1:51" s="379" customFormat="1" ht="38.25" hidden="1" outlineLevel="1">
      <c r="A170" s="379" t="s">
        <v>2185</v>
      </c>
      <c r="B170" s="379" t="s">
        <v>2186</v>
      </c>
      <c r="C170" s="380" t="s">
        <v>2187</v>
      </c>
      <c r="D170" s="381">
        <v>2935.18</v>
      </c>
      <c r="E170" s="381">
        <v>2814</v>
      </c>
      <c r="F170" s="379">
        <v>0</v>
      </c>
      <c r="G170" s="379">
        <v>0</v>
      </c>
      <c r="H170" s="382"/>
      <c r="I170" s="382"/>
      <c r="J170" s="382"/>
      <c r="K170" s="382"/>
      <c r="L170" s="382"/>
      <c r="M170" s="382"/>
      <c r="N170" s="382"/>
      <c r="O170" s="382"/>
      <c r="P170" s="382"/>
      <c r="Q170" s="382"/>
      <c r="R170" s="382"/>
      <c r="S170" s="382"/>
      <c r="T170" s="382"/>
      <c r="U170" s="382"/>
      <c r="V170" s="382"/>
      <c r="W170" s="382"/>
      <c r="X170" s="382"/>
      <c r="Y170" s="382"/>
      <c r="Z170" s="382"/>
      <c r="AA170" s="382"/>
      <c r="AB170" s="382"/>
      <c r="AC170" s="382"/>
      <c r="AD170" s="382"/>
      <c r="AE170" s="382"/>
      <c r="AF170" s="382"/>
      <c r="AG170" s="382"/>
      <c r="AH170" s="382"/>
      <c r="AI170" s="382"/>
      <c r="AJ170" s="382"/>
      <c r="AK170" s="382"/>
      <c r="AL170" s="382"/>
      <c r="AM170" s="382"/>
      <c r="AN170" s="382"/>
      <c r="AO170" s="382"/>
      <c r="AP170" s="382"/>
      <c r="AQ170" s="382"/>
      <c r="AR170" s="382"/>
      <c r="AS170" s="382"/>
      <c r="AT170" s="382"/>
      <c r="AU170" s="382"/>
      <c r="AV170" s="382"/>
      <c r="AW170" s="382"/>
      <c r="AX170" s="382"/>
      <c r="AY170" s="382"/>
    </row>
    <row r="171" spans="1:51" s="379" customFormat="1" ht="38.25" hidden="1" outlineLevel="1">
      <c r="A171" s="379" t="s">
        <v>2188</v>
      </c>
      <c r="B171" s="379" t="s">
        <v>2189</v>
      </c>
      <c r="C171" s="380" t="s">
        <v>2190</v>
      </c>
      <c r="D171" s="381">
        <v>0</v>
      </c>
      <c r="E171" s="381">
        <v>0</v>
      </c>
      <c r="F171" s="379">
        <v>1137.5</v>
      </c>
      <c r="G171" s="379">
        <v>0</v>
      </c>
      <c r="H171" s="382"/>
      <c r="I171" s="382"/>
      <c r="J171" s="382"/>
      <c r="K171" s="382"/>
      <c r="L171" s="382"/>
      <c r="M171" s="382"/>
      <c r="N171" s="382"/>
      <c r="O171" s="382"/>
      <c r="P171" s="382"/>
      <c r="Q171" s="382"/>
      <c r="R171" s="382"/>
      <c r="S171" s="382"/>
      <c r="T171" s="382"/>
      <c r="U171" s="382"/>
      <c r="V171" s="382"/>
      <c r="W171" s="382"/>
      <c r="X171" s="382"/>
      <c r="Y171" s="382"/>
      <c r="Z171" s="382"/>
      <c r="AA171" s="382"/>
      <c r="AB171" s="382"/>
      <c r="AC171" s="382"/>
      <c r="AD171" s="382"/>
      <c r="AE171" s="382"/>
      <c r="AF171" s="382"/>
      <c r="AG171" s="382"/>
      <c r="AH171" s="382"/>
      <c r="AI171" s="382"/>
      <c r="AJ171" s="382"/>
      <c r="AK171" s="382"/>
      <c r="AL171" s="382"/>
      <c r="AM171" s="382"/>
      <c r="AN171" s="382"/>
      <c r="AO171" s="382"/>
      <c r="AP171" s="382"/>
      <c r="AQ171" s="382"/>
      <c r="AR171" s="382"/>
      <c r="AS171" s="382"/>
      <c r="AT171" s="382"/>
      <c r="AU171" s="382"/>
      <c r="AV171" s="382"/>
      <c r="AW171" s="382"/>
      <c r="AX171" s="382"/>
      <c r="AY171" s="382"/>
    </row>
    <row r="172" spans="1:51" s="379" customFormat="1" ht="38.25" hidden="1" outlineLevel="1">
      <c r="A172" s="379" t="s">
        <v>2191</v>
      </c>
      <c r="B172" s="379" t="s">
        <v>2192</v>
      </c>
      <c r="C172" s="380" t="s">
        <v>2193</v>
      </c>
      <c r="D172" s="381">
        <v>0</v>
      </c>
      <c r="E172" s="381">
        <v>0</v>
      </c>
      <c r="F172" s="379">
        <v>50000</v>
      </c>
      <c r="G172" s="379">
        <v>0</v>
      </c>
      <c r="H172" s="382"/>
      <c r="I172" s="382"/>
      <c r="J172" s="382"/>
      <c r="K172" s="382"/>
      <c r="L172" s="382"/>
      <c r="M172" s="382"/>
      <c r="N172" s="382"/>
      <c r="O172" s="382"/>
      <c r="P172" s="382"/>
      <c r="Q172" s="382"/>
      <c r="R172" s="382"/>
      <c r="S172" s="382"/>
      <c r="T172" s="382"/>
      <c r="U172" s="382"/>
      <c r="V172" s="382"/>
      <c r="W172" s="382"/>
      <c r="X172" s="382"/>
      <c r="Y172" s="382"/>
      <c r="Z172" s="382"/>
      <c r="AA172" s="382"/>
      <c r="AB172" s="382"/>
      <c r="AC172" s="382"/>
      <c r="AD172" s="382"/>
      <c r="AE172" s="382"/>
      <c r="AF172" s="382"/>
      <c r="AG172" s="382"/>
      <c r="AH172" s="382"/>
      <c r="AI172" s="382"/>
      <c r="AJ172" s="382"/>
      <c r="AK172" s="382"/>
      <c r="AL172" s="382"/>
      <c r="AM172" s="382"/>
      <c r="AN172" s="382"/>
      <c r="AO172" s="382"/>
      <c r="AP172" s="382"/>
      <c r="AQ172" s="382"/>
      <c r="AR172" s="382"/>
      <c r="AS172" s="382"/>
      <c r="AT172" s="382"/>
      <c r="AU172" s="382"/>
      <c r="AV172" s="382"/>
      <c r="AW172" s="382"/>
      <c r="AX172" s="382"/>
      <c r="AY172" s="382"/>
    </row>
    <row r="173" spans="1:51" s="379" customFormat="1" ht="38.25" hidden="1" outlineLevel="1">
      <c r="A173" s="379" t="s">
        <v>2194</v>
      </c>
      <c r="B173" s="379" t="s">
        <v>2195</v>
      </c>
      <c r="C173" s="380" t="s">
        <v>2196</v>
      </c>
      <c r="D173" s="381">
        <v>0</v>
      </c>
      <c r="E173" s="381">
        <v>0</v>
      </c>
      <c r="F173" s="379">
        <v>50000</v>
      </c>
      <c r="G173" s="379">
        <v>0</v>
      </c>
      <c r="H173" s="382"/>
      <c r="I173" s="382"/>
      <c r="J173" s="382"/>
      <c r="K173" s="382"/>
      <c r="L173" s="382"/>
      <c r="M173" s="382"/>
      <c r="N173" s="382"/>
      <c r="O173" s="382"/>
      <c r="P173" s="382"/>
      <c r="Q173" s="382"/>
      <c r="R173" s="382"/>
      <c r="S173" s="382"/>
      <c r="T173" s="382"/>
      <c r="U173" s="382"/>
      <c r="V173" s="382"/>
      <c r="W173" s="382"/>
      <c r="X173" s="382"/>
      <c r="Y173" s="382"/>
      <c r="Z173" s="382"/>
      <c r="AA173" s="382"/>
      <c r="AB173" s="382"/>
      <c r="AC173" s="382"/>
      <c r="AD173" s="382"/>
      <c r="AE173" s="382"/>
      <c r="AF173" s="382"/>
      <c r="AG173" s="382"/>
      <c r="AH173" s="382"/>
      <c r="AI173" s="382"/>
      <c r="AJ173" s="382"/>
      <c r="AK173" s="382"/>
      <c r="AL173" s="382"/>
      <c r="AM173" s="382"/>
      <c r="AN173" s="382"/>
      <c r="AO173" s="382"/>
      <c r="AP173" s="382"/>
      <c r="AQ173" s="382"/>
      <c r="AR173" s="382"/>
      <c r="AS173" s="382"/>
      <c r="AT173" s="382"/>
      <c r="AU173" s="382"/>
      <c r="AV173" s="382"/>
      <c r="AW173" s="382"/>
      <c r="AX173" s="382"/>
      <c r="AY173" s="382"/>
    </row>
    <row r="174" spans="1:51" s="379" customFormat="1" ht="38.25" hidden="1" outlineLevel="1">
      <c r="A174" s="379" t="s">
        <v>2197</v>
      </c>
      <c r="B174" s="379" t="s">
        <v>2198</v>
      </c>
      <c r="C174" s="380" t="s">
        <v>2199</v>
      </c>
      <c r="D174" s="381">
        <v>0</v>
      </c>
      <c r="E174" s="381">
        <v>0</v>
      </c>
      <c r="F174" s="379">
        <v>12905.28</v>
      </c>
      <c r="G174" s="379">
        <v>0</v>
      </c>
      <c r="H174" s="382"/>
      <c r="I174" s="382"/>
      <c r="J174" s="382"/>
      <c r="K174" s="382"/>
      <c r="L174" s="382"/>
      <c r="M174" s="382"/>
      <c r="N174" s="382"/>
      <c r="O174" s="382"/>
      <c r="P174" s="382"/>
      <c r="Q174" s="382"/>
      <c r="R174" s="382"/>
      <c r="S174" s="382"/>
      <c r="T174" s="382"/>
      <c r="U174" s="382"/>
      <c r="V174" s="382"/>
      <c r="W174" s="382"/>
      <c r="X174" s="382"/>
      <c r="Y174" s="382"/>
      <c r="Z174" s="382"/>
      <c r="AA174" s="382"/>
      <c r="AB174" s="382"/>
      <c r="AC174" s="382"/>
      <c r="AD174" s="382"/>
      <c r="AE174" s="382"/>
      <c r="AF174" s="382"/>
      <c r="AG174" s="382"/>
      <c r="AH174" s="382"/>
      <c r="AI174" s="382"/>
      <c r="AJ174" s="382"/>
      <c r="AK174" s="382"/>
      <c r="AL174" s="382"/>
      <c r="AM174" s="382"/>
      <c r="AN174" s="382"/>
      <c r="AO174" s="382"/>
      <c r="AP174" s="382"/>
      <c r="AQ174" s="382"/>
      <c r="AR174" s="382"/>
      <c r="AS174" s="382"/>
      <c r="AT174" s="382"/>
      <c r="AU174" s="382"/>
      <c r="AV174" s="382"/>
      <c r="AW174" s="382"/>
      <c r="AX174" s="382"/>
      <c r="AY174" s="382"/>
    </row>
    <row r="175" spans="1:51" s="379" customFormat="1" ht="38.25" hidden="1" outlineLevel="1">
      <c r="A175" s="379" t="s">
        <v>2203</v>
      </c>
      <c r="B175" s="379" t="s">
        <v>2204</v>
      </c>
      <c r="C175" s="380" t="s">
        <v>2205</v>
      </c>
      <c r="D175" s="381">
        <v>0</v>
      </c>
      <c r="E175" s="381">
        <v>48839.72</v>
      </c>
      <c r="F175" s="379">
        <v>55651</v>
      </c>
      <c r="G175" s="379">
        <v>833.47</v>
      </c>
      <c r="H175" s="382"/>
      <c r="I175" s="382"/>
      <c r="J175" s="382"/>
      <c r="K175" s="382"/>
      <c r="L175" s="382"/>
      <c r="M175" s="382"/>
      <c r="N175" s="382"/>
      <c r="O175" s="382"/>
      <c r="P175" s="382"/>
      <c r="Q175" s="382"/>
      <c r="R175" s="382"/>
      <c r="S175" s="382"/>
      <c r="T175" s="382"/>
      <c r="U175" s="382"/>
      <c r="V175" s="382"/>
      <c r="W175" s="382"/>
      <c r="X175" s="382"/>
      <c r="Y175" s="382"/>
      <c r="Z175" s="382"/>
      <c r="AA175" s="382"/>
      <c r="AB175" s="382"/>
      <c r="AC175" s="382"/>
      <c r="AD175" s="382"/>
      <c r="AE175" s="382"/>
      <c r="AF175" s="382"/>
      <c r="AG175" s="382"/>
      <c r="AH175" s="382"/>
      <c r="AI175" s="382"/>
      <c r="AJ175" s="382"/>
      <c r="AK175" s="382"/>
      <c r="AL175" s="382"/>
      <c r="AM175" s="382"/>
      <c r="AN175" s="382"/>
      <c r="AO175" s="382"/>
      <c r="AP175" s="382"/>
      <c r="AQ175" s="382"/>
      <c r="AR175" s="382"/>
      <c r="AS175" s="382"/>
      <c r="AT175" s="382"/>
      <c r="AU175" s="382"/>
      <c r="AV175" s="382"/>
      <c r="AW175" s="382"/>
      <c r="AX175" s="382"/>
      <c r="AY175" s="382"/>
    </row>
    <row r="176" spans="1:51" s="379" customFormat="1" ht="38.25" hidden="1" outlineLevel="1">
      <c r="A176" s="379" t="s">
        <v>2209</v>
      </c>
      <c r="B176" s="379" t="s">
        <v>2210</v>
      </c>
      <c r="C176" s="380" t="s">
        <v>2211</v>
      </c>
      <c r="D176" s="381">
        <v>40.21</v>
      </c>
      <c r="E176" s="381">
        <v>2994.42</v>
      </c>
      <c r="F176" s="379">
        <v>12720.25</v>
      </c>
      <c r="G176" s="379">
        <v>0</v>
      </c>
      <c r="H176" s="382"/>
      <c r="I176" s="382"/>
      <c r="J176" s="382"/>
      <c r="K176" s="382"/>
      <c r="L176" s="382"/>
      <c r="M176" s="382"/>
      <c r="N176" s="382"/>
      <c r="O176" s="382"/>
      <c r="P176" s="382"/>
      <c r="Q176" s="382"/>
      <c r="R176" s="382"/>
      <c r="S176" s="382"/>
      <c r="T176" s="382"/>
      <c r="U176" s="382"/>
      <c r="V176" s="382"/>
      <c r="W176" s="382"/>
      <c r="X176" s="382"/>
      <c r="Y176" s="382"/>
      <c r="Z176" s="382"/>
      <c r="AA176" s="382"/>
      <c r="AB176" s="382"/>
      <c r="AC176" s="382"/>
      <c r="AD176" s="382"/>
      <c r="AE176" s="382"/>
      <c r="AF176" s="382"/>
      <c r="AG176" s="382"/>
      <c r="AH176" s="382"/>
      <c r="AI176" s="382"/>
      <c r="AJ176" s="382"/>
      <c r="AK176" s="382"/>
      <c r="AL176" s="382"/>
      <c r="AM176" s="382"/>
      <c r="AN176" s="382"/>
      <c r="AO176" s="382"/>
      <c r="AP176" s="382"/>
      <c r="AQ176" s="382"/>
      <c r="AR176" s="382"/>
      <c r="AS176" s="382"/>
      <c r="AT176" s="382"/>
      <c r="AU176" s="382"/>
      <c r="AV176" s="382"/>
      <c r="AW176" s="382"/>
      <c r="AX176" s="382"/>
      <c r="AY176" s="382"/>
    </row>
    <row r="177" spans="1:51" s="379" customFormat="1" ht="38.25" hidden="1" outlineLevel="1">
      <c r="A177" s="379" t="s">
        <v>2212</v>
      </c>
      <c r="B177" s="379" t="s">
        <v>2213</v>
      </c>
      <c r="C177" s="380" t="s">
        <v>2214</v>
      </c>
      <c r="D177" s="381">
        <v>0</v>
      </c>
      <c r="E177" s="381">
        <v>1244.34</v>
      </c>
      <c r="F177" s="379">
        <v>24334.88</v>
      </c>
      <c r="G177" s="379">
        <v>5388.65</v>
      </c>
      <c r="H177" s="382"/>
      <c r="I177" s="382"/>
      <c r="J177" s="382"/>
      <c r="K177" s="382"/>
      <c r="L177" s="382"/>
      <c r="M177" s="382"/>
      <c r="N177" s="382"/>
      <c r="O177" s="382"/>
      <c r="P177" s="382"/>
      <c r="Q177" s="382"/>
      <c r="R177" s="382"/>
      <c r="S177" s="382"/>
      <c r="T177" s="382"/>
      <c r="U177" s="382"/>
      <c r="V177" s="382"/>
      <c r="W177" s="382"/>
      <c r="X177" s="382"/>
      <c r="Y177" s="382"/>
      <c r="Z177" s="382"/>
      <c r="AA177" s="382"/>
      <c r="AB177" s="382"/>
      <c r="AC177" s="382"/>
      <c r="AD177" s="382"/>
      <c r="AE177" s="382"/>
      <c r="AF177" s="382"/>
      <c r="AG177" s="382"/>
      <c r="AH177" s="382"/>
      <c r="AI177" s="382"/>
      <c r="AJ177" s="382"/>
      <c r="AK177" s="382"/>
      <c r="AL177" s="382"/>
      <c r="AM177" s="382"/>
      <c r="AN177" s="382"/>
      <c r="AO177" s="382"/>
      <c r="AP177" s="382"/>
      <c r="AQ177" s="382"/>
      <c r="AR177" s="382"/>
      <c r="AS177" s="382"/>
      <c r="AT177" s="382"/>
      <c r="AU177" s="382"/>
      <c r="AV177" s="382"/>
      <c r="AW177" s="382"/>
      <c r="AX177" s="382"/>
      <c r="AY177" s="382"/>
    </row>
    <row r="178" spans="1:51" s="379" customFormat="1" ht="38.25" hidden="1" outlineLevel="1">
      <c r="A178" s="379" t="s">
        <v>2215</v>
      </c>
      <c r="B178" s="379" t="s">
        <v>2216</v>
      </c>
      <c r="C178" s="380" t="s">
        <v>2217</v>
      </c>
      <c r="D178" s="381">
        <v>801.23</v>
      </c>
      <c r="E178" s="381">
        <v>8287.65</v>
      </c>
      <c r="F178" s="379">
        <v>24952.6</v>
      </c>
      <c r="G178" s="379">
        <v>724.13</v>
      </c>
      <c r="H178" s="382"/>
      <c r="I178" s="382"/>
      <c r="J178" s="382"/>
      <c r="K178" s="382"/>
      <c r="L178" s="382"/>
      <c r="M178" s="382"/>
      <c r="N178" s="382"/>
      <c r="O178" s="382"/>
      <c r="P178" s="382"/>
      <c r="Q178" s="382"/>
      <c r="R178" s="382"/>
      <c r="S178" s="382"/>
      <c r="T178" s="382"/>
      <c r="U178" s="382"/>
      <c r="V178" s="382"/>
      <c r="W178" s="382"/>
      <c r="X178" s="382"/>
      <c r="Y178" s="382"/>
      <c r="Z178" s="382"/>
      <c r="AA178" s="382"/>
      <c r="AB178" s="382"/>
      <c r="AC178" s="382"/>
      <c r="AD178" s="382"/>
      <c r="AE178" s="382"/>
      <c r="AF178" s="382"/>
      <c r="AG178" s="382"/>
      <c r="AH178" s="382"/>
      <c r="AI178" s="382"/>
      <c r="AJ178" s="382"/>
      <c r="AK178" s="382"/>
      <c r="AL178" s="382"/>
      <c r="AM178" s="382"/>
      <c r="AN178" s="382"/>
      <c r="AO178" s="382"/>
      <c r="AP178" s="382"/>
      <c r="AQ178" s="382"/>
      <c r="AR178" s="382"/>
      <c r="AS178" s="382"/>
      <c r="AT178" s="382"/>
      <c r="AU178" s="382"/>
      <c r="AV178" s="382"/>
      <c r="AW178" s="382"/>
      <c r="AX178" s="382"/>
      <c r="AY178" s="382"/>
    </row>
    <row r="179" spans="1:51" s="379" customFormat="1" ht="38.25" hidden="1" outlineLevel="1">
      <c r="A179" s="379" t="s">
        <v>2329</v>
      </c>
      <c r="B179" s="379" t="s">
        <v>2330</v>
      </c>
      <c r="C179" s="380" t="s">
        <v>2331</v>
      </c>
      <c r="D179" s="381">
        <v>75</v>
      </c>
      <c r="E179" s="381">
        <v>769</v>
      </c>
      <c r="F179" s="379">
        <v>8837</v>
      </c>
      <c r="G179" s="379">
        <v>0</v>
      </c>
      <c r="H179" s="382"/>
      <c r="I179" s="382"/>
      <c r="J179" s="382"/>
      <c r="K179" s="382"/>
      <c r="L179" s="382"/>
      <c r="M179" s="382"/>
      <c r="N179" s="382"/>
      <c r="O179" s="382"/>
      <c r="P179" s="382"/>
      <c r="Q179" s="382"/>
      <c r="R179" s="382"/>
      <c r="S179" s="382"/>
      <c r="T179" s="382"/>
      <c r="U179" s="382"/>
      <c r="V179" s="382"/>
      <c r="W179" s="382"/>
      <c r="X179" s="382"/>
      <c r="Y179" s="382"/>
      <c r="Z179" s="382"/>
      <c r="AA179" s="382"/>
      <c r="AB179" s="382"/>
      <c r="AC179" s="382"/>
      <c r="AD179" s="382"/>
      <c r="AE179" s="382"/>
      <c r="AF179" s="382"/>
      <c r="AG179" s="382"/>
      <c r="AH179" s="382"/>
      <c r="AI179" s="382"/>
      <c r="AJ179" s="382"/>
      <c r="AK179" s="382"/>
      <c r="AL179" s="382"/>
      <c r="AM179" s="382"/>
      <c r="AN179" s="382"/>
      <c r="AO179" s="382"/>
      <c r="AP179" s="382"/>
      <c r="AQ179" s="382"/>
      <c r="AR179" s="382"/>
      <c r="AS179" s="382"/>
      <c r="AT179" s="382"/>
      <c r="AU179" s="382"/>
      <c r="AV179" s="382"/>
      <c r="AW179" s="382"/>
      <c r="AX179" s="382"/>
      <c r="AY179" s="382"/>
    </row>
    <row r="180" spans="1:51" s="379" customFormat="1" ht="38.25" hidden="1" outlineLevel="1">
      <c r="A180" s="379" t="s">
        <v>2332</v>
      </c>
      <c r="B180" s="379" t="s">
        <v>2333</v>
      </c>
      <c r="C180" s="380" t="s">
        <v>2334</v>
      </c>
      <c r="D180" s="381">
        <v>0</v>
      </c>
      <c r="E180" s="381">
        <v>457</v>
      </c>
      <c r="F180" s="379">
        <v>0</v>
      </c>
      <c r="G180" s="379">
        <v>25</v>
      </c>
      <c r="H180" s="382"/>
      <c r="I180" s="382"/>
      <c r="J180" s="382"/>
      <c r="K180" s="382"/>
      <c r="L180" s="382"/>
      <c r="M180" s="382"/>
      <c r="N180" s="382"/>
      <c r="O180" s="382"/>
      <c r="P180" s="382"/>
      <c r="Q180" s="382"/>
      <c r="R180" s="382"/>
      <c r="S180" s="382"/>
      <c r="T180" s="382"/>
      <c r="U180" s="382"/>
      <c r="V180" s="382"/>
      <c r="W180" s="382"/>
      <c r="X180" s="382"/>
      <c r="Y180" s="382"/>
      <c r="Z180" s="382"/>
      <c r="AA180" s="382"/>
      <c r="AB180" s="382"/>
      <c r="AC180" s="382"/>
      <c r="AD180" s="382"/>
      <c r="AE180" s="382"/>
      <c r="AF180" s="382"/>
      <c r="AG180" s="382"/>
      <c r="AH180" s="382"/>
      <c r="AI180" s="382"/>
      <c r="AJ180" s="382"/>
      <c r="AK180" s="382"/>
      <c r="AL180" s="382"/>
      <c r="AM180" s="382"/>
      <c r="AN180" s="382"/>
      <c r="AO180" s="382"/>
      <c r="AP180" s="382"/>
      <c r="AQ180" s="382"/>
      <c r="AR180" s="382"/>
      <c r="AS180" s="382"/>
      <c r="AT180" s="382"/>
      <c r="AU180" s="382"/>
      <c r="AV180" s="382"/>
      <c r="AW180" s="382"/>
      <c r="AX180" s="382"/>
      <c r="AY180" s="382"/>
    </row>
    <row r="181" spans="1:51" s="379" customFormat="1" ht="38.25" hidden="1" outlineLevel="1">
      <c r="A181" s="379" t="s">
        <v>2338</v>
      </c>
      <c r="B181" s="379" t="s">
        <v>2339</v>
      </c>
      <c r="C181" s="380" t="s">
        <v>2340</v>
      </c>
      <c r="D181" s="381">
        <v>0</v>
      </c>
      <c r="E181" s="381">
        <v>525</v>
      </c>
      <c r="F181" s="379">
        <v>35000</v>
      </c>
      <c r="G181" s="379">
        <v>0</v>
      </c>
      <c r="H181" s="382"/>
      <c r="I181" s="382"/>
      <c r="J181" s="382"/>
      <c r="K181" s="382"/>
      <c r="L181" s="382"/>
      <c r="M181" s="382"/>
      <c r="N181" s="382"/>
      <c r="O181" s="382"/>
      <c r="P181" s="382"/>
      <c r="Q181" s="382"/>
      <c r="R181" s="382"/>
      <c r="S181" s="382"/>
      <c r="T181" s="382"/>
      <c r="U181" s="382"/>
      <c r="V181" s="382"/>
      <c r="W181" s="382"/>
      <c r="X181" s="382"/>
      <c r="Y181" s="382"/>
      <c r="Z181" s="382"/>
      <c r="AA181" s="382"/>
      <c r="AB181" s="382"/>
      <c r="AC181" s="382"/>
      <c r="AD181" s="382"/>
      <c r="AE181" s="382"/>
      <c r="AF181" s="382"/>
      <c r="AG181" s="382"/>
      <c r="AH181" s="382"/>
      <c r="AI181" s="382"/>
      <c r="AJ181" s="382"/>
      <c r="AK181" s="382"/>
      <c r="AL181" s="382"/>
      <c r="AM181" s="382"/>
      <c r="AN181" s="382"/>
      <c r="AO181" s="382"/>
      <c r="AP181" s="382"/>
      <c r="AQ181" s="382"/>
      <c r="AR181" s="382"/>
      <c r="AS181" s="382"/>
      <c r="AT181" s="382"/>
      <c r="AU181" s="382"/>
      <c r="AV181" s="382"/>
      <c r="AW181" s="382"/>
      <c r="AX181" s="382"/>
      <c r="AY181" s="382"/>
    </row>
    <row r="182" spans="1:51" s="379" customFormat="1" ht="38.25" hidden="1" outlineLevel="1">
      <c r="A182" s="379" t="s">
        <v>2344</v>
      </c>
      <c r="B182" s="379" t="s">
        <v>2345</v>
      </c>
      <c r="C182" s="380" t="s">
        <v>2346</v>
      </c>
      <c r="D182" s="381">
        <v>10490.49</v>
      </c>
      <c r="E182" s="381">
        <v>0</v>
      </c>
      <c r="F182" s="379">
        <v>0</v>
      </c>
      <c r="G182" s="379">
        <v>0</v>
      </c>
      <c r="H182" s="382"/>
      <c r="I182" s="382"/>
      <c r="J182" s="382"/>
      <c r="K182" s="382"/>
      <c r="L182" s="382"/>
      <c r="M182" s="382"/>
      <c r="N182" s="382"/>
      <c r="O182" s="382"/>
      <c r="P182" s="382"/>
      <c r="Q182" s="382"/>
      <c r="R182" s="382"/>
      <c r="S182" s="382"/>
      <c r="T182" s="382"/>
      <c r="U182" s="382"/>
      <c r="V182" s="382"/>
      <c r="W182" s="382"/>
      <c r="X182" s="382"/>
      <c r="Y182" s="382"/>
      <c r="Z182" s="382"/>
      <c r="AA182" s="382"/>
      <c r="AB182" s="382"/>
      <c r="AC182" s="382"/>
      <c r="AD182" s="382"/>
      <c r="AE182" s="382"/>
      <c r="AF182" s="382"/>
      <c r="AG182" s="382"/>
      <c r="AH182" s="382"/>
      <c r="AI182" s="382"/>
      <c r="AJ182" s="382"/>
      <c r="AK182" s="382"/>
      <c r="AL182" s="382"/>
      <c r="AM182" s="382"/>
      <c r="AN182" s="382"/>
      <c r="AO182" s="382"/>
      <c r="AP182" s="382"/>
      <c r="AQ182" s="382"/>
      <c r="AR182" s="382"/>
      <c r="AS182" s="382"/>
      <c r="AT182" s="382"/>
      <c r="AU182" s="382"/>
      <c r="AV182" s="382"/>
      <c r="AW182" s="382"/>
      <c r="AX182" s="382"/>
      <c r="AY182" s="382"/>
    </row>
    <row r="183" spans="1:51" s="379" customFormat="1" ht="38.25" hidden="1" outlineLevel="1">
      <c r="A183" s="379" t="s">
        <v>2350</v>
      </c>
      <c r="B183" s="379" t="s">
        <v>2351</v>
      </c>
      <c r="C183" s="380" t="s">
        <v>2352</v>
      </c>
      <c r="D183" s="381">
        <v>0</v>
      </c>
      <c r="E183" s="381">
        <v>240.78</v>
      </c>
      <c r="F183" s="379">
        <v>705.68</v>
      </c>
      <c r="G183" s="379">
        <v>378.78</v>
      </c>
      <c r="H183" s="382"/>
      <c r="I183" s="382"/>
      <c r="J183" s="382"/>
      <c r="K183" s="382"/>
      <c r="L183" s="382"/>
      <c r="M183" s="382"/>
      <c r="N183" s="382"/>
      <c r="O183" s="382"/>
      <c r="P183" s="382"/>
      <c r="Q183" s="382"/>
      <c r="R183" s="382"/>
      <c r="S183" s="382"/>
      <c r="T183" s="382"/>
      <c r="U183" s="382"/>
      <c r="V183" s="382"/>
      <c r="W183" s="382"/>
      <c r="X183" s="382"/>
      <c r="Y183" s="382"/>
      <c r="Z183" s="382"/>
      <c r="AA183" s="382"/>
      <c r="AB183" s="382"/>
      <c r="AC183" s="382"/>
      <c r="AD183" s="382"/>
      <c r="AE183" s="382"/>
      <c r="AF183" s="382"/>
      <c r="AG183" s="382"/>
      <c r="AH183" s="382"/>
      <c r="AI183" s="382"/>
      <c r="AJ183" s="382"/>
      <c r="AK183" s="382"/>
      <c r="AL183" s="382"/>
      <c r="AM183" s="382"/>
      <c r="AN183" s="382"/>
      <c r="AO183" s="382"/>
      <c r="AP183" s="382"/>
      <c r="AQ183" s="382"/>
      <c r="AR183" s="382"/>
      <c r="AS183" s="382"/>
      <c r="AT183" s="382"/>
      <c r="AU183" s="382"/>
      <c r="AV183" s="382"/>
      <c r="AW183" s="382"/>
      <c r="AX183" s="382"/>
      <c r="AY183" s="382"/>
    </row>
    <row r="184" spans="1:51" s="379" customFormat="1" ht="38.25" hidden="1" outlineLevel="1">
      <c r="A184" s="379" t="s">
        <v>2353</v>
      </c>
      <c r="B184" s="379" t="s">
        <v>2354</v>
      </c>
      <c r="C184" s="380" t="s">
        <v>2355</v>
      </c>
      <c r="D184" s="381">
        <v>0</v>
      </c>
      <c r="E184" s="381">
        <v>1610</v>
      </c>
      <c r="F184" s="379">
        <v>263.18</v>
      </c>
      <c r="G184" s="379">
        <v>0</v>
      </c>
      <c r="H184" s="382"/>
      <c r="I184" s="382"/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  <c r="AU184" s="382"/>
      <c r="AV184" s="382"/>
      <c r="AW184" s="382"/>
      <c r="AX184" s="382"/>
      <c r="AY184" s="382"/>
    </row>
    <row r="185" spans="1:51" s="379" customFormat="1" ht="38.25" hidden="1" outlineLevel="1">
      <c r="A185" s="379" t="s">
        <v>2356</v>
      </c>
      <c r="B185" s="379" t="s">
        <v>2357</v>
      </c>
      <c r="C185" s="380" t="s">
        <v>2358</v>
      </c>
      <c r="D185" s="381">
        <v>0</v>
      </c>
      <c r="E185" s="381">
        <v>0</v>
      </c>
      <c r="F185" s="379">
        <v>0</v>
      </c>
      <c r="G185" s="379">
        <v>2400</v>
      </c>
      <c r="H185" s="382"/>
      <c r="I185" s="382"/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2"/>
      <c r="AC185" s="382"/>
      <c r="AD185" s="382"/>
      <c r="AE185" s="382"/>
      <c r="AF185" s="382"/>
      <c r="AG185" s="382"/>
      <c r="AH185" s="382"/>
      <c r="AI185" s="382"/>
      <c r="AJ185" s="382"/>
      <c r="AK185" s="382"/>
      <c r="AL185" s="382"/>
      <c r="AM185" s="382"/>
      <c r="AN185" s="382"/>
      <c r="AO185" s="382"/>
      <c r="AP185" s="382"/>
      <c r="AQ185" s="382"/>
      <c r="AR185" s="382"/>
      <c r="AS185" s="382"/>
      <c r="AT185" s="382"/>
      <c r="AU185" s="382"/>
      <c r="AV185" s="382"/>
      <c r="AW185" s="382"/>
      <c r="AX185" s="382"/>
      <c r="AY185" s="382"/>
    </row>
    <row r="186" spans="1:51" s="379" customFormat="1" ht="38.25" hidden="1" outlineLevel="1">
      <c r="A186" s="379" t="s">
        <v>2362</v>
      </c>
      <c r="B186" s="379" t="s">
        <v>2363</v>
      </c>
      <c r="C186" s="380" t="s">
        <v>2364</v>
      </c>
      <c r="D186" s="381">
        <v>0</v>
      </c>
      <c r="E186" s="381">
        <v>0</v>
      </c>
      <c r="F186" s="379">
        <v>2699.7</v>
      </c>
      <c r="G186" s="379">
        <v>0</v>
      </c>
      <c r="H186" s="382"/>
      <c r="I186" s="382"/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82"/>
      <c r="AF186" s="382"/>
      <c r="AG186" s="382"/>
      <c r="AH186" s="382"/>
      <c r="AI186" s="382"/>
      <c r="AJ186" s="382"/>
      <c r="AK186" s="382"/>
      <c r="AL186" s="382"/>
      <c r="AM186" s="382"/>
      <c r="AN186" s="382"/>
      <c r="AO186" s="382"/>
      <c r="AP186" s="382"/>
      <c r="AQ186" s="382"/>
      <c r="AR186" s="382"/>
      <c r="AS186" s="382"/>
      <c r="AT186" s="382"/>
      <c r="AU186" s="382"/>
      <c r="AV186" s="382"/>
      <c r="AW186" s="382"/>
      <c r="AX186" s="382"/>
      <c r="AY186" s="382"/>
    </row>
    <row r="187" spans="1:51" s="379" customFormat="1" ht="38.25" hidden="1" outlineLevel="1">
      <c r="A187" s="379" t="s">
        <v>2365</v>
      </c>
      <c r="B187" s="379" t="s">
        <v>2366</v>
      </c>
      <c r="C187" s="380" t="s">
        <v>2367</v>
      </c>
      <c r="D187" s="381">
        <v>0</v>
      </c>
      <c r="E187" s="381">
        <v>2305.05</v>
      </c>
      <c r="F187" s="379">
        <v>175</v>
      </c>
      <c r="G187" s="379">
        <v>8200</v>
      </c>
      <c r="H187" s="382"/>
      <c r="I187" s="382"/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2"/>
      <c r="AC187" s="382"/>
      <c r="AD187" s="382"/>
      <c r="AE187" s="382"/>
      <c r="AF187" s="382"/>
      <c r="AG187" s="382"/>
      <c r="AH187" s="382"/>
      <c r="AI187" s="382"/>
      <c r="AJ187" s="382"/>
      <c r="AK187" s="382"/>
      <c r="AL187" s="382"/>
      <c r="AM187" s="382"/>
      <c r="AN187" s="382"/>
      <c r="AO187" s="382"/>
      <c r="AP187" s="382"/>
      <c r="AQ187" s="382"/>
      <c r="AR187" s="382"/>
      <c r="AS187" s="382"/>
      <c r="AT187" s="382"/>
      <c r="AU187" s="382"/>
      <c r="AV187" s="382"/>
      <c r="AW187" s="382"/>
      <c r="AX187" s="382"/>
      <c r="AY187" s="382"/>
    </row>
    <row r="188" spans="1:51" s="379" customFormat="1" ht="38.25" hidden="1" outlineLevel="1">
      <c r="A188" s="379" t="s">
        <v>2404</v>
      </c>
      <c r="B188" s="379" t="s">
        <v>2405</v>
      </c>
      <c r="C188" s="380" t="s">
        <v>2406</v>
      </c>
      <c r="D188" s="381">
        <v>291.97</v>
      </c>
      <c r="E188" s="381">
        <v>648</v>
      </c>
      <c r="F188" s="379">
        <v>11563.34</v>
      </c>
      <c r="G188" s="379">
        <v>0</v>
      </c>
      <c r="H188" s="382"/>
      <c r="I188" s="382"/>
      <c r="J188" s="382"/>
      <c r="K188" s="382"/>
      <c r="L188" s="382"/>
      <c r="M188" s="382"/>
      <c r="N188" s="382"/>
      <c r="O188" s="382"/>
      <c r="P188" s="382"/>
      <c r="Q188" s="382"/>
      <c r="R188" s="382"/>
      <c r="S188" s="382"/>
      <c r="T188" s="382"/>
      <c r="U188" s="382"/>
      <c r="V188" s="382"/>
      <c r="W188" s="382"/>
      <c r="X188" s="382"/>
      <c r="Y188" s="382"/>
      <c r="Z188" s="382"/>
      <c r="AA188" s="382"/>
      <c r="AB188" s="382"/>
      <c r="AC188" s="382"/>
      <c r="AD188" s="382"/>
      <c r="AE188" s="382"/>
      <c r="AF188" s="382"/>
      <c r="AG188" s="382"/>
      <c r="AH188" s="382"/>
      <c r="AI188" s="382"/>
      <c r="AJ188" s="382"/>
      <c r="AK188" s="382"/>
      <c r="AL188" s="382"/>
      <c r="AM188" s="382"/>
      <c r="AN188" s="382"/>
      <c r="AO188" s="382"/>
      <c r="AP188" s="382"/>
      <c r="AQ188" s="382"/>
      <c r="AR188" s="382"/>
      <c r="AS188" s="382"/>
      <c r="AT188" s="382"/>
      <c r="AU188" s="382"/>
      <c r="AV188" s="382"/>
      <c r="AW188" s="382"/>
      <c r="AX188" s="382"/>
      <c r="AY188" s="382"/>
    </row>
    <row r="189" spans="1:51" s="379" customFormat="1" ht="38.25" hidden="1" outlineLevel="1">
      <c r="A189" s="379" t="s">
        <v>2407</v>
      </c>
      <c r="B189" s="379" t="s">
        <v>2408</v>
      </c>
      <c r="C189" s="380" t="s">
        <v>2409</v>
      </c>
      <c r="D189" s="381">
        <v>0</v>
      </c>
      <c r="E189" s="381">
        <v>276.17</v>
      </c>
      <c r="F189" s="379">
        <v>0</v>
      </c>
      <c r="G189" s="379">
        <v>0</v>
      </c>
      <c r="H189" s="382"/>
      <c r="I189" s="382"/>
      <c r="J189" s="382"/>
      <c r="K189" s="382"/>
      <c r="L189" s="382"/>
      <c r="M189" s="382"/>
      <c r="N189" s="382"/>
      <c r="O189" s="382"/>
      <c r="P189" s="382"/>
      <c r="Q189" s="382"/>
      <c r="R189" s="382"/>
      <c r="S189" s="382"/>
      <c r="T189" s="382"/>
      <c r="U189" s="382"/>
      <c r="V189" s="382"/>
      <c r="W189" s="382"/>
      <c r="X189" s="382"/>
      <c r="Y189" s="382"/>
      <c r="Z189" s="382"/>
      <c r="AA189" s="382"/>
      <c r="AB189" s="382"/>
      <c r="AC189" s="382"/>
      <c r="AD189" s="382"/>
      <c r="AE189" s="382"/>
      <c r="AF189" s="382"/>
      <c r="AG189" s="382"/>
      <c r="AH189" s="382"/>
      <c r="AI189" s="382"/>
      <c r="AJ189" s="382"/>
      <c r="AK189" s="382"/>
      <c r="AL189" s="382"/>
      <c r="AM189" s="382"/>
      <c r="AN189" s="382"/>
      <c r="AO189" s="382"/>
      <c r="AP189" s="382"/>
      <c r="AQ189" s="382"/>
      <c r="AR189" s="382"/>
      <c r="AS189" s="382"/>
      <c r="AT189" s="382"/>
      <c r="AU189" s="382"/>
      <c r="AV189" s="382"/>
      <c r="AW189" s="382"/>
      <c r="AX189" s="382"/>
      <c r="AY189" s="382"/>
    </row>
    <row r="190" spans="1:51" s="379" customFormat="1" ht="38.25" hidden="1" outlineLevel="1">
      <c r="A190" s="379" t="s">
        <v>2410</v>
      </c>
      <c r="B190" s="379" t="s">
        <v>2411</v>
      </c>
      <c r="C190" s="380" t="s">
        <v>2412</v>
      </c>
      <c r="D190" s="381">
        <v>910.4</v>
      </c>
      <c r="E190" s="381">
        <v>1920473.13</v>
      </c>
      <c r="F190" s="379">
        <v>180177.17</v>
      </c>
      <c r="G190" s="379">
        <v>1224.32</v>
      </c>
      <c r="H190" s="382"/>
      <c r="I190" s="382"/>
      <c r="J190" s="382"/>
      <c r="K190" s="382"/>
      <c r="L190" s="382"/>
      <c r="M190" s="382"/>
      <c r="N190" s="382"/>
      <c r="O190" s="382"/>
      <c r="P190" s="382"/>
      <c r="Q190" s="382"/>
      <c r="R190" s="382"/>
      <c r="S190" s="382"/>
      <c r="T190" s="382"/>
      <c r="U190" s="382"/>
      <c r="V190" s="382"/>
      <c r="W190" s="382"/>
      <c r="X190" s="382"/>
      <c r="Y190" s="382"/>
      <c r="Z190" s="382"/>
      <c r="AA190" s="382"/>
      <c r="AB190" s="382"/>
      <c r="AC190" s="382"/>
      <c r="AD190" s="382"/>
      <c r="AE190" s="382"/>
      <c r="AF190" s="382"/>
      <c r="AG190" s="382"/>
      <c r="AH190" s="382"/>
      <c r="AI190" s="382"/>
      <c r="AJ190" s="382"/>
      <c r="AK190" s="382"/>
      <c r="AL190" s="382"/>
      <c r="AM190" s="382"/>
      <c r="AN190" s="382"/>
      <c r="AO190" s="382"/>
      <c r="AP190" s="382"/>
      <c r="AQ190" s="382"/>
      <c r="AR190" s="382"/>
      <c r="AS190" s="382"/>
      <c r="AT190" s="382"/>
      <c r="AU190" s="382"/>
      <c r="AV190" s="382"/>
      <c r="AW190" s="382"/>
      <c r="AX190" s="382"/>
      <c r="AY190" s="382"/>
    </row>
    <row r="191" spans="1:51" s="379" customFormat="1" ht="38.25" hidden="1" outlineLevel="1">
      <c r="A191" s="379" t="s">
        <v>2413</v>
      </c>
      <c r="B191" s="379" t="s">
        <v>2414</v>
      </c>
      <c r="C191" s="380" t="s">
        <v>2415</v>
      </c>
      <c r="D191" s="381">
        <v>0</v>
      </c>
      <c r="E191" s="381">
        <v>0</v>
      </c>
      <c r="F191" s="379">
        <v>-8</v>
      </c>
      <c r="G191" s="379">
        <v>0</v>
      </c>
      <c r="H191" s="382"/>
      <c r="I191" s="382"/>
      <c r="J191" s="382"/>
      <c r="K191" s="382"/>
      <c r="L191" s="382"/>
      <c r="M191" s="382"/>
      <c r="N191" s="382"/>
      <c r="O191" s="382"/>
      <c r="P191" s="382"/>
      <c r="Q191" s="382"/>
      <c r="R191" s="382"/>
      <c r="S191" s="382"/>
      <c r="T191" s="382"/>
      <c r="U191" s="382"/>
      <c r="V191" s="382"/>
      <c r="W191" s="382"/>
      <c r="X191" s="382"/>
      <c r="Y191" s="382"/>
      <c r="Z191" s="382"/>
      <c r="AA191" s="382"/>
      <c r="AB191" s="382"/>
      <c r="AC191" s="382"/>
      <c r="AD191" s="382"/>
      <c r="AE191" s="382"/>
      <c r="AF191" s="382"/>
      <c r="AG191" s="382"/>
      <c r="AH191" s="382"/>
      <c r="AI191" s="382"/>
      <c r="AJ191" s="382"/>
      <c r="AK191" s="382"/>
      <c r="AL191" s="382"/>
      <c r="AM191" s="382"/>
      <c r="AN191" s="382"/>
      <c r="AO191" s="382"/>
      <c r="AP191" s="382"/>
      <c r="AQ191" s="382"/>
      <c r="AR191" s="382"/>
      <c r="AS191" s="382"/>
      <c r="AT191" s="382"/>
      <c r="AU191" s="382"/>
      <c r="AV191" s="382"/>
      <c r="AW191" s="382"/>
      <c r="AX191" s="382"/>
      <c r="AY191" s="382"/>
    </row>
    <row r="192" spans="1:51" s="379" customFormat="1" ht="38.25" hidden="1" outlineLevel="1">
      <c r="A192" s="379" t="s">
        <v>262</v>
      </c>
      <c r="B192" s="379" t="s">
        <v>263</v>
      </c>
      <c r="C192" s="380" t="s">
        <v>264</v>
      </c>
      <c r="D192" s="381">
        <v>-549.56</v>
      </c>
      <c r="E192" s="381">
        <v>0</v>
      </c>
      <c r="F192" s="379">
        <v>0</v>
      </c>
      <c r="G192" s="379">
        <v>0</v>
      </c>
      <c r="H192" s="382"/>
      <c r="I192" s="382"/>
      <c r="J192" s="382"/>
      <c r="K192" s="382"/>
      <c r="L192" s="382"/>
      <c r="M192" s="382"/>
      <c r="N192" s="382"/>
      <c r="O192" s="382"/>
      <c r="P192" s="382"/>
      <c r="Q192" s="382"/>
      <c r="R192" s="382"/>
      <c r="S192" s="382"/>
      <c r="T192" s="382"/>
      <c r="U192" s="382"/>
      <c r="V192" s="382"/>
      <c r="W192" s="382"/>
      <c r="X192" s="382"/>
      <c r="Y192" s="382"/>
      <c r="Z192" s="382"/>
      <c r="AA192" s="382"/>
      <c r="AB192" s="382"/>
      <c r="AC192" s="382"/>
      <c r="AD192" s="382"/>
      <c r="AE192" s="382"/>
      <c r="AF192" s="382"/>
      <c r="AG192" s="382"/>
      <c r="AH192" s="382"/>
      <c r="AI192" s="382"/>
      <c r="AJ192" s="382"/>
      <c r="AK192" s="382"/>
      <c r="AL192" s="382"/>
      <c r="AM192" s="382"/>
      <c r="AN192" s="382"/>
      <c r="AO192" s="382"/>
      <c r="AP192" s="382"/>
      <c r="AQ192" s="382"/>
      <c r="AR192" s="382"/>
      <c r="AS192" s="382"/>
      <c r="AT192" s="382"/>
      <c r="AU192" s="382"/>
      <c r="AV192" s="382"/>
      <c r="AW192" s="382"/>
      <c r="AX192" s="382"/>
      <c r="AY192" s="382"/>
    </row>
    <row r="193" spans="1:51" s="379" customFormat="1" ht="38.25" hidden="1" outlineLevel="1">
      <c r="A193" s="379" t="s">
        <v>2419</v>
      </c>
      <c r="B193" s="379" t="s">
        <v>2420</v>
      </c>
      <c r="C193" s="380" t="s">
        <v>2421</v>
      </c>
      <c r="D193" s="381">
        <v>-183.47</v>
      </c>
      <c r="E193" s="381">
        <v>0</v>
      </c>
      <c r="F193" s="379">
        <v>0</v>
      </c>
      <c r="G193" s="379">
        <v>0</v>
      </c>
      <c r="H193" s="382"/>
      <c r="I193" s="382"/>
      <c r="J193" s="382"/>
      <c r="K193" s="382"/>
      <c r="L193" s="382"/>
      <c r="M193" s="382"/>
      <c r="N193" s="382"/>
      <c r="O193" s="382"/>
      <c r="P193" s="382"/>
      <c r="Q193" s="382"/>
      <c r="R193" s="382"/>
      <c r="S193" s="382"/>
      <c r="T193" s="382"/>
      <c r="U193" s="382"/>
      <c r="V193" s="382"/>
      <c r="W193" s="382"/>
      <c r="X193" s="382"/>
      <c r="Y193" s="382"/>
      <c r="Z193" s="382"/>
      <c r="AA193" s="382"/>
      <c r="AB193" s="382"/>
      <c r="AC193" s="382"/>
      <c r="AD193" s="382"/>
      <c r="AE193" s="382"/>
      <c r="AF193" s="382"/>
      <c r="AG193" s="382"/>
      <c r="AH193" s="382"/>
      <c r="AI193" s="382"/>
      <c r="AJ193" s="382"/>
      <c r="AK193" s="382"/>
      <c r="AL193" s="382"/>
      <c r="AM193" s="382"/>
      <c r="AN193" s="382"/>
      <c r="AO193" s="382"/>
      <c r="AP193" s="382"/>
      <c r="AQ193" s="382"/>
      <c r="AR193" s="382"/>
      <c r="AS193" s="382"/>
      <c r="AT193" s="382"/>
      <c r="AU193" s="382"/>
      <c r="AV193" s="382"/>
      <c r="AW193" s="382"/>
      <c r="AX193" s="382"/>
      <c r="AY193" s="382"/>
    </row>
    <row r="194" spans="1:51" s="379" customFormat="1" ht="38.25" hidden="1" outlineLevel="1">
      <c r="A194" s="379" t="s">
        <v>265</v>
      </c>
      <c r="B194" s="379" t="s">
        <v>266</v>
      </c>
      <c r="C194" s="380" t="s">
        <v>267</v>
      </c>
      <c r="D194" s="381">
        <v>0</v>
      </c>
      <c r="E194" s="381">
        <v>0</v>
      </c>
      <c r="F194" s="379">
        <v>3679.38</v>
      </c>
      <c r="G194" s="379">
        <v>0</v>
      </c>
      <c r="H194" s="382"/>
      <c r="I194" s="382"/>
      <c r="J194" s="382"/>
      <c r="K194" s="382"/>
      <c r="L194" s="382"/>
      <c r="M194" s="382"/>
      <c r="N194" s="382"/>
      <c r="O194" s="382"/>
      <c r="P194" s="382"/>
      <c r="Q194" s="382"/>
      <c r="R194" s="382"/>
      <c r="S194" s="382"/>
      <c r="T194" s="382"/>
      <c r="U194" s="382"/>
      <c r="V194" s="382"/>
      <c r="W194" s="382"/>
      <c r="X194" s="382"/>
      <c r="Y194" s="382"/>
      <c r="Z194" s="382"/>
      <c r="AA194" s="382"/>
      <c r="AB194" s="382"/>
      <c r="AC194" s="382"/>
      <c r="AD194" s="382"/>
      <c r="AE194" s="382"/>
      <c r="AF194" s="382"/>
      <c r="AG194" s="382"/>
      <c r="AH194" s="382"/>
      <c r="AI194" s="382"/>
      <c r="AJ194" s="382"/>
      <c r="AK194" s="382"/>
      <c r="AL194" s="382"/>
      <c r="AM194" s="382"/>
      <c r="AN194" s="382"/>
      <c r="AO194" s="382"/>
      <c r="AP194" s="382"/>
      <c r="AQ194" s="382"/>
      <c r="AR194" s="382"/>
      <c r="AS194" s="382"/>
      <c r="AT194" s="382"/>
      <c r="AU194" s="382"/>
      <c r="AV194" s="382"/>
      <c r="AW194" s="382"/>
      <c r="AX194" s="382"/>
      <c r="AY194" s="382"/>
    </row>
    <row r="195" spans="1:51" s="379" customFormat="1" ht="38.25" hidden="1" outlineLevel="1">
      <c r="A195" s="379" t="s">
        <v>2422</v>
      </c>
      <c r="B195" s="379" t="s">
        <v>2423</v>
      </c>
      <c r="C195" s="380" t="s">
        <v>2424</v>
      </c>
      <c r="D195" s="381">
        <v>0</v>
      </c>
      <c r="E195" s="381">
        <v>15</v>
      </c>
      <c r="F195" s="379">
        <v>24979.5</v>
      </c>
      <c r="G195" s="379">
        <v>0</v>
      </c>
      <c r="H195" s="382"/>
      <c r="I195" s="382"/>
      <c r="J195" s="382"/>
      <c r="K195" s="382"/>
      <c r="L195" s="382"/>
      <c r="M195" s="382"/>
      <c r="N195" s="382"/>
      <c r="O195" s="382"/>
      <c r="P195" s="382"/>
      <c r="Q195" s="382"/>
      <c r="R195" s="382"/>
      <c r="S195" s="382"/>
      <c r="T195" s="382"/>
      <c r="U195" s="382"/>
      <c r="V195" s="382"/>
      <c r="W195" s="382"/>
      <c r="X195" s="382"/>
      <c r="Y195" s="382"/>
      <c r="Z195" s="382"/>
      <c r="AA195" s="382"/>
      <c r="AB195" s="382"/>
      <c r="AC195" s="382"/>
      <c r="AD195" s="382"/>
      <c r="AE195" s="382"/>
      <c r="AF195" s="382"/>
      <c r="AG195" s="382"/>
      <c r="AH195" s="382"/>
      <c r="AI195" s="382"/>
      <c r="AJ195" s="382"/>
      <c r="AK195" s="382"/>
      <c r="AL195" s="382"/>
      <c r="AM195" s="382"/>
      <c r="AN195" s="382"/>
      <c r="AO195" s="382"/>
      <c r="AP195" s="382"/>
      <c r="AQ195" s="382"/>
      <c r="AR195" s="382"/>
      <c r="AS195" s="382"/>
      <c r="AT195" s="382"/>
      <c r="AU195" s="382"/>
      <c r="AV195" s="382"/>
      <c r="AW195" s="382"/>
      <c r="AX195" s="382"/>
      <c r="AY195" s="382"/>
    </row>
    <row r="196" spans="1:51" s="379" customFormat="1" ht="38.25" hidden="1" outlineLevel="1">
      <c r="A196" s="379" t="s">
        <v>268</v>
      </c>
      <c r="B196" s="379" t="s">
        <v>269</v>
      </c>
      <c r="C196" s="380" t="s">
        <v>270</v>
      </c>
      <c r="D196" s="381">
        <v>313.87</v>
      </c>
      <c r="E196" s="381">
        <v>0</v>
      </c>
      <c r="F196" s="379">
        <v>0</v>
      </c>
      <c r="G196" s="379">
        <v>0</v>
      </c>
      <c r="H196" s="382"/>
      <c r="I196" s="382"/>
      <c r="J196" s="382"/>
      <c r="K196" s="382"/>
      <c r="L196" s="382"/>
      <c r="M196" s="382"/>
      <c r="N196" s="382"/>
      <c r="O196" s="382"/>
      <c r="P196" s="382"/>
      <c r="Q196" s="382"/>
      <c r="R196" s="382"/>
      <c r="S196" s="382"/>
      <c r="T196" s="382"/>
      <c r="U196" s="382"/>
      <c r="V196" s="382"/>
      <c r="W196" s="382"/>
      <c r="X196" s="382"/>
      <c r="Y196" s="382"/>
      <c r="Z196" s="382"/>
      <c r="AA196" s="382"/>
      <c r="AB196" s="382"/>
      <c r="AC196" s="382"/>
      <c r="AD196" s="382"/>
      <c r="AE196" s="382"/>
      <c r="AF196" s="382"/>
      <c r="AG196" s="382"/>
      <c r="AH196" s="382"/>
      <c r="AI196" s="382"/>
      <c r="AJ196" s="382"/>
      <c r="AK196" s="382"/>
      <c r="AL196" s="382"/>
      <c r="AM196" s="382"/>
      <c r="AN196" s="382"/>
      <c r="AO196" s="382"/>
      <c r="AP196" s="382"/>
      <c r="AQ196" s="382"/>
      <c r="AR196" s="382"/>
      <c r="AS196" s="382"/>
      <c r="AT196" s="382"/>
      <c r="AU196" s="382"/>
      <c r="AV196" s="382"/>
      <c r="AW196" s="382"/>
      <c r="AX196" s="382"/>
      <c r="AY196" s="382"/>
    </row>
    <row r="197" spans="1:51" s="379" customFormat="1" ht="38.25" hidden="1" outlineLevel="1">
      <c r="A197" s="379" t="s">
        <v>271</v>
      </c>
      <c r="B197" s="379" t="s">
        <v>272</v>
      </c>
      <c r="C197" s="380" t="s">
        <v>273</v>
      </c>
      <c r="D197" s="381">
        <v>0</v>
      </c>
      <c r="E197" s="381">
        <v>0</v>
      </c>
      <c r="F197" s="379">
        <v>1176.81</v>
      </c>
      <c r="G197" s="379">
        <v>0</v>
      </c>
      <c r="H197" s="382"/>
      <c r="I197" s="382"/>
      <c r="J197" s="382"/>
      <c r="K197" s="382"/>
      <c r="L197" s="382"/>
      <c r="M197" s="382"/>
      <c r="N197" s="382"/>
      <c r="O197" s="382"/>
      <c r="P197" s="382"/>
      <c r="Q197" s="382"/>
      <c r="R197" s="382"/>
      <c r="S197" s="382"/>
      <c r="T197" s="382"/>
      <c r="U197" s="382"/>
      <c r="V197" s="382"/>
      <c r="W197" s="382"/>
      <c r="X197" s="382"/>
      <c r="Y197" s="382"/>
      <c r="Z197" s="382"/>
      <c r="AA197" s="382"/>
      <c r="AB197" s="382"/>
      <c r="AC197" s="382"/>
      <c r="AD197" s="382"/>
      <c r="AE197" s="382"/>
      <c r="AF197" s="382"/>
      <c r="AG197" s="382"/>
      <c r="AH197" s="382"/>
      <c r="AI197" s="382"/>
      <c r="AJ197" s="382"/>
      <c r="AK197" s="382"/>
      <c r="AL197" s="382"/>
      <c r="AM197" s="382"/>
      <c r="AN197" s="382"/>
      <c r="AO197" s="382"/>
      <c r="AP197" s="382"/>
      <c r="AQ197" s="382"/>
      <c r="AR197" s="382"/>
      <c r="AS197" s="382"/>
      <c r="AT197" s="382"/>
      <c r="AU197" s="382"/>
      <c r="AV197" s="382"/>
      <c r="AW197" s="382"/>
      <c r="AX197" s="382"/>
      <c r="AY197" s="382"/>
    </row>
    <row r="198" spans="1:51" s="379" customFormat="1" ht="38.25" hidden="1" outlineLevel="1">
      <c r="A198" s="379" t="s">
        <v>2428</v>
      </c>
      <c r="B198" s="379" t="s">
        <v>2429</v>
      </c>
      <c r="C198" s="380" t="s">
        <v>2430</v>
      </c>
      <c r="D198" s="381">
        <v>0</v>
      </c>
      <c r="E198" s="381">
        <v>0</v>
      </c>
      <c r="F198" s="379">
        <v>1691.94</v>
      </c>
      <c r="G198" s="379">
        <v>0</v>
      </c>
      <c r="H198" s="382"/>
      <c r="I198" s="382"/>
      <c r="J198" s="382"/>
      <c r="K198" s="382"/>
      <c r="L198" s="382"/>
      <c r="M198" s="382"/>
      <c r="N198" s="382"/>
      <c r="O198" s="382"/>
      <c r="P198" s="382"/>
      <c r="Q198" s="382"/>
      <c r="R198" s="382"/>
      <c r="S198" s="382"/>
      <c r="T198" s="382"/>
      <c r="U198" s="382"/>
      <c r="V198" s="382"/>
      <c r="W198" s="382"/>
      <c r="X198" s="382"/>
      <c r="Y198" s="382"/>
      <c r="Z198" s="382"/>
      <c r="AA198" s="382"/>
      <c r="AB198" s="382"/>
      <c r="AC198" s="382"/>
      <c r="AD198" s="382"/>
      <c r="AE198" s="382"/>
      <c r="AF198" s="382"/>
      <c r="AG198" s="382"/>
      <c r="AH198" s="382"/>
      <c r="AI198" s="382"/>
      <c r="AJ198" s="382"/>
      <c r="AK198" s="382"/>
      <c r="AL198" s="382"/>
      <c r="AM198" s="382"/>
      <c r="AN198" s="382"/>
      <c r="AO198" s="382"/>
      <c r="AP198" s="382"/>
      <c r="AQ198" s="382"/>
      <c r="AR198" s="382"/>
      <c r="AS198" s="382"/>
      <c r="AT198" s="382"/>
      <c r="AU198" s="382"/>
      <c r="AV198" s="382"/>
      <c r="AW198" s="382"/>
      <c r="AX198" s="382"/>
      <c r="AY198" s="382"/>
    </row>
    <row r="199" spans="1:51" s="379" customFormat="1" ht="38.25" hidden="1" outlineLevel="1">
      <c r="A199" s="379" t="s">
        <v>274</v>
      </c>
      <c r="B199" s="379" t="s">
        <v>275</v>
      </c>
      <c r="C199" s="380" t="s">
        <v>276</v>
      </c>
      <c r="D199" s="381">
        <v>0</v>
      </c>
      <c r="E199" s="381">
        <v>7068.18</v>
      </c>
      <c r="F199" s="379">
        <v>0</v>
      </c>
      <c r="G199" s="379">
        <v>0</v>
      </c>
      <c r="H199" s="382"/>
      <c r="I199" s="382"/>
      <c r="J199" s="382"/>
      <c r="K199" s="382"/>
      <c r="L199" s="382"/>
      <c r="M199" s="382"/>
      <c r="N199" s="382"/>
      <c r="O199" s="382"/>
      <c r="P199" s="382"/>
      <c r="Q199" s="382"/>
      <c r="R199" s="382"/>
      <c r="S199" s="382"/>
      <c r="T199" s="382"/>
      <c r="U199" s="382"/>
      <c r="V199" s="382"/>
      <c r="W199" s="382"/>
      <c r="X199" s="382"/>
      <c r="Y199" s="382"/>
      <c r="Z199" s="382"/>
      <c r="AA199" s="382"/>
      <c r="AB199" s="382"/>
      <c r="AC199" s="382"/>
      <c r="AD199" s="382"/>
      <c r="AE199" s="382"/>
      <c r="AF199" s="382"/>
      <c r="AG199" s="382"/>
      <c r="AH199" s="382"/>
      <c r="AI199" s="382"/>
      <c r="AJ199" s="382"/>
      <c r="AK199" s="382"/>
      <c r="AL199" s="382"/>
      <c r="AM199" s="382"/>
      <c r="AN199" s="382"/>
      <c r="AO199" s="382"/>
      <c r="AP199" s="382"/>
      <c r="AQ199" s="382"/>
      <c r="AR199" s="382"/>
      <c r="AS199" s="382"/>
      <c r="AT199" s="382"/>
      <c r="AU199" s="382"/>
      <c r="AV199" s="382"/>
      <c r="AW199" s="382"/>
      <c r="AX199" s="382"/>
      <c r="AY199" s="382"/>
    </row>
    <row r="200" spans="1:51" s="379" customFormat="1" ht="38.25" hidden="1" outlineLevel="1">
      <c r="A200" s="379" t="s">
        <v>2434</v>
      </c>
      <c r="B200" s="379" t="s">
        <v>2435</v>
      </c>
      <c r="C200" s="380" t="s">
        <v>2436</v>
      </c>
      <c r="D200" s="381">
        <v>22553.03</v>
      </c>
      <c r="E200" s="381">
        <v>557.44</v>
      </c>
      <c r="F200" s="379">
        <v>962.26</v>
      </c>
      <c r="G200" s="379">
        <v>4912.79</v>
      </c>
      <c r="H200" s="382"/>
      <c r="I200" s="382"/>
      <c r="J200" s="382"/>
      <c r="K200" s="382"/>
      <c r="L200" s="382"/>
      <c r="M200" s="382"/>
      <c r="N200" s="382"/>
      <c r="O200" s="382"/>
      <c r="P200" s="382"/>
      <c r="Q200" s="382"/>
      <c r="R200" s="382"/>
      <c r="S200" s="382"/>
      <c r="T200" s="382"/>
      <c r="U200" s="382"/>
      <c r="V200" s="382"/>
      <c r="W200" s="382"/>
      <c r="X200" s="382"/>
      <c r="Y200" s="382"/>
      <c r="Z200" s="382"/>
      <c r="AA200" s="382"/>
      <c r="AB200" s="382"/>
      <c r="AC200" s="382"/>
      <c r="AD200" s="382"/>
      <c r="AE200" s="382"/>
      <c r="AF200" s="382"/>
      <c r="AG200" s="382"/>
      <c r="AH200" s="382"/>
      <c r="AI200" s="382"/>
      <c r="AJ200" s="382"/>
      <c r="AK200" s="382"/>
      <c r="AL200" s="382"/>
      <c r="AM200" s="382"/>
      <c r="AN200" s="382"/>
      <c r="AO200" s="382"/>
      <c r="AP200" s="382"/>
      <c r="AQ200" s="382"/>
      <c r="AR200" s="382"/>
      <c r="AS200" s="382"/>
      <c r="AT200" s="382"/>
      <c r="AU200" s="382"/>
      <c r="AV200" s="382"/>
      <c r="AW200" s="382"/>
      <c r="AX200" s="382"/>
      <c r="AY200" s="382"/>
    </row>
    <row r="201" spans="1:51" s="379" customFormat="1" ht="38.25" hidden="1" outlineLevel="1">
      <c r="A201" s="379" t="s">
        <v>2491</v>
      </c>
      <c r="B201" s="379" t="s">
        <v>2492</v>
      </c>
      <c r="C201" s="380" t="s">
        <v>2493</v>
      </c>
      <c r="D201" s="381">
        <v>0</v>
      </c>
      <c r="E201" s="381">
        <v>0</v>
      </c>
      <c r="F201" s="379">
        <v>72360.03</v>
      </c>
      <c r="G201" s="379">
        <v>11.17</v>
      </c>
      <c r="H201" s="382"/>
      <c r="I201" s="382"/>
      <c r="J201" s="382"/>
      <c r="K201" s="382"/>
      <c r="L201" s="382"/>
      <c r="M201" s="382"/>
      <c r="N201" s="382"/>
      <c r="O201" s="382"/>
      <c r="P201" s="382"/>
      <c r="Q201" s="382"/>
      <c r="R201" s="382"/>
      <c r="S201" s="382"/>
      <c r="T201" s="382"/>
      <c r="U201" s="382"/>
      <c r="V201" s="382"/>
      <c r="W201" s="382"/>
      <c r="X201" s="382"/>
      <c r="Y201" s="382"/>
      <c r="Z201" s="382"/>
      <c r="AA201" s="382"/>
      <c r="AB201" s="382"/>
      <c r="AC201" s="382"/>
      <c r="AD201" s="382"/>
      <c r="AE201" s="382"/>
      <c r="AF201" s="382"/>
      <c r="AG201" s="382"/>
      <c r="AH201" s="382"/>
      <c r="AI201" s="382"/>
      <c r="AJ201" s="382"/>
      <c r="AK201" s="382"/>
      <c r="AL201" s="382"/>
      <c r="AM201" s="382"/>
      <c r="AN201" s="382"/>
      <c r="AO201" s="382"/>
      <c r="AP201" s="382"/>
      <c r="AQ201" s="382"/>
      <c r="AR201" s="382"/>
      <c r="AS201" s="382"/>
      <c r="AT201" s="382"/>
      <c r="AU201" s="382"/>
      <c r="AV201" s="382"/>
      <c r="AW201" s="382"/>
      <c r="AX201" s="382"/>
      <c r="AY201" s="382"/>
    </row>
    <row r="202" spans="1:51" s="379" customFormat="1" ht="38.25" hidden="1" outlineLevel="1">
      <c r="A202" s="379" t="s">
        <v>2574</v>
      </c>
      <c r="B202" s="379" t="s">
        <v>2575</v>
      </c>
      <c r="C202" s="380" t="s">
        <v>2576</v>
      </c>
      <c r="D202" s="381">
        <v>0</v>
      </c>
      <c r="E202" s="381">
        <v>0</v>
      </c>
      <c r="F202" s="379">
        <v>5900</v>
      </c>
      <c r="G202" s="379">
        <v>0</v>
      </c>
      <c r="H202" s="382"/>
      <c r="I202" s="382"/>
      <c r="J202" s="382"/>
      <c r="K202" s="382"/>
      <c r="L202" s="382"/>
      <c r="M202" s="382"/>
      <c r="N202" s="382"/>
      <c r="O202" s="382"/>
      <c r="P202" s="382"/>
      <c r="Q202" s="382"/>
      <c r="R202" s="382"/>
      <c r="S202" s="382"/>
      <c r="T202" s="382"/>
      <c r="U202" s="382"/>
      <c r="V202" s="382"/>
      <c r="W202" s="382"/>
      <c r="X202" s="382"/>
      <c r="Y202" s="382"/>
      <c r="Z202" s="382"/>
      <c r="AA202" s="382"/>
      <c r="AB202" s="382"/>
      <c r="AC202" s="382"/>
      <c r="AD202" s="382"/>
      <c r="AE202" s="382"/>
      <c r="AF202" s="382"/>
      <c r="AG202" s="382"/>
      <c r="AH202" s="382"/>
      <c r="AI202" s="382"/>
      <c r="AJ202" s="382"/>
      <c r="AK202" s="382"/>
      <c r="AL202" s="382"/>
      <c r="AM202" s="382"/>
      <c r="AN202" s="382"/>
      <c r="AO202" s="382"/>
      <c r="AP202" s="382"/>
      <c r="AQ202" s="382"/>
      <c r="AR202" s="382"/>
      <c r="AS202" s="382"/>
      <c r="AT202" s="382"/>
      <c r="AU202" s="382"/>
      <c r="AV202" s="382"/>
      <c r="AW202" s="382"/>
      <c r="AX202" s="382"/>
      <c r="AY202" s="382"/>
    </row>
    <row r="203" spans="1:51" s="379" customFormat="1" ht="38.25" hidden="1" outlineLevel="1">
      <c r="A203" s="379" t="s">
        <v>2551</v>
      </c>
      <c r="B203" s="379" t="s">
        <v>2552</v>
      </c>
      <c r="C203" s="380" t="s">
        <v>2553</v>
      </c>
      <c r="D203" s="381">
        <v>86755.45</v>
      </c>
      <c r="E203" s="381">
        <v>334224.24</v>
      </c>
      <c r="F203" s="379">
        <v>124105.92</v>
      </c>
      <c r="G203" s="379">
        <v>71513.28</v>
      </c>
      <c r="H203" s="382"/>
      <c r="I203" s="382"/>
      <c r="J203" s="382"/>
      <c r="K203" s="382"/>
      <c r="L203" s="382"/>
      <c r="M203" s="382"/>
      <c r="N203" s="382"/>
      <c r="O203" s="382"/>
      <c r="P203" s="382"/>
      <c r="Q203" s="382"/>
      <c r="R203" s="382"/>
      <c r="S203" s="382"/>
      <c r="T203" s="382"/>
      <c r="U203" s="382"/>
      <c r="V203" s="382"/>
      <c r="W203" s="382"/>
      <c r="X203" s="382"/>
      <c r="Y203" s="382"/>
      <c r="Z203" s="382"/>
      <c r="AA203" s="382"/>
      <c r="AB203" s="382"/>
      <c r="AC203" s="382"/>
      <c r="AD203" s="382"/>
      <c r="AE203" s="382"/>
      <c r="AF203" s="382"/>
      <c r="AG203" s="382"/>
      <c r="AH203" s="382"/>
      <c r="AI203" s="382"/>
      <c r="AJ203" s="382"/>
      <c r="AK203" s="382"/>
      <c r="AL203" s="382"/>
      <c r="AM203" s="382"/>
      <c r="AN203" s="382"/>
      <c r="AO203" s="382"/>
      <c r="AP203" s="382"/>
      <c r="AQ203" s="382"/>
      <c r="AR203" s="382"/>
      <c r="AS203" s="382"/>
      <c r="AT203" s="382"/>
      <c r="AU203" s="382"/>
      <c r="AV203" s="382"/>
      <c r="AW203" s="382"/>
      <c r="AX203" s="382"/>
      <c r="AY203" s="382"/>
    </row>
    <row r="204" spans="1:51" ht="12.75" customHeight="1" collapsed="1">
      <c r="A204" s="392" t="s">
        <v>552</v>
      </c>
      <c r="B204" s="408" t="s">
        <v>553</v>
      </c>
      <c r="C204" s="409"/>
      <c r="D204" s="411">
        <v>-91266.91</v>
      </c>
      <c r="E204" s="411">
        <v>2502031.01</v>
      </c>
      <c r="F204" s="411">
        <v>1322472.96</v>
      </c>
      <c r="G204" s="411">
        <v>110926.38</v>
      </c>
      <c r="H204" s="392"/>
      <c r="I204" s="392"/>
      <c r="J204" s="392"/>
      <c r="K204" s="392"/>
      <c r="L204" s="392"/>
      <c r="M204" s="392"/>
      <c r="N204" s="392"/>
      <c r="O204" s="392"/>
      <c r="P204" s="392"/>
      <c r="Q204" s="392"/>
      <c r="R204" s="392"/>
      <c r="S204" s="392"/>
      <c r="T204" s="392"/>
      <c r="U204" s="392"/>
      <c r="V204" s="392"/>
      <c r="W204" s="392"/>
      <c r="X204" s="392"/>
      <c r="Y204" s="392"/>
      <c r="Z204" s="392"/>
      <c r="AA204" s="392"/>
      <c r="AB204" s="392"/>
      <c r="AC204" s="392"/>
      <c r="AD204" s="392"/>
      <c r="AE204" s="392"/>
      <c r="AF204" s="392"/>
      <c r="AG204" s="392"/>
      <c r="AH204" s="392"/>
      <c r="AI204" s="392"/>
      <c r="AJ204" s="392"/>
      <c r="AK204" s="392"/>
      <c r="AL204" s="392"/>
      <c r="AM204" s="392"/>
      <c r="AN204" s="392"/>
      <c r="AO204" s="392"/>
      <c r="AP204" s="392"/>
      <c r="AQ204" s="392"/>
      <c r="AR204" s="392"/>
      <c r="AS204" s="392"/>
      <c r="AT204" s="392"/>
      <c r="AU204" s="392"/>
      <c r="AV204" s="392"/>
      <c r="AW204" s="392"/>
      <c r="AX204" s="392"/>
      <c r="AY204" s="392"/>
    </row>
    <row r="205" spans="2:51" s="416" customFormat="1" ht="12.75" customHeight="1">
      <c r="B205" s="405" t="s">
        <v>3829</v>
      </c>
      <c r="C205" s="406"/>
      <c r="D205" s="413">
        <f>D58+D71+D89+D99+D134+D145+D204</f>
        <v>2998579.3549999995</v>
      </c>
      <c r="E205" s="413">
        <f>E58+E71+E89+E99+E134+E145+E204</f>
        <v>5432568.649</v>
      </c>
      <c r="F205" s="413">
        <f>F58+F71+F89+F99+F134+F145+F204</f>
        <v>3318275.774</v>
      </c>
      <c r="G205" s="413">
        <f>G58+G71+G89+G99+G134+G145+G204</f>
        <v>803195.677</v>
      </c>
      <c r="H205" s="392"/>
      <c r="I205" s="392"/>
      <c r="J205" s="392"/>
      <c r="K205" s="392"/>
      <c r="L205" s="392"/>
      <c r="M205" s="392"/>
      <c r="N205" s="392"/>
      <c r="O205" s="392"/>
      <c r="P205" s="392"/>
      <c r="Q205" s="392"/>
      <c r="R205" s="392"/>
      <c r="S205" s="392"/>
      <c r="T205" s="392"/>
      <c r="U205" s="392"/>
      <c r="V205" s="392"/>
      <c r="W205" s="392"/>
      <c r="X205" s="392"/>
      <c r="Y205" s="392"/>
      <c r="Z205" s="392"/>
      <c r="AA205" s="392"/>
      <c r="AB205" s="392"/>
      <c r="AC205" s="392"/>
      <c r="AD205" s="392"/>
      <c r="AE205" s="392"/>
      <c r="AF205" s="392"/>
      <c r="AG205" s="392"/>
      <c r="AH205" s="392"/>
      <c r="AI205" s="392"/>
      <c r="AJ205" s="392"/>
      <c r="AK205" s="392"/>
      <c r="AL205" s="392"/>
      <c r="AM205" s="392"/>
      <c r="AN205" s="392"/>
      <c r="AO205" s="392"/>
      <c r="AP205" s="392"/>
      <c r="AQ205" s="392"/>
      <c r="AR205" s="392"/>
      <c r="AS205" s="392"/>
      <c r="AT205" s="392"/>
      <c r="AU205" s="392"/>
      <c r="AV205" s="392"/>
      <c r="AW205" s="392"/>
      <c r="AX205" s="392"/>
      <c r="AY205" s="392"/>
    </row>
    <row r="206" spans="2:51" ht="12.75" customHeight="1">
      <c r="B206" s="414"/>
      <c r="C206" s="415"/>
      <c r="D206" s="411"/>
      <c r="E206" s="411"/>
      <c r="F206" s="411"/>
      <c r="G206" s="411"/>
      <c r="H206" s="392"/>
      <c r="I206" s="392"/>
      <c r="J206" s="392"/>
      <c r="K206" s="392"/>
      <c r="L206" s="392"/>
      <c r="M206" s="392"/>
      <c r="N206" s="392"/>
      <c r="O206" s="392"/>
      <c r="P206" s="392"/>
      <c r="Q206" s="392"/>
      <c r="R206" s="392"/>
      <c r="S206" s="392"/>
      <c r="T206" s="392"/>
      <c r="U206" s="392"/>
      <c r="V206" s="392"/>
      <c r="W206" s="392"/>
      <c r="X206" s="392"/>
      <c r="Y206" s="392"/>
      <c r="Z206" s="392"/>
      <c r="AA206" s="392"/>
      <c r="AB206" s="392"/>
      <c r="AC206" s="392"/>
      <c r="AD206" s="392"/>
      <c r="AE206" s="392"/>
      <c r="AF206" s="392"/>
      <c r="AG206" s="392"/>
      <c r="AH206" s="392"/>
      <c r="AI206" s="392"/>
      <c r="AJ206" s="392"/>
      <c r="AK206" s="392"/>
      <c r="AL206" s="392"/>
      <c r="AM206" s="392"/>
      <c r="AN206" s="392"/>
      <c r="AO206" s="392"/>
      <c r="AP206" s="392"/>
      <c r="AQ206" s="392"/>
      <c r="AR206" s="392"/>
      <c r="AS206" s="392"/>
      <c r="AT206" s="392"/>
      <c r="AU206" s="392"/>
      <c r="AV206" s="392"/>
      <c r="AW206" s="392"/>
      <c r="AX206" s="392"/>
      <c r="AY206" s="392"/>
    </row>
    <row r="207" spans="2:51" s="416" customFormat="1" ht="12.75" customHeight="1">
      <c r="B207" s="414" t="s">
        <v>3767</v>
      </c>
      <c r="C207" s="415"/>
      <c r="D207" s="413">
        <f>D44-D205</f>
        <v>189423.67500000028</v>
      </c>
      <c r="E207" s="413">
        <f>E44-E205</f>
        <v>1811226.9309999999</v>
      </c>
      <c r="F207" s="413">
        <f>F44-F205</f>
        <v>-2098864.414</v>
      </c>
      <c r="G207" s="413">
        <f>G44-G205</f>
        <v>1901375.8929999997</v>
      </c>
      <c r="H207" s="392"/>
      <c r="I207" s="392"/>
      <c r="J207" s="392"/>
      <c r="K207" s="392"/>
      <c r="L207" s="392"/>
      <c r="M207" s="392"/>
      <c r="N207" s="392"/>
      <c r="O207" s="392"/>
      <c r="P207" s="392"/>
      <c r="Q207" s="392"/>
      <c r="R207" s="392"/>
      <c r="S207" s="392"/>
      <c r="T207" s="392"/>
      <c r="U207" s="392"/>
      <c r="V207" s="392"/>
      <c r="W207" s="392"/>
      <c r="X207" s="392"/>
      <c r="Y207" s="392"/>
      <c r="Z207" s="392"/>
      <c r="AA207" s="392"/>
      <c r="AB207" s="392"/>
      <c r="AC207" s="392"/>
      <c r="AD207" s="392"/>
      <c r="AE207" s="392"/>
      <c r="AF207" s="392"/>
      <c r="AG207" s="392"/>
      <c r="AH207" s="392"/>
      <c r="AI207" s="392"/>
      <c r="AJ207" s="392"/>
      <c r="AK207" s="392"/>
      <c r="AL207" s="392"/>
      <c r="AM207" s="392"/>
      <c r="AN207" s="392"/>
      <c r="AO207" s="392"/>
      <c r="AP207" s="392"/>
      <c r="AQ207" s="392"/>
      <c r="AR207" s="392"/>
      <c r="AS207" s="392"/>
      <c r="AT207" s="392"/>
      <c r="AU207" s="392"/>
      <c r="AV207" s="392"/>
      <c r="AW207" s="392"/>
      <c r="AX207" s="392"/>
      <c r="AY207" s="392"/>
    </row>
    <row r="208" spans="2:51" ht="12.75" customHeight="1">
      <c r="B208" s="408"/>
      <c r="C208" s="409"/>
      <c r="D208" s="411"/>
      <c r="E208" s="411"/>
      <c r="F208" s="411"/>
      <c r="G208" s="411"/>
      <c r="H208" s="392"/>
      <c r="I208" s="392"/>
      <c r="J208" s="392"/>
      <c r="K208" s="392"/>
      <c r="L208" s="392"/>
      <c r="M208" s="392"/>
      <c r="N208" s="392"/>
      <c r="O208" s="392"/>
      <c r="P208" s="392"/>
      <c r="Q208" s="392"/>
      <c r="R208" s="392"/>
      <c r="S208" s="392"/>
      <c r="T208" s="392"/>
      <c r="U208" s="392"/>
      <c r="V208" s="392"/>
      <c r="W208" s="392"/>
      <c r="X208" s="392"/>
      <c r="Y208" s="392"/>
      <c r="Z208" s="392"/>
      <c r="AA208" s="392"/>
      <c r="AB208" s="392"/>
      <c r="AC208" s="392"/>
      <c r="AD208" s="392"/>
      <c r="AE208" s="392"/>
      <c r="AF208" s="392"/>
      <c r="AG208" s="392"/>
      <c r="AH208" s="392"/>
      <c r="AI208" s="392"/>
      <c r="AJ208" s="392"/>
      <c r="AK208" s="392"/>
      <c r="AL208" s="392"/>
      <c r="AM208" s="392"/>
      <c r="AN208" s="392"/>
      <c r="AO208" s="392"/>
      <c r="AP208" s="392"/>
      <c r="AQ208" s="392"/>
      <c r="AR208" s="392"/>
      <c r="AS208" s="392"/>
      <c r="AT208" s="392"/>
      <c r="AU208" s="392"/>
      <c r="AV208" s="392"/>
      <c r="AW208" s="392"/>
      <c r="AX208" s="392"/>
      <c r="AY208" s="392"/>
    </row>
    <row r="209" spans="2:51" ht="12.75" customHeight="1">
      <c r="B209" s="414" t="s">
        <v>3322</v>
      </c>
      <c r="C209" s="415"/>
      <c r="D209" s="411"/>
      <c r="E209" s="411"/>
      <c r="F209" s="411"/>
      <c r="G209" s="411"/>
      <c r="H209" s="392"/>
      <c r="I209" s="392"/>
      <c r="J209" s="392"/>
      <c r="K209" s="392"/>
      <c r="L209" s="392"/>
      <c r="M209" s="392"/>
      <c r="N209" s="392"/>
      <c r="O209" s="392"/>
      <c r="P209" s="392"/>
      <c r="Q209" s="392"/>
      <c r="R209" s="392"/>
      <c r="S209" s="392"/>
      <c r="T209" s="392"/>
      <c r="U209" s="392"/>
      <c r="V209" s="392"/>
      <c r="W209" s="392"/>
      <c r="X209" s="392"/>
      <c r="Y209" s="392"/>
      <c r="Z209" s="392"/>
      <c r="AA209" s="392"/>
      <c r="AB209" s="392"/>
      <c r="AC209" s="392"/>
      <c r="AD209" s="392"/>
      <c r="AE209" s="392"/>
      <c r="AF209" s="392"/>
      <c r="AG209" s="392"/>
      <c r="AH209" s="392"/>
      <c r="AI209" s="392"/>
      <c r="AJ209" s="392"/>
      <c r="AK209" s="392"/>
      <c r="AL209" s="392"/>
      <c r="AM209" s="392"/>
      <c r="AN209" s="392"/>
      <c r="AO209" s="392"/>
      <c r="AP209" s="392"/>
      <c r="AQ209" s="392"/>
      <c r="AR209" s="392"/>
      <c r="AS209" s="392"/>
      <c r="AT209" s="392"/>
      <c r="AU209" s="392"/>
      <c r="AV209" s="392"/>
      <c r="AW209" s="392"/>
      <c r="AX209" s="392"/>
      <c r="AY209" s="392"/>
    </row>
    <row r="210" spans="1:51" ht="12.75" customHeight="1">
      <c r="A210" s="392" t="s">
        <v>25</v>
      </c>
      <c r="B210" s="408" t="s">
        <v>3323</v>
      </c>
      <c r="C210" s="409"/>
      <c r="D210" s="411">
        <v>0</v>
      </c>
      <c r="E210" s="411">
        <v>0</v>
      </c>
      <c r="F210" s="411">
        <v>0</v>
      </c>
      <c r="G210" s="411">
        <v>0</v>
      </c>
      <c r="H210" s="392"/>
      <c r="I210" s="392"/>
      <c r="J210" s="392"/>
      <c r="K210" s="392"/>
      <c r="L210" s="392"/>
      <c r="M210" s="392"/>
      <c r="N210" s="392"/>
      <c r="O210" s="392"/>
      <c r="P210" s="392"/>
      <c r="Q210" s="392"/>
      <c r="R210" s="392"/>
      <c r="S210" s="392"/>
      <c r="T210" s="392"/>
      <c r="U210" s="392"/>
      <c r="V210" s="392"/>
      <c r="W210" s="392"/>
      <c r="X210" s="392"/>
      <c r="Y210" s="392"/>
      <c r="Z210" s="392"/>
      <c r="AA210" s="392"/>
      <c r="AB210" s="392"/>
      <c r="AC210" s="392"/>
      <c r="AD210" s="392"/>
      <c r="AE210" s="392"/>
      <c r="AF210" s="392"/>
      <c r="AG210" s="392"/>
      <c r="AH210" s="392"/>
      <c r="AI210" s="392"/>
      <c r="AJ210" s="392"/>
      <c r="AK210" s="392"/>
      <c r="AL210" s="392"/>
      <c r="AM210" s="392"/>
      <c r="AN210" s="392"/>
      <c r="AO210" s="392"/>
      <c r="AP210" s="392"/>
      <c r="AQ210" s="392"/>
      <c r="AR210" s="392"/>
      <c r="AS210" s="392"/>
      <c r="AT210" s="392"/>
      <c r="AU210" s="392"/>
      <c r="AV210" s="392"/>
      <c r="AW210" s="392"/>
      <c r="AX210" s="392"/>
      <c r="AY210" s="392"/>
    </row>
    <row r="211" spans="1:51" ht="12.75" customHeight="1">
      <c r="A211" s="392" t="s">
        <v>3324</v>
      </c>
      <c r="B211" s="408" t="s">
        <v>3325</v>
      </c>
      <c r="C211" s="409"/>
      <c r="D211" s="411">
        <v>0</v>
      </c>
      <c r="E211" s="411">
        <v>0</v>
      </c>
      <c r="F211" s="411">
        <v>0</v>
      </c>
      <c r="G211" s="411">
        <v>0</v>
      </c>
      <c r="H211" s="392"/>
      <c r="I211" s="392"/>
      <c r="J211" s="392"/>
      <c r="K211" s="392"/>
      <c r="L211" s="392"/>
      <c r="M211" s="392"/>
      <c r="N211" s="392"/>
      <c r="O211" s="392"/>
      <c r="P211" s="392"/>
      <c r="Q211" s="392"/>
      <c r="R211" s="392"/>
      <c r="S211" s="392"/>
      <c r="T211" s="392"/>
      <c r="U211" s="392"/>
      <c r="V211" s="392"/>
      <c r="W211" s="392"/>
      <c r="X211" s="392"/>
      <c r="Y211" s="392"/>
      <c r="Z211" s="392"/>
      <c r="AA211" s="392"/>
      <c r="AB211" s="392"/>
      <c r="AC211" s="392"/>
      <c r="AD211" s="392"/>
      <c r="AE211" s="392"/>
      <c r="AF211" s="392"/>
      <c r="AG211" s="392"/>
      <c r="AH211" s="392"/>
      <c r="AI211" s="392"/>
      <c r="AJ211" s="392"/>
      <c r="AK211" s="392"/>
      <c r="AL211" s="392"/>
      <c r="AM211" s="392"/>
      <c r="AN211" s="392"/>
      <c r="AO211" s="392"/>
      <c r="AP211" s="392"/>
      <c r="AQ211" s="392"/>
      <c r="AR211" s="392"/>
      <c r="AS211" s="392"/>
      <c r="AT211" s="392"/>
      <c r="AU211" s="392"/>
      <c r="AV211" s="392"/>
      <c r="AW211" s="392"/>
      <c r="AX211" s="392"/>
      <c r="AY211" s="392"/>
    </row>
    <row r="212" spans="1:51" ht="12.75" customHeight="1">
      <c r="A212" s="392" t="s">
        <v>3326</v>
      </c>
      <c r="B212" s="408" t="s">
        <v>3327</v>
      </c>
      <c r="C212" s="409"/>
      <c r="D212" s="411">
        <v>0</v>
      </c>
      <c r="E212" s="411">
        <v>0</v>
      </c>
      <c r="F212" s="411">
        <v>0</v>
      </c>
      <c r="G212" s="411">
        <v>0</v>
      </c>
      <c r="H212" s="392"/>
      <c r="I212" s="392"/>
      <c r="J212" s="392"/>
      <c r="K212" s="392"/>
      <c r="L212" s="392"/>
      <c r="M212" s="392"/>
      <c r="N212" s="392"/>
      <c r="O212" s="392"/>
      <c r="P212" s="392"/>
      <c r="Q212" s="392"/>
      <c r="R212" s="392"/>
      <c r="S212" s="392"/>
      <c r="T212" s="392"/>
      <c r="U212" s="392"/>
      <c r="V212" s="392"/>
      <c r="W212" s="392"/>
      <c r="X212" s="392"/>
      <c r="Y212" s="392"/>
      <c r="Z212" s="392"/>
      <c r="AA212" s="392"/>
      <c r="AB212" s="392"/>
      <c r="AC212" s="392"/>
      <c r="AD212" s="392"/>
      <c r="AE212" s="392"/>
      <c r="AF212" s="392"/>
      <c r="AG212" s="392"/>
      <c r="AH212" s="392"/>
      <c r="AI212" s="392"/>
      <c r="AJ212" s="392"/>
      <c r="AK212" s="392"/>
      <c r="AL212" s="392"/>
      <c r="AM212" s="392"/>
      <c r="AN212" s="392"/>
      <c r="AO212" s="392"/>
      <c r="AP212" s="392"/>
      <c r="AQ212" s="392"/>
      <c r="AR212" s="392"/>
      <c r="AS212" s="392"/>
      <c r="AT212" s="392"/>
      <c r="AU212" s="392"/>
      <c r="AV212" s="392"/>
      <c r="AW212" s="392"/>
      <c r="AX212" s="392"/>
      <c r="AY212" s="392"/>
    </row>
    <row r="213" spans="1:51" ht="12.75" customHeight="1">
      <c r="A213" s="392" t="s">
        <v>3328</v>
      </c>
      <c r="B213" s="408" t="s">
        <v>3329</v>
      </c>
      <c r="C213" s="409"/>
      <c r="D213" s="411">
        <v>0</v>
      </c>
      <c r="E213" s="411">
        <v>0</v>
      </c>
      <c r="F213" s="411">
        <v>0</v>
      </c>
      <c r="G213" s="411">
        <v>0</v>
      </c>
      <c r="H213" s="392"/>
      <c r="I213" s="392"/>
      <c r="J213" s="392"/>
      <c r="K213" s="392"/>
      <c r="L213" s="392"/>
      <c r="M213" s="392"/>
      <c r="N213" s="392"/>
      <c r="O213" s="392"/>
      <c r="P213" s="392"/>
      <c r="Q213" s="392"/>
      <c r="R213" s="392"/>
      <c r="S213" s="392"/>
      <c r="T213" s="392"/>
      <c r="U213" s="392"/>
      <c r="V213" s="392"/>
      <c r="W213" s="392"/>
      <c r="X213" s="392"/>
      <c r="Y213" s="392"/>
      <c r="Z213" s="392"/>
      <c r="AA213" s="392"/>
      <c r="AB213" s="392"/>
      <c r="AC213" s="392"/>
      <c r="AD213" s="392"/>
      <c r="AE213" s="392"/>
      <c r="AF213" s="392"/>
      <c r="AG213" s="392"/>
      <c r="AH213" s="392"/>
      <c r="AI213" s="392"/>
      <c r="AJ213" s="392"/>
      <c r="AK213" s="392"/>
      <c r="AL213" s="392"/>
      <c r="AM213" s="392"/>
      <c r="AN213" s="392"/>
      <c r="AO213" s="392"/>
      <c r="AP213" s="392"/>
      <c r="AQ213" s="392"/>
      <c r="AR213" s="392"/>
      <c r="AS213" s="392"/>
      <c r="AT213" s="392"/>
      <c r="AU213" s="392"/>
      <c r="AV213" s="392"/>
      <c r="AW213" s="392"/>
      <c r="AX213" s="392"/>
      <c r="AY213" s="392"/>
    </row>
    <row r="214" spans="1:51" s="379" customFormat="1" ht="38.25" hidden="1" outlineLevel="1">
      <c r="A214" s="379" t="s">
        <v>63</v>
      </c>
      <c r="B214" s="379" t="s">
        <v>64</v>
      </c>
      <c r="C214" s="380" t="s">
        <v>65</v>
      </c>
      <c r="D214" s="381">
        <v>200</v>
      </c>
      <c r="E214" s="381">
        <v>-242543.93</v>
      </c>
      <c r="F214" s="379">
        <v>-6810.23</v>
      </c>
      <c r="G214" s="379">
        <v>1120</v>
      </c>
      <c r="H214" s="382"/>
      <c r="I214" s="382"/>
      <c r="J214" s="382"/>
      <c r="K214" s="382"/>
      <c r="L214" s="382"/>
      <c r="M214" s="382"/>
      <c r="N214" s="382"/>
      <c r="O214" s="382"/>
      <c r="P214" s="382"/>
      <c r="Q214" s="382"/>
      <c r="R214" s="382"/>
      <c r="S214" s="382"/>
      <c r="T214" s="382"/>
      <c r="U214" s="382"/>
      <c r="V214" s="382"/>
      <c r="W214" s="382"/>
      <c r="X214" s="382"/>
      <c r="Y214" s="382"/>
      <c r="Z214" s="382"/>
      <c r="AA214" s="382"/>
      <c r="AB214" s="382"/>
      <c r="AC214" s="382"/>
      <c r="AD214" s="382"/>
      <c r="AE214" s="382"/>
      <c r="AF214" s="382"/>
      <c r="AG214" s="382"/>
      <c r="AH214" s="382"/>
      <c r="AI214" s="382"/>
      <c r="AJ214" s="382"/>
      <c r="AK214" s="382"/>
      <c r="AL214" s="382"/>
      <c r="AM214" s="382"/>
      <c r="AN214" s="382"/>
      <c r="AO214" s="382"/>
      <c r="AP214" s="382"/>
      <c r="AQ214" s="382"/>
      <c r="AR214" s="382"/>
      <c r="AS214" s="382"/>
      <c r="AT214" s="382"/>
      <c r="AU214" s="382"/>
      <c r="AV214" s="382"/>
      <c r="AW214" s="382"/>
      <c r="AX214" s="382"/>
      <c r="AY214" s="382"/>
    </row>
    <row r="215" spans="1:51" s="379" customFormat="1" ht="38.25" hidden="1" outlineLevel="1">
      <c r="A215" s="379" t="s">
        <v>69</v>
      </c>
      <c r="B215" s="379" t="s">
        <v>70</v>
      </c>
      <c r="C215" s="380" t="s">
        <v>71</v>
      </c>
      <c r="D215" s="381">
        <v>0</v>
      </c>
      <c r="E215" s="381">
        <v>1500</v>
      </c>
      <c r="F215" s="379">
        <v>2329571.42</v>
      </c>
      <c r="G215" s="379">
        <v>0</v>
      </c>
      <c r="H215" s="382"/>
      <c r="I215" s="382"/>
      <c r="J215" s="382"/>
      <c r="K215" s="382"/>
      <c r="L215" s="382"/>
      <c r="M215" s="382"/>
      <c r="N215" s="382"/>
      <c r="O215" s="382"/>
      <c r="P215" s="382"/>
      <c r="Q215" s="382"/>
      <c r="R215" s="382"/>
      <c r="S215" s="382"/>
      <c r="T215" s="382"/>
      <c r="U215" s="382"/>
      <c r="V215" s="382"/>
      <c r="W215" s="382"/>
      <c r="X215" s="382"/>
      <c r="Y215" s="382"/>
      <c r="Z215" s="382"/>
      <c r="AA215" s="382"/>
      <c r="AB215" s="382"/>
      <c r="AC215" s="382"/>
      <c r="AD215" s="382"/>
      <c r="AE215" s="382"/>
      <c r="AF215" s="382"/>
      <c r="AG215" s="382"/>
      <c r="AH215" s="382"/>
      <c r="AI215" s="382"/>
      <c r="AJ215" s="382"/>
      <c r="AK215" s="382"/>
      <c r="AL215" s="382"/>
      <c r="AM215" s="382"/>
      <c r="AN215" s="382"/>
      <c r="AO215" s="382"/>
      <c r="AP215" s="382"/>
      <c r="AQ215" s="382"/>
      <c r="AR215" s="382"/>
      <c r="AS215" s="382"/>
      <c r="AT215" s="382"/>
      <c r="AU215" s="382"/>
      <c r="AV215" s="382"/>
      <c r="AW215" s="382"/>
      <c r="AX215" s="382"/>
      <c r="AY215" s="382"/>
    </row>
    <row r="216" spans="1:51" s="379" customFormat="1" ht="38.25" hidden="1" outlineLevel="1">
      <c r="A216" s="379" t="s">
        <v>37</v>
      </c>
      <c r="B216" s="379" t="s">
        <v>38</v>
      </c>
      <c r="C216" s="380" t="s">
        <v>39</v>
      </c>
      <c r="D216" s="381">
        <v>-129336</v>
      </c>
      <c r="E216" s="381">
        <v>-1806804</v>
      </c>
      <c r="F216" s="379">
        <v>0</v>
      </c>
      <c r="G216" s="379">
        <v>-667906</v>
      </c>
      <c r="H216" s="382"/>
      <c r="I216" s="382"/>
      <c r="J216" s="382"/>
      <c r="K216" s="382"/>
      <c r="L216" s="382"/>
      <c r="M216" s="382"/>
      <c r="N216" s="382"/>
      <c r="O216" s="382"/>
      <c r="P216" s="382"/>
      <c r="Q216" s="382"/>
      <c r="R216" s="382"/>
      <c r="S216" s="382"/>
      <c r="T216" s="382"/>
      <c r="U216" s="382"/>
      <c r="V216" s="382"/>
      <c r="W216" s="382"/>
      <c r="X216" s="382"/>
      <c r="Y216" s="382"/>
      <c r="Z216" s="382"/>
      <c r="AA216" s="382"/>
      <c r="AB216" s="382"/>
      <c r="AC216" s="382"/>
      <c r="AD216" s="382"/>
      <c r="AE216" s="382"/>
      <c r="AF216" s="382"/>
      <c r="AG216" s="382"/>
      <c r="AH216" s="382"/>
      <c r="AI216" s="382"/>
      <c r="AJ216" s="382"/>
      <c r="AK216" s="382"/>
      <c r="AL216" s="382"/>
      <c r="AM216" s="382"/>
      <c r="AN216" s="382"/>
      <c r="AO216" s="382"/>
      <c r="AP216" s="382"/>
      <c r="AQ216" s="382"/>
      <c r="AR216" s="382"/>
      <c r="AS216" s="382"/>
      <c r="AT216" s="382"/>
      <c r="AU216" s="382"/>
      <c r="AV216" s="382"/>
      <c r="AW216" s="382"/>
      <c r="AX216" s="382"/>
      <c r="AY216" s="382"/>
    </row>
    <row r="217" spans="1:51" s="379" customFormat="1" ht="38.25" hidden="1" outlineLevel="1">
      <c r="A217" s="379" t="s">
        <v>56</v>
      </c>
      <c r="B217" s="379" t="s">
        <v>57</v>
      </c>
      <c r="C217" s="380" t="s">
        <v>58</v>
      </c>
      <c r="D217" s="381">
        <v>0</v>
      </c>
      <c r="E217" s="381">
        <v>-231516</v>
      </c>
      <c r="F217" s="379">
        <v>0</v>
      </c>
      <c r="G217" s="379">
        <v>0</v>
      </c>
      <c r="H217" s="382"/>
      <c r="I217" s="382"/>
      <c r="J217" s="382"/>
      <c r="K217" s="382"/>
      <c r="L217" s="382"/>
      <c r="M217" s="382"/>
      <c r="N217" s="382"/>
      <c r="O217" s="382"/>
      <c r="P217" s="382"/>
      <c r="Q217" s="382"/>
      <c r="R217" s="382"/>
      <c r="S217" s="382"/>
      <c r="T217" s="382"/>
      <c r="U217" s="382"/>
      <c r="V217" s="382"/>
      <c r="W217" s="382"/>
      <c r="X217" s="382"/>
      <c r="Y217" s="382"/>
      <c r="Z217" s="382"/>
      <c r="AA217" s="382"/>
      <c r="AB217" s="382"/>
      <c r="AC217" s="382"/>
      <c r="AD217" s="382"/>
      <c r="AE217" s="382"/>
      <c r="AF217" s="382"/>
      <c r="AG217" s="382"/>
      <c r="AH217" s="382"/>
      <c r="AI217" s="382"/>
      <c r="AJ217" s="382"/>
      <c r="AK217" s="382"/>
      <c r="AL217" s="382"/>
      <c r="AM217" s="382"/>
      <c r="AN217" s="382"/>
      <c r="AO217" s="382"/>
      <c r="AP217" s="382"/>
      <c r="AQ217" s="382"/>
      <c r="AR217" s="382"/>
      <c r="AS217" s="382"/>
      <c r="AT217" s="382"/>
      <c r="AU217" s="382"/>
      <c r="AV217" s="382"/>
      <c r="AW217" s="382"/>
      <c r="AX217" s="382"/>
      <c r="AY217" s="382"/>
    </row>
    <row r="218" spans="1:51" s="379" customFormat="1" ht="38.25" hidden="1" outlineLevel="1">
      <c r="A218" s="379" t="s">
        <v>78</v>
      </c>
      <c r="B218" s="379" t="s">
        <v>79</v>
      </c>
      <c r="C218" s="380" t="s">
        <v>80</v>
      </c>
      <c r="D218" s="381">
        <v>0</v>
      </c>
      <c r="E218" s="381">
        <v>0</v>
      </c>
      <c r="F218" s="379">
        <v>-49612.92</v>
      </c>
      <c r="G218" s="379">
        <v>-175000</v>
      </c>
      <c r="H218" s="382"/>
      <c r="I218" s="382"/>
      <c r="J218" s="382"/>
      <c r="K218" s="382"/>
      <c r="L218" s="382"/>
      <c r="M218" s="382"/>
      <c r="N218" s="382"/>
      <c r="O218" s="382"/>
      <c r="P218" s="382"/>
      <c r="Q218" s="382"/>
      <c r="R218" s="382"/>
      <c r="S218" s="382"/>
      <c r="T218" s="382"/>
      <c r="U218" s="382"/>
      <c r="V218" s="382"/>
      <c r="W218" s="382"/>
      <c r="X218" s="382"/>
      <c r="Y218" s="382"/>
      <c r="Z218" s="382"/>
      <c r="AA218" s="382"/>
      <c r="AB218" s="382"/>
      <c r="AC218" s="382"/>
      <c r="AD218" s="382"/>
      <c r="AE218" s="382"/>
      <c r="AF218" s="382"/>
      <c r="AG218" s="382"/>
      <c r="AH218" s="382"/>
      <c r="AI218" s="382"/>
      <c r="AJ218" s="382"/>
      <c r="AK218" s="382"/>
      <c r="AL218" s="382"/>
      <c r="AM218" s="382"/>
      <c r="AN218" s="382"/>
      <c r="AO218" s="382"/>
      <c r="AP218" s="382"/>
      <c r="AQ218" s="382"/>
      <c r="AR218" s="382"/>
      <c r="AS218" s="382"/>
      <c r="AT218" s="382"/>
      <c r="AU218" s="382"/>
      <c r="AV218" s="382"/>
      <c r="AW218" s="382"/>
      <c r="AX218" s="382"/>
      <c r="AY218" s="382"/>
    </row>
    <row r="219" spans="1:51" ht="12.75" customHeight="1" collapsed="1">
      <c r="A219" s="392" t="s">
        <v>3330</v>
      </c>
      <c r="B219" s="408" t="s">
        <v>3331</v>
      </c>
      <c r="C219" s="409"/>
      <c r="D219" s="411">
        <v>-129136</v>
      </c>
      <c r="E219" s="411">
        <v>-2279363.93</v>
      </c>
      <c r="F219" s="411">
        <v>2273148.27</v>
      </c>
      <c r="G219" s="411">
        <v>-841786</v>
      </c>
      <c r="H219" s="392"/>
      <c r="I219" s="392"/>
      <c r="J219" s="392"/>
      <c r="K219" s="392"/>
      <c r="L219" s="392"/>
      <c r="M219" s="392"/>
      <c r="N219" s="392"/>
      <c r="O219" s="392"/>
      <c r="P219" s="392"/>
      <c r="Q219" s="392"/>
      <c r="R219" s="392"/>
      <c r="S219" s="392"/>
      <c r="T219" s="392"/>
      <c r="U219" s="392"/>
      <c r="V219" s="392"/>
      <c r="W219" s="392"/>
      <c r="X219" s="392"/>
      <c r="Y219" s="392"/>
      <c r="Z219" s="392"/>
      <c r="AA219" s="392"/>
      <c r="AB219" s="392"/>
      <c r="AC219" s="392"/>
      <c r="AD219" s="392"/>
      <c r="AE219" s="392"/>
      <c r="AF219" s="392"/>
      <c r="AG219" s="392"/>
      <c r="AH219" s="392"/>
      <c r="AI219" s="392"/>
      <c r="AJ219" s="392"/>
      <c r="AK219" s="392"/>
      <c r="AL219" s="392"/>
      <c r="AM219" s="392"/>
      <c r="AN219" s="392"/>
      <c r="AO219" s="392"/>
      <c r="AP219" s="392"/>
      <c r="AQ219" s="392"/>
      <c r="AR219" s="392"/>
      <c r="AS219" s="392"/>
      <c r="AT219" s="392"/>
      <c r="AU219" s="392"/>
      <c r="AV219" s="392"/>
      <c r="AW219" s="392"/>
      <c r="AX219" s="392"/>
      <c r="AY219" s="392"/>
    </row>
    <row r="220" spans="2:51" ht="12.75" customHeight="1">
      <c r="B220" s="405" t="s">
        <v>3332</v>
      </c>
      <c r="C220" s="409"/>
      <c r="D220" s="411"/>
      <c r="E220" s="411"/>
      <c r="F220" s="411"/>
      <c r="G220" s="411"/>
      <c r="H220" s="392"/>
      <c r="I220" s="392"/>
      <c r="J220" s="392"/>
      <c r="K220" s="392"/>
      <c r="L220" s="392"/>
      <c r="M220" s="392"/>
      <c r="N220" s="392"/>
      <c r="O220" s="392"/>
      <c r="P220" s="392"/>
      <c r="Q220" s="392"/>
      <c r="R220" s="392"/>
      <c r="S220" s="392"/>
      <c r="T220" s="392"/>
      <c r="U220" s="392"/>
      <c r="V220" s="392"/>
      <c r="W220" s="392"/>
      <c r="X220" s="392"/>
      <c r="Y220" s="392"/>
      <c r="Z220" s="392"/>
      <c r="AA220" s="392"/>
      <c r="AB220" s="392"/>
      <c r="AC220" s="392"/>
      <c r="AD220" s="392"/>
      <c r="AE220" s="392"/>
      <c r="AF220" s="392"/>
      <c r="AG220" s="392"/>
      <c r="AH220" s="392"/>
      <c r="AI220" s="392"/>
      <c r="AJ220" s="392"/>
      <c r="AK220" s="392"/>
      <c r="AL220" s="392"/>
      <c r="AM220" s="392"/>
      <c r="AN220" s="392"/>
      <c r="AO220" s="392"/>
      <c r="AP220" s="392"/>
      <c r="AQ220" s="392"/>
      <c r="AR220" s="392"/>
      <c r="AS220" s="392"/>
      <c r="AT220" s="392"/>
      <c r="AU220" s="392"/>
      <c r="AV220" s="392"/>
      <c r="AW220" s="392"/>
      <c r="AX220" s="392"/>
      <c r="AY220" s="392"/>
    </row>
    <row r="221" spans="2:51" s="416" customFormat="1" ht="12.75" customHeight="1">
      <c r="B221" s="405" t="s">
        <v>3333</v>
      </c>
      <c r="C221" s="406"/>
      <c r="D221" s="413">
        <f>D210+D211+D212+D213+D219</f>
        <v>-129136</v>
      </c>
      <c r="E221" s="413">
        <f>E210+E211+E212+E213+E219</f>
        <v>-2279363.93</v>
      </c>
      <c r="F221" s="413">
        <f>F210+F211+F212+F213+F219</f>
        <v>2273148.27</v>
      </c>
      <c r="G221" s="413">
        <f>G210+G211+G212+G213+G219</f>
        <v>-841786</v>
      </c>
      <c r="H221" s="392"/>
      <c r="I221" s="392"/>
      <c r="J221" s="392"/>
      <c r="K221" s="392"/>
      <c r="L221" s="392"/>
      <c r="M221" s="392"/>
      <c r="N221" s="392"/>
      <c r="O221" s="392"/>
      <c r="P221" s="392"/>
      <c r="Q221" s="392"/>
      <c r="R221" s="392"/>
      <c r="S221" s="392"/>
      <c r="T221" s="392"/>
      <c r="U221" s="392"/>
      <c r="V221" s="392"/>
      <c r="W221" s="392"/>
      <c r="X221" s="392"/>
      <c r="Y221" s="392"/>
      <c r="Z221" s="392"/>
      <c r="AA221" s="392"/>
      <c r="AB221" s="392"/>
      <c r="AC221" s="392"/>
      <c r="AD221" s="392"/>
      <c r="AE221" s="392"/>
      <c r="AF221" s="392"/>
      <c r="AG221" s="392"/>
      <c r="AH221" s="392"/>
      <c r="AI221" s="392"/>
      <c r="AJ221" s="392"/>
      <c r="AK221" s="392"/>
      <c r="AL221" s="392"/>
      <c r="AM221" s="392"/>
      <c r="AN221" s="392"/>
      <c r="AO221" s="392"/>
      <c r="AP221" s="392"/>
      <c r="AQ221" s="392"/>
      <c r="AR221" s="392"/>
      <c r="AS221" s="392"/>
      <c r="AT221" s="392"/>
      <c r="AU221" s="392"/>
      <c r="AV221" s="392"/>
      <c r="AW221" s="392"/>
      <c r="AX221" s="392"/>
      <c r="AY221" s="392"/>
    </row>
    <row r="222" spans="2:51" ht="12.75" customHeight="1">
      <c r="B222" s="408"/>
      <c r="C222" s="409"/>
      <c r="D222" s="411"/>
      <c r="E222" s="411"/>
      <c r="F222" s="411"/>
      <c r="G222" s="411"/>
      <c r="H222" s="392"/>
      <c r="I222" s="392"/>
      <c r="J222" s="392"/>
      <c r="K222" s="392"/>
      <c r="L222" s="392"/>
      <c r="M222" s="392"/>
      <c r="N222" s="392"/>
      <c r="O222" s="392"/>
      <c r="P222" s="392"/>
      <c r="Q222" s="392"/>
      <c r="R222" s="392"/>
      <c r="S222" s="392"/>
      <c r="T222" s="392"/>
      <c r="U222" s="392"/>
      <c r="V222" s="392"/>
      <c r="W222" s="392"/>
      <c r="X222" s="392"/>
      <c r="Y222" s="392"/>
      <c r="Z222" s="392"/>
      <c r="AA222" s="392"/>
      <c r="AB222" s="392"/>
      <c r="AC222" s="392"/>
      <c r="AD222" s="392"/>
      <c r="AE222" s="392"/>
      <c r="AF222" s="392"/>
      <c r="AG222" s="392"/>
      <c r="AH222" s="392"/>
      <c r="AI222" s="392"/>
      <c r="AJ222" s="392"/>
      <c r="AK222" s="392"/>
      <c r="AL222" s="392"/>
      <c r="AM222" s="392"/>
      <c r="AN222" s="392"/>
      <c r="AO222" s="392"/>
      <c r="AP222" s="392"/>
      <c r="AQ222" s="392"/>
      <c r="AR222" s="392"/>
      <c r="AS222" s="392"/>
      <c r="AT222" s="392"/>
      <c r="AU222" s="392"/>
      <c r="AV222" s="392"/>
      <c r="AW222" s="392"/>
      <c r="AX222" s="392"/>
      <c r="AY222" s="392"/>
    </row>
    <row r="223" spans="2:51" s="416" customFormat="1" ht="12.75" customHeight="1">
      <c r="B223" s="414" t="s">
        <v>3334</v>
      </c>
      <c r="C223" s="415"/>
      <c r="D223" s="413">
        <f>D207+D221</f>
        <v>60287.67500000028</v>
      </c>
      <c r="E223" s="413">
        <f>E207+E221</f>
        <v>-468136.9990000003</v>
      </c>
      <c r="F223" s="413">
        <f>F207+F221</f>
        <v>174283.85600000015</v>
      </c>
      <c r="G223" s="413">
        <f>G207+G221</f>
        <v>1059589.8929999997</v>
      </c>
      <c r="H223" s="392"/>
      <c r="I223" s="392"/>
      <c r="J223" s="392"/>
      <c r="K223" s="392"/>
      <c r="L223" s="392"/>
      <c r="M223" s="392"/>
      <c r="N223" s="392"/>
      <c r="O223" s="392"/>
      <c r="P223" s="392"/>
      <c r="Q223" s="392"/>
      <c r="R223" s="392"/>
      <c r="S223" s="392"/>
      <c r="T223" s="392"/>
      <c r="U223" s="392"/>
      <c r="V223" s="392"/>
      <c r="W223" s="392"/>
      <c r="X223" s="392"/>
      <c r="Y223" s="392"/>
      <c r="Z223" s="392"/>
      <c r="AA223" s="392"/>
      <c r="AB223" s="392"/>
      <c r="AC223" s="392"/>
      <c r="AD223" s="392"/>
      <c r="AE223" s="392"/>
      <c r="AF223" s="392"/>
      <c r="AG223" s="392"/>
      <c r="AH223" s="392"/>
      <c r="AI223" s="392"/>
      <c r="AJ223" s="392"/>
      <c r="AK223" s="392"/>
      <c r="AL223" s="392"/>
      <c r="AM223" s="392"/>
      <c r="AN223" s="392"/>
      <c r="AO223" s="392"/>
      <c r="AP223" s="392"/>
      <c r="AQ223" s="392"/>
      <c r="AR223" s="392"/>
      <c r="AS223" s="392"/>
      <c r="AT223" s="392"/>
      <c r="AU223" s="392"/>
      <c r="AV223" s="392"/>
      <c r="AW223" s="392"/>
      <c r="AX223" s="392"/>
      <c r="AY223" s="392"/>
    </row>
    <row r="224" spans="2:51" ht="12.75" customHeight="1">
      <c r="B224" s="408"/>
      <c r="C224" s="409"/>
      <c r="D224" s="411"/>
      <c r="E224" s="411"/>
      <c r="F224" s="411"/>
      <c r="G224" s="411"/>
      <c r="H224" s="392"/>
      <c r="I224" s="392"/>
      <c r="J224" s="392"/>
      <c r="K224" s="392"/>
      <c r="L224" s="392"/>
      <c r="M224" s="392"/>
      <c r="N224" s="392"/>
      <c r="O224" s="392"/>
      <c r="P224" s="392"/>
      <c r="Q224" s="392"/>
      <c r="R224" s="392"/>
      <c r="S224" s="392"/>
      <c r="T224" s="392"/>
      <c r="U224" s="392"/>
      <c r="V224" s="392"/>
      <c r="W224" s="392"/>
      <c r="X224" s="392"/>
      <c r="Y224" s="392"/>
      <c r="Z224" s="392"/>
      <c r="AA224" s="392"/>
      <c r="AB224" s="392"/>
      <c r="AC224" s="392"/>
      <c r="AD224" s="392"/>
      <c r="AE224" s="392"/>
      <c r="AF224" s="392"/>
      <c r="AG224" s="392"/>
      <c r="AH224" s="392"/>
      <c r="AI224" s="392"/>
      <c r="AJ224" s="392"/>
      <c r="AK224" s="392"/>
      <c r="AL224" s="392"/>
      <c r="AM224" s="392"/>
      <c r="AN224" s="392"/>
      <c r="AO224" s="392"/>
      <c r="AP224" s="392"/>
      <c r="AQ224" s="392"/>
      <c r="AR224" s="392"/>
      <c r="AS224" s="392"/>
      <c r="AT224" s="392"/>
      <c r="AU224" s="392"/>
      <c r="AV224" s="392"/>
      <c r="AW224" s="392"/>
      <c r="AX224" s="392"/>
      <c r="AY224" s="392"/>
    </row>
    <row r="225" spans="1:51" s="379" customFormat="1" ht="38.25" hidden="1" outlineLevel="1">
      <c r="A225" s="379" t="s">
        <v>90</v>
      </c>
      <c r="B225" s="379" t="s">
        <v>91</v>
      </c>
      <c r="C225" s="380" t="s">
        <v>92</v>
      </c>
      <c r="D225" s="381">
        <v>-1921626.655</v>
      </c>
      <c r="E225" s="381">
        <v>-1636053.436</v>
      </c>
      <c r="F225" s="379">
        <v>-1148734.411</v>
      </c>
      <c r="G225" s="379">
        <v>1717536.767</v>
      </c>
      <c r="H225" s="382"/>
      <c r="I225" s="382"/>
      <c r="J225" s="382"/>
      <c r="K225" s="382"/>
      <c r="L225" s="382"/>
      <c r="M225" s="382"/>
      <c r="N225" s="382"/>
      <c r="O225" s="382"/>
      <c r="P225" s="382"/>
      <c r="Q225" s="382"/>
      <c r="R225" s="382"/>
      <c r="S225" s="382"/>
      <c r="T225" s="382"/>
      <c r="U225" s="382"/>
      <c r="V225" s="382"/>
      <c r="W225" s="382"/>
      <c r="X225" s="382"/>
      <c r="Y225" s="382"/>
      <c r="Z225" s="382"/>
      <c r="AA225" s="382"/>
      <c r="AB225" s="382"/>
      <c r="AC225" s="382"/>
      <c r="AD225" s="382"/>
      <c r="AE225" s="382"/>
      <c r="AF225" s="382"/>
      <c r="AG225" s="382"/>
      <c r="AH225" s="382"/>
      <c r="AI225" s="382"/>
      <c r="AJ225" s="382"/>
      <c r="AK225" s="382"/>
      <c r="AL225" s="382"/>
      <c r="AM225" s="382"/>
      <c r="AN225" s="382"/>
      <c r="AO225" s="382"/>
      <c r="AP225" s="382"/>
      <c r="AQ225" s="382"/>
      <c r="AR225" s="382"/>
      <c r="AS225" s="382"/>
      <c r="AT225" s="382"/>
      <c r="AU225" s="382"/>
      <c r="AV225" s="382"/>
      <c r="AW225" s="382"/>
      <c r="AX225" s="382"/>
      <c r="AY225" s="382"/>
    </row>
    <row r="226" spans="1:8" s="382" customFormat="1" ht="12.75" customHeight="1" collapsed="1">
      <c r="A226" s="417" t="s">
        <v>93</v>
      </c>
      <c r="B226" s="23" t="s">
        <v>3782</v>
      </c>
      <c r="C226" s="72"/>
      <c r="D226" s="39">
        <v>-1921626.655</v>
      </c>
      <c r="E226" s="39">
        <v>-1636053.436</v>
      </c>
      <c r="F226" s="39">
        <v>-1148734.411</v>
      </c>
      <c r="G226" s="39">
        <v>1717536.767</v>
      </c>
      <c r="H226" s="418"/>
    </row>
    <row r="227" spans="1:8" s="382" customFormat="1" ht="12.75" customHeight="1">
      <c r="A227" s="417"/>
      <c r="B227" s="23"/>
      <c r="C227" s="72"/>
      <c r="D227" s="39"/>
      <c r="E227" s="39"/>
      <c r="F227" s="39"/>
      <c r="G227" s="39"/>
      <c r="H227" s="418"/>
    </row>
    <row r="228" spans="1:8" s="382" customFormat="1" ht="12.75" customHeight="1">
      <c r="A228" s="417"/>
      <c r="B228" s="23" t="s">
        <v>3733</v>
      </c>
      <c r="C228" s="72"/>
      <c r="D228" s="419">
        <f>D223+D226</f>
        <v>-1861338.9799999997</v>
      </c>
      <c r="E228" s="419">
        <f>E223+E226</f>
        <v>-2104190.4350000005</v>
      </c>
      <c r="F228" s="419">
        <f>F223+F226</f>
        <v>-974450.5549999999</v>
      </c>
      <c r="G228" s="419">
        <f>G223+G226</f>
        <v>2777126.6599999997</v>
      </c>
      <c r="H228" s="418"/>
    </row>
    <row r="229" spans="3:8" s="382" customFormat="1" ht="12.75">
      <c r="C229" s="420"/>
      <c r="D229" s="421"/>
      <c r="E229" s="421"/>
      <c r="F229" s="421"/>
      <c r="G229" s="421"/>
      <c r="H229" s="422"/>
    </row>
    <row r="230" spans="3:7" s="382" customFormat="1" ht="12.75">
      <c r="C230" s="420"/>
      <c r="D230" s="392"/>
      <c r="E230" s="392"/>
      <c r="F230" s="392"/>
      <c r="G230" s="392"/>
    </row>
    <row r="231" spans="3:7" s="382" customFormat="1" ht="12.75">
      <c r="C231" s="420"/>
      <c r="D231" s="392"/>
      <c r="E231" s="392"/>
      <c r="F231" s="392"/>
      <c r="G231" s="392"/>
    </row>
    <row r="232" spans="3:7" s="382" customFormat="1" ht="12.75">
      <c r="C232" s="420"/>
      <c r="D232" s="392"/>
      <c r="E232" s="392"/>
      <c r="F232" s="392"/>
      <c r="G232" s="392"/>
    </row>
    <row r="233" spans="3:7" s="382" customFormat="1" ht="12.75">
      <c r="C233" s="420"/>
      <c r="D233" s="392"/>
      <c r="E233" s="392"/>
      <c r="F233" s="392"/>
      <c r="G233" s="392"/>
    </row>
    <row r="234" spans="3:7" s="382" customFormat="1" ht="12.75">
      <c r="C234" s="420"/>
      <c r="D234" s="392"/>
      <c r="E234" s="392"/>
      <c r="F234" s="392"/>
      <c r="G234" s="392"/>
    </row>
    <row r="235" spans="3:7" s="382" customFormat="1" ht="12.75">
      <c r="C235" s="420"/>
      <c r="D235" s="392"/>
      <c r="E235" s="392"/>
      <c r="F235" s="392"/>
      <c r="G235" s="392"/>
    </row>
    <row r="236" spans="3:7" s="382" customFormat="1" ht="12.75">
      <c r="C236" s="420"/>
      <c r="D236" s="392"/>
      <c r="E236" s="392"/>
      <c r="F236" s="392"/>
      <c r="G236" s="392"/>
    </row>
    <row r="237" spans="3:7" s="382" customFormat="1" ht="12.75">
      <c r="C237" s="420"/>
      <c r="D237" s="392"/>
      <c r="E237" s="392"/>
      <c r="F237" s="392"/>
      <c r="G237" s="392"/>
    </row>
    <row r="238" spans="3:7" s="382" customFormat="1" ht="12.75">
      <c r="C238" s="420"/>
      <c r="D238" s="392"/>
      <c r="E238" s="392"/>
      <c r="F238" s="392"/>
      <c r="G238" s="392"/>
    </row>
    <row r="239" spans="3:7" s="382" customFormat="1" ht="12.75">
      <c r="C239" s="420"/>
      <c r="D239" s="392"/>
      <c r="E239" s="392"/>
      <c r="F239" s="392"/>
      <c r="G239" s="392"/>
    </row>
    <row r="240" spans="3:7" s="382" customFormat="1" ht="12.75">
      <c r="C240" s="420"/>
      <c r="D240" s="392"/>
      <c r="E240" s="392"/>
      <c r="F240" s="392"/>
      <c r="G240" s="392"/>
    </row>
    <row r="241" spans="3:7" s="382" customFormat="1" ht="12.75">
      <c r="C241" s="420"/>
      <c r="D241" s="392"/>
      <c r="E241" s="392"/>
      <c r="F241" s="392"/>
      <c r="G241" s="392"/>
    </row>
    <row r="242" spans="3:7" s="382" customFormat="1" ht="12.75">
      <c r="C242" s="420"/>
      <c r="D242" s="392"/>
      <c r="E242" s="392"/>
      <c r="F242" s="392"/>
      <c r="G242" s="392"/>
    </row>
    <row r="243" spans="3:7" s="382" customFormat="1" ht="12.75">
      <c r="C243" s="420"/>
      <c r="D243" s="392"/>
      <c r="E243" s="392"/>
      <c r="F243" s="392"/>
      <c r="G243" s="392"/>
    </row>
    <row r="244" spans="3:7" s="382" customFormat="1" ht="12.75">
      <c r="C244" s="420"/>
      <c r="D244" s="392"/>
      <c r="E244" s="392"/>
      <c r="F244" s="392"/>
      <c r="G244" s="392"/>
    </row>
    <row r="245" spans="3:7" s="382" customFormat="1" ht="12.75">
      <c r="C245" s="420"/>
      <c r="D245" s="392"/>
      <c r="E245" s="392"/>
      <c r="F245" s="392"/>
      <c r="G245" s="392"/>
    </row>
    <row r="246" spans="3:7" s="382" customFormat="1" ht="12.75">
      <c r="C246" s="420"/>
      <c r="D246" s="392"/>
      <c r="E246" s="392"/>
      <c r="F246" s="392"/>
      <c r="G246" s="392"/>
    </row>
    <row r="247" spans="3:7" s="382" customFormat="1" ht="12.75">
      <c r="C247" s="420"/>
      <c r="D247" s="392"/>
      <c r="E247" s="392"/>
      <c r="F247" s="392"/>
      <c r="G247" s="392"/>
    </row>
    <row r="248" spans="3:7" s="382" customFormat="1" ht="12.75">
      <c r="C248" s="420"/>
      <c r="D248" s="392"/>
      <c r="E248" s="392"/>
      <c r="F248" s="392"/>
      <c r="G248" s="392"/>
    </row>
    <row r="249" spans="3:7" s="382" customFormat="1" ht="12.75">
      <c r="C249" s="420"/>
      <c r="D249" s="392"/>
      <c r="E249" s="392"/>
      <c r="F249" s="392"/>
      <c r="G249" s="392"/>
    </row>
    <row r="250" spans="3:7" s="382" customFormat="1" ht="12.75">
      <c r="C250" s="420"/>
      <c r="D250" s="392"/>
      <c r="E250" s="392"/>
      <c r="F250" s="392"/>
      <c r="G250" s="392"/>
    </row>
    <row r="251" spans="3:7" s="382" customFormat="1" ht="12.75">
      <c r="C251" s="420"/>
      <c r="D251" s="392"/>
      <c r="E251" s="392"/>
      <c r="F251" s="392"/>
      <c r="G251" s="392"/>
    </row>
    <row r="252" spans="3:7" s="382" customFormat="1" ht="12.75">
      <c r="C252" s="420"/>
      <c r="D252" s="392"/>
      <c r="E252" s="392"/>
      <c r="F252" s="392"/>
      <c r="G252" s="392"/>
    </row>
    <row r="253" spans="3:7" s="382" customFormat="1" ht="12.75">
      <c r="C253" s="420"/>
      <c r="D253" s="392"/>
      <c r="E253" s="392"/>
      <c r="F253" s="392"/>
      <c r="G253" s="392"/>
    </row>
    <row r="254" spans="3:7" s="382" customFormat="1" ht="12.75">
      <c r="C254" s="420"/>
      <c r="D254" s="392"/>
      <c r="E254" s="392"/>
      <c r="F254" s="392"/>
      <c r="G254" s="392"/>
    </row>
    <row r="255" spans="3:7" s="382" customFormat="1" ht="12.75">
      <c r="C255" s="420"/>
      <c r="D255" s="392"/>
      <c r="E255" s="392"/>
      <c r="F255" s="392"/>
      <c r="G255" s="392"/>
    </row>
    <row r="256" spans="3:7" s="382" customFormat="1" ht="12.75">
      <c r="C256" s="420"/>
      <c r="D256" s="392"/>
      <c r="E256" s="392"/>
      <c r="F256" s="392"/>
      <c r="G256" s="392"/>
    </row>
    <row r="257" spans="3:7" s="382" customFormat="1" ht="12.75">
      <c r="C257" s="420"/>
      <c r="D257" s="392"/>
      <c r="E257" s="392"/>
      <c r="F257" s="392"/>
      <c r="G257" s="392"/>
    </row>
    <row r="258" spans="3:7" s="382" customFormat="1" ht="12.75">
      <c r="C258" s="420"/>
      <c r="D258" s="392"/>
      <c r="E258" s="392"/>
      <c r="F258" s="392"/>
      <c r="G258" s="392"/>
    </row>
    <row r="259" spans="3:7" s="382" customFormat="1" ht="12.75">
      <c r="C259" s="420"/>
      <c r="D259" s="392"/>
      <c r="E259" s="392"/>
      <c r="F259" s="392"/>
      <c r="G259" s="392"/>
    </row>
    <row r="260" spans="3:7" s="382" customFormat="1" ht="12.75">
      <c r="C260" s="420"/>
      <c r="D260" s="392"/>
      <c r="E260" s="392"/>
      <c r="F260" s="392"/>
      <c r="G260" s="392"/>
    </row>
    <row r="261" spans="3:7" s="382" customFormat="1" ht="12.75">
      <c r="C261" s="420"/>
      <c r="D261" s="392"/>
      <c r="E261" s="392"/>
      <c r="F261" s="392"/>
      <c r="G261" s="392"/>
    </row>
    <row r="262" spans="3:7" s="382" customFormat="1" ht="12.75">
      <c r="C262" s="420"/>
      <c r="D262" s="392"/>
      <c r="E262" s="392"/>
      <c r="F262" s="392"/>
      <c r="G262" s="392"/>
    </row>
    <row r="263" spans="3:7" s="382" customFormat="1" ht="12.75">
      <c r="C263" s="420"/>
      <c r="D263" s="392"/>
      <c r="E263" s="392"/>
      <c r="F263" s="392"/>
      <c r="G263" s="392"/>
    </row>
    <row r="264" spans="3:7" s="382" customFormat="1" ht="12.75">
      <c r="C264" s="420"/>
      <c r="D264" s="392"/>
      <c r="E264" s="392"/>
      <c r="F264" s="392"/>
      <c r="G264" s="392"/>
    </row>
    <row r="265" spans="3:7" s="382" customFormat="1" ht="12.75">
      <c r="C265" s="420"/>
      <c r="D265" s="392"/>
      <c r="E265" s="392"/>
      <c r="F265" s="392"/>
      <c r="G265" s="392"/>
    </row>
    <row r="266" spans="3:7" s="382" customFormat="1" ht="12.75">
      <c r="C266" s="420"/>
      <c r="D266" s="392"/>
      <c r="E266" s="392"/>
      <c r="F266" s="392"/>
      <c r="G266" s="392"/>
    </row>
    <row r="267" spans="3:7" s="382" customFormat="1" ht="12.75">
      <c r="C267" s="420"/>
      <c r="D267" s="392"/>
      <c r="E267" s="392"/>
      <c r="F267" s="392"/>
      <c r="G267" s="392"/>
    </row>
    <row r="268" spans="3:7" s="382" customFormat="1" ht="12.75">
      <c r="C268" s="420"/>
      <c r="D268" s="392"/>
      <c r="E268" s="392"/>
      <c r="F268" s="392"/>
      <c r="G268" s="392"/>
    </row>
    <row r="269" spans="3:7" s="382" customFormat="1" ht="12.75">
      <c r="C269" s="420"/>
      <c r="D269" s="392"/>
      <c r="E269" s="392"/>
      <c r="F269" s="392"/>
      <c r="G269" s="392"/>
    </row>
    <row r="270" spans="3:7" s="382" customFormat="1" ht="12.75">
      <c r="C270" s="420"/>
      <c r="D270" s="392"/>
      <c r="E270" s="392"/>
      <c r="F270" s="392"/>
      <c r="G270" s="392"/>
    </row>
    <row r="271" spans="3:7" s="382" customFormat="1" ht="12.75">
      <c r="C271" s="420"/>
      <c r="D271" s="392"/>
      <c r="E271" s="392"/>
      <c r="F271" s="392"/>
      <c r="G271" s="392"/>
    </row>
    <row r="272" spans="3:7" s="382" customFormat="1" ht="12.75">
      <c r="C272" s="420"/>
      <c r="D272" s="392"/>
      <c r="E272" s="392"/>
      <c r="F272" s="392"/>
      <c r="G272" s="392"/>
    </row>
    <row r="273" spans="3:7" s="382" customFormat="1" ht="12.75">
      <c r="C273" s="420"/>
      <c r="D273" s="392"/>
      <c r="E273" s="392"/>
      <c r="F273" s="392"/>
      <c r="G273" s="392"/>
    </row>
    <row r="274" spans="3:7" s="382" customFormat="1" ht="12.75">
      <c r="C274" s="420"/>
      <c r="D274" s="392"/>
      <c r="E274" s="392"/>
      <c r="F274" s="392"/>
      <c r="G274" s="392"/>
    </row>
    <row r="275" spans="3:7" s="382" customFormat="1" ht="12.75">
      <c r="C275" s="420"/>
      <c r="D275" s="392"/>
      <c r="E275" s="392"/>
      <c r="F275" s="392"/>
      <c r="G275" s="392"/>
    </row>
    <row r="276" spans="3:7" s="382" customFormat="1" ht="12.75">
      <c r="C276" s="420"/>
      <c r="D276" s="392"/>
      <c r="E276" s="392"/>
      <c r="F276" s="392"/>
      <c r="G276" s="392"/>
    </row>
    <row r="277" spans="3:7" s="382" customFormat="1" ht="12.75">
      <c r="C277" s="420"/>
      <c r="D277" s="392"/>
      <c r="E277" s="392"/>
      <c r="F277" s="392"/>
      <c r="G277" s="392"/>
    </row>
    <row r="278" spans="3:7" s="382" customFormat="1" ht="12.75">
      <c r="C278" s="420"/>
      <c r="D278" s="392"/>
      <c r="E278" s="392"/>
      <c r="F278" s="392"/>
      <c r="G278" s="392"/>
    </row>
    <row r="279" spans="3:7" s="382" customFormat="1" ht="12.75">
      <c r="C279" s="420"/>
      <c r="D279" s="392"/>
      <c r="E279" s="392"/>
      <c r="F279" s="392"/>
      <c r="G279" s="392"/>
    </row>
    <row r="280" spans="3:7" s="382" customFormat="1" ht="12.75">
      <c r="C280" s="420"/>
      <c r="D280" s="392"/>
      <c r="E280" s="392"/>
      <c r="F280" s="392"/>
      <c r="G280" s="392"/>
    </row>
    <row r="281" spans="3:7" s="382" customFormat="1" ht="12.75">
      <c r="C281" s="420"/>
      <c r="D281" s="392"/>
      <c r="E281" s="392"/>
      <c r="F281" s="392"/>
      <c r="G281" s="392"/>
    </row>
    <row r="282" spans="3:7" s="382" customFormat="1" ht="12.75">
      <c r="C282" s="420"/>
      <c r="D282" s="392"/>
      <c r="E282" s="392"/>
      <c r="F282" s="392"/>
      <c r="G282" s="392"/>
    </row>
    <row r="283" spans="3:7" s="382" customFormat="1" ht="12.75">
      <c r="C283" s="420"/>
      <c r="D283" s="392"/>
      <c r="E283" s="392"/>
      <c r="F283" s="392"/>
      <c r="G283" s="392"/>
    </row>
    <row r="284" spans="3:7" s="382" customFormat="1" ht="12.75">
      <c r="C284" s="420"/>
      <c r="D284" s="392"/>
      <c r="E284" s="392"/>
      <c r="F284" s="392"/>
      <c r="G284" s="392"/>
    </row>
    <row r="285" spans="3:7" s="382" customFormat="1" ht="12.75">
      <c r="C285" s="420"/>
      <c r="D285" s="392"/>
      <c r="E285" s="392"/>
      <c r="F285" s="392"/>
      <c r="G285" s="392"/>
    </row>
    <row r="286" spans="3:7" s="382" customFormat="1" ht="12.75">
      <c r="C286" s="420"/>
      <c r="D286" s="392"/>
      <c r="E286" s="392"/>
      <c r="F286" s="392"/>
      <c r="G286" s="392"/>
    </row>
    <row r="287" spans="3:7" s="382" customFormat="1" ht="12.75">
      <c r="C287" s="420"/>
      <c r="D287" s="392"/>
      <c r="E287" s="392"/>
      <c r="F287" s="392"/>
      <c r="G287" s="392"/>
    </row>
    <row r="288" spans="3:7" s="382" customFormat="1" ht="12.75">
      <c r="C288" s="420"/>
      <c r="D288" s="392"/>
      <c r="E288" s="392"/>
      <c r="F288" s="392"/>
      <c r="G288" s="392"/>
    </row>
    <row r="289" spans="3:7" s="382" customFormat="1" ht="12.75">
      <c r="C289" s="420"/>
      <c r="D289" s="392"/>
      <c r="E289" s="392"/>
      <c r="F289" s="392"/>
      <c r="G289" s="392"/>
    </row>
    <row r="290" spans="3:7" s="382" customFormat="1" ht="12.75">
      <c r="C290" s="420"/>
      <c r="D290" s="392"/>
      <c r="E290" s="392"/>
      <c r="F290" s="392"/>
      <c r="G290" s="392"/>
    </row>
    <row r="291" spans="3:7" s="382" customFormat="1" ht="12.75">
      <c r="C291" s="420"/>
      <c r="D291" s="392"/>
      <c r="E291" s="392"/>
      <c r="F291" s="392"/>
      <c r="G291" s="392"/>
    </row>
    <row r="292" spans="3:7" s="382" customFormat="1" ht="12.75">
      <c r="C292" s="420"/>
      <c r="D292" s="392"/>
      <c r="E292" s="392"/>
      <c r="F292" s="392"/>
      <c r="G292" s="392"/>
    </row>
    <row r="293" spans="3:7" s="382" customFormat="1" ht="12.75">
      <c r="C293" s="420"/>
      <c r="D293" s="392"/>
      <c r="E293" s="392"/>
      <c r="F293" s="392"/>
      <c r="G293" s="392"/>
    </row>
    <row r="294" spans="3:7" s="382" customFormat="1" ht="12.75">
      <c r="C294" s="420"/>
      <c r="D294" s="392"/>
      <c r="E294" s="392"/>
      <c r="F294" s="392"/>
      <c r="G294" s="392"/>
    </row>
    <row r="295" spans="3:7" s="382" customFormat="1" ht="12.75">
      <c r="C295" s="420"/>
      <c r="D295" s="392"/>
      <c r="E295" s="392"/>
      <c r="F295" s="392"/>
      <c r="G295" s="392"/>
    </row>
    <row r="296" spans="3:7" s="382" customFormat="1" ht="12.75">
      <c r="C296" s="420"/>
      <c r="D296" s="392"/>
      <c r="E296" s="392"/>
      <c r="F296" s="392"/>
      <c r="G296" s="392"/>
    </row>
    <row r="297" spans="3:7" s="382" customFormat="1" ht="12.75">
      <c r="C297" s="420"/>
      <c r="D297" s="392"/>
      <c r="E297" s="392"/>
      <c r="F297" s="392"/>
      <c r="G297" s="392"/>
    </row>
    <row r="298" spans="3:7" s="382" customFormat="1" ht="12.75">
      <c r="C298" s="420"/>
      <c r="D298" s="392"/>
      <c r="E298" s="392"/>
      <c r="F298" s="392"/>
      <c r="G298" s="392"/>
    </row>
    <row r="299" spans="3:7" s="382" customFormat="1" ht="12.75">
      <c r="C299" s="420"/>
      <c r="D299" s="392"/>
      <c r="E299" s="392"/>
      <c r="F299" s="392"/>
      <c r="G299" s="392"/>
    </row>
    <row r="300" spans="3:7" s="382" customFormat="1" ht="12.75">
      <c r="C300" s="420"/>
      <c r="D300" s="392"/>
      <c r="E300" s="392"/>
      <c r="F300" s="392"/>
      <c r="G300" s="392"/>
    </row>
    <row r="301" spans="3:7" s="382" customFormat="1" ht="12.75">
      <c r="C301" s="420"/>
      <c r="D301" s="392"/>
      <c r="E301" s="392"/>
      <c r="F301" s="392"/>
      <c r="G301" s="392"/>
    </row>
    <row r="302" spans="3:7" s="382" customFormat="1" ht="12.75">
      <c r="C302" s="420"/>
      <c r="D302" s="392"/>
      <c r="E302" s="392"/>
      <c r="F302" s="392"/>
      <c r="G302" s="392"/>
    </row>
    <row r="303" spans="3:7" s="382" customFormat="1" ht="12.75">
      <c r="C303" s="420"/>
      <c r="D303" s="392"/>
      <c r="E303" s="392"/>
      <c r="F303" s="392"/>
      <c r="G303" s="392"/>
    </row>
    <row r="304" spans="3:7" s="382" customFormat="1" ht="12.75">
      <c r="C304" s="420"/>
      <c r="D304" s="392"/>
      <c r="E304" s="392"/>
      <c r="F304" s="392"/>
      <c r="G304" s="392"/>
    </row>
    <row r="305" spans="3:7" s="382" customFormat="1" ht="12.75">
      <c r="C305" s="420"/>
      <c r="D305" s="392"/>
      <c r="E305" s="392"/>
      <c r="F305" s="392"/>
      <c r="G305" s="392"/>
    </row>
    <row r="306" spans="3:7" s="382" customFormat="1" ht="12.75">
      <c r="C306" s="420"/>
      <c r="D306" s="392"/>
      <c r="E306" s="392"/>
      <c r="F306" s="392"/>
      <c r="G306" s="392"/>
    </row>
    <row r="307" spans="3:7" s="382" customFormat="1" ht="12.75">
      <c r="C307" s="420"/>
      <c r="D307" s="392"/>
      <c r="E307" s="392"/>
      <c r="F307" s="392"/>
      <c r="G307" s="392"/>
    </row>
    <row r="308" spans="3:7" s="382" customFormat="1" ht="12.75">
      <c r="C308" s="420"/>
      <c r="D308" s="392"/>
      <c r="E308" s="392"/>
      <c r="F308" s="392"/>
      <c r="G308" s="392"/>
    </row>
    <row r="309" spans="3:7" s="382" customFormat="1" ht="12.75">
      <c r="C309" s="420"/>
      <c r="D309" s="392"/>
      <c r="E309" s="392"/>
      <c r="F309" s="392"/>
      <c r="G309" s="392"/>
    </row>
    <row r="310" spans="3:7" s="382" customFormat="1" ht="12.75">
      <c r="C310" s="420"/>
      <c r="D310" s="392"/>
      <c r="E310" s="392"/>
      <c r="F310" s="392"/>
      <c r="G310" s="392"/>
    </row>
    <row r="311" spans="3:7" s="382" customFormat="1" ht="12.75">
      <c r="C311" s="420"/>
      <c r="D311" s="392"/>
      <c r="E311" s="392"/>
      <c r="F311" s="392"/>
      <c r="G311" s="392"/>
    </row>
    <row r="312" spans="3:7" s="382" customFormat="1" ht="12.75">
      <c r="C312" s="420"/>
      <c r="D312" s="392"/>
      <c r="E312" s="392"/>
      <c r="F312" s="392"/>
      <c r="G312" s="392"/>
    </row>
    <row r="313" spans="3:7" s="382" customFormat="1" ht="12.75">
      <c r="C313" s="420"/>
      <c r="D313" s="392"/>
      <c r="E313" s="392"/>
      <c r="F313" s="392"/>
      <c r="G313" s="392"/>
    </row>
    <row r="314" spans="3:7" s="382" customFormat="1" ht="12.75">
      <c r="C314" s="420"/>
      <c r="D314" s="392"/>
      <c r="E314" s="392"/>
      <c r="F314" s="392"/>
      <c r="G314" s="392"/>
    </row>
    <row r="315" spans="3:7" s="382" customFormat="1" ht="12.75">
      <c r="C315" s="420"/>
      <c r="D315" s="392"/>
      <c r="E315" s="392"/>
      <c r="F315" s="392"/>
      <c r="G315" s="392"/>
    </row>
    <row r="316" spans="3:7" s="382" customFormat="1" ht="12.75">
      <c r="C316" s="420"/>
      <c r="D316" s="392"/>
      <c r="E316" s="392"/>
      <c r="F316" s="392"/>
      <c r="G316" s="392"/>
    </row>
    <row r="317" spans="3:7" s="382" customFormat="1" ht="12.75">
      <c r="C317" s="420"/>
      <c r="D317" s="392"/>
      <c r="E317" s="392"/>
      <c r="F317" s="392"/>
      <c r="G317" s="392"/>
    </row>
    <row r="318" spans="3:7" s="382" customFormat="1" ht="12.75">
      <c r="C318" s="420"/>
      <c r="D318" s="392"/>
      <c r="E318" s="392"/>
      <c r="F318" s="392"/>
      <c r="G318" s="392"/>
    </row>
    <row r="319" spans="3:7" s="382" customFormat="1" ht="12.75">
      <c r="C319" s="420"/>
      <c r="D319" s="392"/>
      <c r="E319" s="392"/>
      <c r="F319" s="392"/>
      <c r="G319" s="392"/>
    </row>
    <row r="320" spans="3:7" s="382" customFormat="1" ht="12.75">
      <c r="C320" s="420"/>
      <c r="D320" s="392"/>
      <c r="E320" s="392"/>
      <c r="F320" s="392"/>
      <c r="G320" s="392"/>
    </row>
    <row r="321" spans="3:7" s="382" customFormat="1" ht="12.75">
      <c r="C321" s="420"/>
      <c r="D321" s="392"/>
      <c r="E321" s="392"/>
      <c r="F321" s="392"/>
      <c r="G321" s="392"/>
    </row>
    <row r="322" spans="3:7" s="382" customFormat="1" ht="12.75">
      <c r="C322" s="420"/>
      <c r="D322" s="392"/>
      <c r="E322" s="392"/>
      <c r="F322" s="392"/>
      <c r="G322" s="392"/>
    </row>
    <row r="323" spans="3:7" s="382" customFormat="1" ht="12.75">
      <c r="C323" s="420"/>
      <c r="D323" s="392"/>
      <c r="E323" s="392"/>
      <c r="F323" s="392"/>
      <c r="G323" s="392"/>
    </row>
    <row r="324" spans="3:7" s="382" customFormat="1" ht="12.75">
      <c r="C324" s="420"/>
      <c r="D324" s="392"/>
      <c r="E324" s="392"/>
      <c r="F324" s="392"/>
      <c r="G324" s="392"/>
    </row>
    <row r="325" spans="3:7" s="382" customFormat="1" ht="12.75">
      <c r="C325" s="420"/>
      <c r="D325" s="392"/>
      <c r="E325" s="392"/>
      <c r="F325" s="392"/>
      <c r="G325" s="392"/>
    </row>
    <row r="326" spans="3:7" s="382" customFormat="1" ht="12.75">
      <c r="C326" s="420"/>
      <c r="D326" s="392"/>
      <c r="E326" s="392"/>
      <c r="F326" s="392"/>
      <c r="G326" s="392"/>
    </row>
    <row r="327" spans="3:7" s="382" customFormat="1" ht="12.75">
      <c r="C327" s="420"/>
      <c r="D327" s="392"/>
      <c r="E327" s="392"/>
      <c r="F327" s="392"/>
      <c r="G327" s="392"/>
    </row>
    <row r="328" spans="3:7" s="382" customFormat="1" ht="12.75">
      <c r="C328" s="420"/>
      <c r="D328" s="392"/>
      <c r="E328" s="392"/>
      <c r="F328" s="392"/>
      <c r="G328" s="392"/>
    </row>
    <row r="329" spans="3:7" s="382" customFormat="1" ht="12.75">
      <c r="C329" s="420"/>
      <c r="D329" s="392"/>
      <c r="E329" s="392"/>
      <c r="F329" s="392"/>
      <c r="G329" s="392"/>
    </row>
    <row r="330" spans="3:7" s="382" customFormat="1" ht="12.75">
      <c r="C330" s="420"/>
      <c r="D330" s="392"/>
      <c r="E330" s="392"/>
      <c r="F330" s="392"/>
      <c r="G330" s="392"/>
    </row>
    <row r="331" spans="3:7" s="382" customFormat="1" ht="12.75">
      <c r="C331" s="420"/>
      <c r="D331" s="392"/>
      <c r="E331" s="392"/>
      <c r="F331" s="392"/>
      <c r="G331" s="392"/>
    </row>
    <row r="332" spans="3:7" s="382" customFormat="1" ht="12.75">
      <c r="C332" s="420"/>
      <c r="D332" s="392"/>
      <c r="E332" s="392"/>
      <c r="F332" s="392"/>
      <c r="G332" s="392"/>
    </row>
    <row r="333" spans="3:7" s="382" customFormat="1" ht="12.75">
      <c r="C333" s="420"/>
      <c r="D333" s="392"/>
      <c r="E333" s="392"/>
      <c r="F333" s="392"/>
      <c r="G333" s="392"/>
    </row>
    <row r="334" spans="3:7" s="382" customFormat="1" ht="12.75">
      <c r="C334" s="420"/>
      <c r="D334" s="392"/>
      <c r="E334" s="392"/>
      <c r="F334" s="392"/>
      <c r="G334" s="392"/>
    </row>
    <row r="335" spans="3:7" s="382" customFormat="1" ht="12.75">
      <c r="C335" s="420"/>
      <c r="D335" s="392"/>
      <c r="E335" s="392"/>
      <c r="F335" s="392"/>
      <c r="G335" s="392"/>
    </row>
    <row r="336" spans="3:7" s="382" customFormat="1" ht="12.75">
      <c r="C336" s="420"/>
      <c r="D336" s="392"/>
      <c r="E336" s="392"/>
      <c r="F336" s="392"/>
      <c r="G336" s="392"/>
    </row>
    <row r="337" spans="3:7" s="382" customFormat="1" ht="12.75">
      <c r="C337" s="420"/>
      <c r="D337" s="392"/>
      <c r="E337" s="392"/>
      <c r="F337" s="392"/>
      <c r="G337" s="392"/>
    </row>
    <row r="338" spans="3:7" s="382" customFormat="1" ht="12.75">
      <c r="C338" s="420"/>
      <c r="D338" s="392"/>
      <c r="E338" s="392"/>
      <c r="F338" s="392"/>
      <c r="G338" s="392"/>
    </row>
    <row r="339" spans="3:7" s="382" customFormat="1" ht="12.75">
      <c r="C339" s="420"/>
      <c r="D339" s="392"/>
      <c r="E339" s="392"/>
      <c r="F339" s="392"/>
      <c r="G339" s="392"/>
    </row>
    <row r="340" spans="3:7" s="382" customFormat="1" ht="12.75">
      <c r="C340" s="420"/>
      <c r="D340" s="392"/>
      <c r="E340" s="392"/>
      <c r="F340" s="392"/>
      <c r="G340" s="392"/>
    </row>
    <row r="341" spans="3:7" s="382" customFormat="1" ht="12.75">
      <c r="C341" s="420"/>
      <c r="D341" s="392"/>
      <c r="E341" s="392"/>
      <c r="F341" s="392"/>
      <c r="G341" s="392"/>
    </row>
    <row r="342" spans="3:7" s="382" customFormat="1" ht="12.75">
      <c r="C342" s="420"/>
      <c r="D342" s="392"/>
      <c r="E342" s="392"/>
      <c r="F342" s="392"/>
      <c r="G342" s="392"/>
    </row>
    <row r="343" spans="3:7" s="382" customFormat="1" ht="12.75">
      <c r="C343" s="420"/>
      <c r="D343" s="392"/>
      <c r="E343" s="392"/>
      <c r="F343" s="392"/>
      <c r="G343" s="392"/>
    </row>
  </sheetData>
  <printOptions horizontalCentered="1"/>
  <pageMargins left="0.5" right="0.5" top="0.75" bottom="0.5" header="0.5" footer="0"/>
  <pageSetup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14"/>
  <sheetViews>
    <sheetView workbookViewId="0" topLeftCell="B2">
      <selection activeCell="D102" sqref="D102"/>
    </sheetView>
  </sheetViews>
  <sheetFormatPr defaultColWidth="9.140625" defaultRowHeight="12.75" outlineLevelRow="1"/>
  <cols>
    <col min="1" max="1" width="4.7109375" style="423" hidden="1" customWidth="1"/>
    <col min="2" max="2" width="2.7109375" style="437" customWidth="1"/>
    <col min="3" max="3" width="28.57421875" style="459" hidden="1" customWidth="1"/>
    <col min="4" max="4" width="45.7109375" style="459" customWidth="1"/>
    <col min="5" max="5" width="1.57421875" style="459" customWidth="1"/>
    <col min="6" max="6" width="15.140625" style="426" customWidth="1"/>
    <col min="7" max="7" width="16.00390625" style="426" customWidth="1"/>
    <col min="8" max="8" width="16.28125" style="426" customWidth="1"/>
    <col min="9" max="9" width="15.8515625" style="426" customWidth="1"/>
    <col min="10" max="11" width="16.140625" style="426" customWidth="1"/>
    <col min="12" max="12" width="20.00390625" style="426" customWidth="1"/>
    <col min="13" max="13" width="11.57421875" style="423" hidden="1" customWidth="1"/>
    <col min="14" max="15" width="9.140625" style="423" hidden="1" customWidth="1"/>
    <col min="16" max="16384" width="9.140625" style="423" customWidth="1"/>
  </cols>
  <sheetData>
    <row r="1" spans="1:12" ht="229.5" hidden="1">
      <c r="A1" s="423" t="s">
        <v>419</v>
      </c>
      <c r="B1" s="424" t="s">
        <v>3783</v>
      </c>
      <c r="C1" s="425" t="s">
        <v>3784</v>
      </c>
      <c r="D1" s="425" t="s">
        <v>3785</v>
      </c>
      <c r="E1" s="425"/>
      <c r="F1" s="426" t="s">
        <v>3335</v>
      </c>
      <c r="G1" s="426" t="s">
        <v>3336</v>
      </c>
      <c r="H1" s="426" t="s">
        <v>3337</v>
      </c>
      <c r="I1" s="426" t="s">
        <v>3338</v>
      </c>
      <c r="J1" s="426" t="s">
        <v>3339</v>
      </c>
      <c r="K1" s="426" t="s">
        <v>3340</v>
      </c>
      <c r="L1" s="426" t="s">
        <v>3785</v>
      </c>
    </row>
    <row r="2" spans="1:15" s="436" customFormat="1" ht="15.75" customHeight="1">
      <c r="A2" s="427"/>
      <c r="B2" s="428" t="str">
        <f>"University of Missouri - "&amp;RBN</f>
        <v>University of Missouri - Kansas City</v>
      </c>
      <c r="C2" s="429"/>
      <c r="D2" s="430"/>
      <c r="E2" s="431"/>
      <c r="F2" s="432"/>
      <c r="G2" s="432"/>
      <c r="H2" s="433" t="s">
        <v>3783</v>
      </c>
      <c r="I2" s="432"/>
      <c r="J2" s="432"/>
      <c r="K2" s="432"/>
      <c r="L2" s="433"/>
      <c r="M2" s="434"/>
      <c r="N2" s="435" t="s">
        <v>3861</v>
      </c>
      <c r="O2" s="435" t="s">
        <v>423</v>
      </c>
    </row>
    <row r="3" spans="1:15" ht="15.75" customHeight="1">
      <c r="A3" s="437"/>
      <c r="B3" s="438" t="s">
        <v>3341</v>
      </c>
      <c r="C3" s="439"/>
      <c r="D3" s="440"/>
      <c r="E3" s="441"/>
      <c r="F3" s="442"/>
      <c r="G3" s="442"/>
      <c r="H3" s="443"/>
      <c r="I3" s="442"/>
      <c r="J3" s="442"/>
      <c r="K3" s="442"/>
      <c r="L3" s="442"/>
      <c r="M3" s="444"/>
      <c r="O3" s="445" t="s">
        <v>3342</v>
      </c>
    </row>
    <row r="4" spans="1:15" ht="15.75" customHeight="1">
      <c r="A4" s="437"/>
      <c r="B4" s="446" t="str">
        <f>"As of "&amp;TEXT(O4,"MMMM DD, YYYY")</f>
        <v>As of June 30, 2006</v>
      </c>
      <c r="C4" s="439"/>
      <c r="D4" s="440"/>
      <c r="E4" s="441"/>
      <c r="F4" s="442"/>
      <c r="G4" s="442"/>
      <c r="H4" s="442"/>
      <c r="I4" s="442"/>
      <c r="J4" s="442"/>
      <c r="K4" s="442"/>
      <c r="L4" s="442"/>
      <c r="M4" s="444"/>
      <c r="O4" s="445" t="s">
        <v>3862</v>
      </c>
    </row>
    <row r="5" spans="1:15" ht="12.75" customHeight="1">
      <c r="A5" s="437"/>
      <c r="B5" s="446"/>
      <c r="C5" s="439"/>
      <c r="D5" s="440"/>
      <c r="E5" s="441"/>
      <c r="F5" s="442"/>
      <c r="G5" s="442"/>
      <c r="H5" s="442"/>
      <c r="I5" s="442"/>
      <c r="J5" s="442"/>
      <c r="K5" s="442"/>
      <c r="L5" s="442"/>
      <c r="M5" s="447"/>
      <c r="O5" s="445" t="s">
        <v>460</v>
      </c>
    </row>
    <row r="6" spans="1:12" s="452" customFormat="1" ht="15" customHeight="1">
      <c r="A6" s="448"/>
      <c r="B6" s="449"/>
      <c r="C6" s="450"/>
      <c r="D6" s="450"/>
      <c r="E6" s="450"/>
      <c r="F6" s="451" t="s">
        <v>3343</v>
      </c>
      <c r="G6" s="451" t="s">
        <v>3344</v>
      </c>
      <c r="H6" s="451" t="s">
        <v>3345</v>
      </c>
      <c r="I6" s="451" t="s">
        <v>3346</v>
      </c>
      <c r="J6" s="451"/>
      <c r="K6" s="451" t="s">
        <v>467</v>
      </c>
      <c r="L6" s="451" t="s">
        <v>3343</v>
      </c>
    </row>
    <row r="7" spans="1:12" s="452" customFormat="1" ht="14.25" customHeight="1">
      <c r="A7" s="453"/>
      <c r="B7" s="454"/>
      <c r="C7" s="455"/>
      <c r="D7" s="455"/>
      <c r="E7" s="455"/>
      <c r="F7" s="456" t="str">
        <f>"July 1, "&amp;O5-1</f>
        <v>July 1, 2005</v>
      </c>
      <c r="G7" s="456" t="s">
        <v>3347</v>
      </c>
      <c r="H7" s="456" t="s">
        <v>3348</v>
      </c>
      <c r="I7" s="456" t="s">
        <v>3349</v>
      </c>
      <c r="J7" s="456" t="s">
        <v>3350</v>
      </c>
      <c r="K7" s="456" t="s">
        <v>3351</v>
      </c>
      <c r="L7" s="456" t="str">
        <f>TEXT(ASD,"MMMM DD, YYYY")</f>
        <v>June 30, 2006</v>
      </c>
    </row>
    <row r="8" spans="1:4" ht="12.75">
      <c r="A8" s="423" t="s">
        <v>3783</v>
      </c>
      <c r="B8" s="457" t="s">
        <v>3352</v>
      </c>
      <c r="C8" s="458"/>
      <c r="D8" s="458"/>
    </row>
    <row r="9" spans="1:12" ht="12.75" outlineLevel="1">
      <c r="A9" s="423" t="s">
        <v>3353</v>
      </c>
      <c r="B9" s="424"/>
      <c r="C9" s="425" t="s">
        <v>3354</v>
      </c>
      <c r="D9" s="425" t="str">
        <f aca="true" t="shared" si="0" ref="D9:D40">UPPER(C9)</f>
        <v>HPL-DENTAL</v>
      </c>
      <c r="E9" s="425"/>
      <c r="F9" s="460">
        <v>7301624.46</v>
      </c>
      <c r="G9" s="460">
        <v>0</v>
      </c>
      <c r="H9" s="460">
        <v>80875.67</v>
      </c>
      <c r="I9" s="460">
        <v>55201.75</v>
      </c>
      <c r="J9" s="460">
        <v>-7584.74</v>
      </c>
      <c r="K9" s="460">
        <v>0</v>
      </c>
      <c r="L9" s="460">
        <f aca="true" t="shared" si="1" ref="L9:L27">F9+G9+H9+I9-J9+K9</f>
        <v>7445286.62</v>
      </c>
    </row>
    <row r="10" spans="1:12" ht="12.75" outlineLevel="1">
      <c r="A10" s="423" t="s">
        <v>3355</v>
      </c>
      <c r="B10" s="424"/>
      <c r="C10" s="425" t="s">
        <v>3356</v>
      </c>
      <c r="D10" s="425" t="str">
        <f t="shared" si="0"/>
        <v>H P L-MEDICINE</v>
      </c>
      <c r="E10" s="425"/>
      <c r="F10" s="426">
        <v>1019040.98</v>
      </c>
      <c r="G10" s="426">
        <v>0</v>
      </c>
      <c r="H10" s="426">
        <v>19514.66</v>
      </c>
      <c r="I10" s="426">
        <v>8731.97</v>
      </c>
      <c r="J10" s="426">
        <v>29837.69</v>
      </c>
      <c r="K10" s="426">
        <v>0</v>
      </c>
      <c r="L10" s="426">
        <f t="shared" si="1"/>
        <v>1017449.92</v>
      </c>
    </row>
    <row r="11" spans="1:12" ht="12.75" outlineLevel="1">
      <c r="A11" s="423" t="s">
        <v>3357</v>
      </c>
      <c r="B11" s="424"/>
      <c r="C11" s="425" t="s">
        <v>3358</v>
      </c>
      <c r="D11" s="425" t="str">
        <f t="shared" si="0"/>
        <v>H P L-PHARMACY</v>
      </c>
      <c r="E11" s="425"/>
      <c r="F11" s="426">
        <v>1573413.93</v>
      </c>
      <c r="G11" s="426">
        <v>0</v>
      </c>
      <c r="H11" s="426">
        <v>15644.26</v>
      </c>
      <c r="I11" s="426">
        <v>5004.69</v>
      </c>
      <c r="J11" s="426">
        <v>-11336.18</v>
      </c>
      <c r="K11" s="426">
        <v>0</v>
      </c>
      <c r="L11" s="426">
        <f t="shared" si="1"/>
        <v>1605399.0599999998</v>
      </c>
    </row>
    <row r="12" spans="1:12" ht="12.75" outlineLevel="1">
      <c r="A12" s="423" t="s">
        <v>3359</v>
      </c>
      <c r="B12" s="424"/>
      <c r="C12" s="425" t="s">
        <v>3360</v>
      </c>
      <c r="D12" s="425" t="str">
        <f t="shared" si="0"/>
        <v>NATIONAL DIRECT</v>
      </c>
      <c r="E12" s="425"/>
      <c r="F12" s="426">
        <v>8143843.83</v>
      </c>
      <c r="G12" s="426">
        <v>0</v>
      </c>
      <c r="H12" s="426">
        <v>115766.06</v>
      </c>
      <c r="I12" s="426">
        <v>-45197.62</v>
      </c>
      <c r="J12" s="426">
        <v>306721.49</v>
      </c>
      <c r="K12" s="426">
        <v>-18987.5</v>
      </c>
      <c r="L12" s="426">
        <f t="shared" si="1"/>
        <v>7888703.279999999</v>
      </c>
    </row>
    <row r="13" spans="1:12" ht="12.75" outlineLevel="1">
      <c r="A13" s="423" t="s">
        <v>3361</v>
      </c>
      <c r="B13" s="424"/>
      <c r="C13" s="425" t="s">
        <v>3362</v>
      </c>
      <c r="D13" s="425" t="str">
        <f t="shared" si="0"/>
        <v>DHHS-LDS - PHARMACY</v>
      </c>
      <c r="E13" s="425"/>
      <c r="F13" s="426">
        <v>175914.36</v>
      </c>
      <c r="G13" s="426">
        <v>0</v>
      </c>
      <c r="H13" s="426">
        <v>1420.89</v>
      </c>
      <c r="I13" s="426">
        <v>2398.84</v>
      </c>
      <c r="J13" s="426">
        <v>-543.64</v>
      </c>
      <c r="K13" s="426">
        <v>0</v>
      </c>
      <c r="L13" s="426">
        <f t="shared" si="1"/>
        <v>180277.73</v>
      </c>
    </row>
    <row r="14" spans="1:12" ht="12.75" outlineLevel="1">
      <c r="A14" s="423" t="s">
        <v>3363</v>
      </c>
      <c r="B14" s="424"/>
      <c r="C14" s="425" t="s">
        <v>3364</v>
      </c>
      <c r="D14" s="425" t="str">
        <f t="shared" si="0"/>
        <v>DHHS-LDS - DENTAL</v>
      </c>
      <c r="E14" s="425"/>
      <c r="F14" s="426">
        <v>205964.83</v>
      </c>
      <c r="G14" s="426">
        <v>0</v>
      </c>
      <c r="H14" s="426">
        <v>1463.09</v>
      </c>
      <c r="I14" s="426">
        <v>1358.69</v>
      </c>
      <c r="J14" s="426">
        <v>0</v>
      </c>
      <c r="K14" s="426">
        <v>0</v>
      </c>
      <c r="L14" s="426">
        <f t="shared" si="1"/>
        <v>208786.61</v>
      </c>
    </row>
    <row r="15" spans="1:12" ht="12.75" outlineLevel="1">
      <c r="A15" s="423" t="s">
        <v>3365</v>
      </c>
      <c r="B15" s="424"/>
      <c r="C15" s="425" t="s">
        <v>3366</v>
      </c>
      <c r="D15" s="425" t="str">
        <f t="shared" si="0"/>
        <v>DHHS-LDS - MEDICINE</v>
      </c>
      <c r="E15" s="425"/>
      <c r="F15" s="426">
        <v>285430.95</v>
      </c>
      <c r="G15" s="426">
        <v>9177</v>
      </c>
      <c r="H15" s="426">
        <v>2598.25</v>
      </c>
      <c r="I15" s="426">
        <v>1999.64</v>
      </c>
      <c r="J15" s="426">
        <v>0</v>
      </c>
      <c r="K15" s="426">
        <v>1020</v>
      </c>
      <c r="L15" s="426">
        <f t="shared" si="1"/>
        <v>300225.84</v>
      </c>
    </row>
    <row r="16" spans="1:12" ht="12.75" outlineLevel="1">
      <c r="A16" s="423" t="s">
        <v>3367</v>
      </c>
      <c r="B16" s="424"/>
      <c r="C16" s="425" t="s">
        <v>3368</v>
      </c>
      <c r="D16" s="425" t="str">
        <f t="shared" si="0"/>
        <v>NURSING LOAN-GRAD</v>
      </c>
      <c r="E16" s="425"/>
      <c r="F16" s="426">
        <v>-1.09</v>
      </c>
      <c r="G16" s="426">
        <v>0</v>
      </c>
      <c r="H16" s="426">
        <v>0</v>
      </c>
      <c r="I16" s="426">
        <v>0</v>
      </c>
      <c r="J16" s="426">
        <v>0</v>
      </c>
      <c r="K16" s="426">
        <v>0</v>
      </c>
      <c r="L16" s="426">
        <f t="shared" si="1"/>
        <v>-1.09</v>
      </c>
    </row>
    <row r="17" spans="1:12" ht="12.75" outlineLevel="1">
      <c r="A17" s="423" t="s">
        <v>3369</v>
      </c>
      <c r="B17" s="424"/>
      <c r="C17" s="425" t="s">
        <v>3370</v>
      </c>
      <c r="D17" s="425" t="str">
        <f t="shared" si="0"/>
        <v>DOUBTFUL LOAN-FED</v>
      </c>
      <c r="E17" s="425"/>
      <c r="F17" s="426">
        <v>-1082760</v>
      </c>
      <c r="G17" s="426">
        <v>0</v>
      </c>
      <c r="H17" s="426">
        <v>0</v>
      </c>
      <c r="I17" s="426">
        <v>-4.77</v>
      </c>
      <c r="J17" s="426">
        <v>-324450.44</v>
      </c>
      <c r="K17" s="426">
        <v>0</v>
      </c>
      <c r="L17" s="426">
        <f t="shared" si="1"/>
        <v>-758314.3300000001</v>
      </c>
    </row>
    <row r="18" spans="1:12" ht="12.75" outlineLevel="1">
      <c r="A18" s="423" t="s">
        <v>3371</v>
      </c>
      <c r="B18" s="424"/>
      <c r="C18" s="425" t="s">
        <v>3372</v>
      </c>
      <c r="D18" s="425" t="str">
        <f t="shared" si="0"/>
        <v>ALQUIST STUDENT LOAN</v>
      </c>
      <c r="E18" s="425"/>
      <c r="F18" s="426">
        <v>6146.22</v>
      </c>
      <c r="G18" s="426">
        <v>0</v>
      </c>
      <c r="H18" s="426">
        <v>72.67</v>
      </c>
      <c r="I18" s="426">
        <v>95.83</v>
      </c>
      <c r="J18" s="426">
        <v>0</v>
      </c>
      <c r="K18" s="426">
        <v>0</v>
      </c>
      <c r="L18" s="426">
        <f t="shared" si="1"/>
        <v>6314.72</v>
      </c>
    </row>
    <row r="19" spans="1:12" ht="12.75" outlineLevel="1">
      <c r="A19" s="423" t="s">
        <v>3373</v>
      </c>
      <c r="B19" s="424"/>
      <c r="C19" s="425" t="s">
        <v>3374</v>
      </c>
      <c r="D19" s="425" t="str">
        <f t="shared" si="0"/>
        <v>AM DENT ASSN LOAN</v>
      </c>
      <c r="E19" s="425"/>
      <c r="F19" s="426">
        <v>19233.73</v>
      </c>
      <c r="G19" s="426">
        <v>0</v>
      </c>
      <c r="H19" s="426">
        <v>159.84</v>
      </c>
      <c r="I19" s="426">
        <v>213.38</v>
      </c>
      <c r="J19" s="426">
        <v>0</v>
      </c>
      <c r="K19" s="426">
        <v>0</v>
      </c>
      <c r="L19" s="426">
        <f t="shared" si="1"/>
        <v>19606.95</v>
      </c>
    </row>
    <row r="20" spans="1:12" ht="12.75" outlineLevel="1">
      <c r="A20" s="423" t="s">
        <v>3375</v>
      </c>
      <c r="B20" s="424"/>
      <c r="C20" s="425" t="s">
        <v>3376</v>
      </c>
      <c r="D20" s="425" t="str">
        <f t="shared" si="0"/>
        <v>AUDITED HPLP LOAN FD</v>
      </c>
      <c r="E20" s="425"/>
      <c r="F20" s="426">
        <v>-61754.89</v>
      </c>
      <c r="G20" s="426">
        <v>0</v>
      </c>
      <c r="H20" s="426">
        <v>0</v>
      </c>
      <c r="I20" s="426">
        <v>-3491.04</v>
      </c>
      <c r="J20" s="426">
        <v>0</v>
      </c>
      <c r="K20" s="426">
        <v>0</v>
      </c>
      <c r="L20" s="426">
        <f t="shared" si="1"/>
        <v>-65245.93</v>
      </c>
    </row>
    <row r="21" spans="1:12" ht="12.75" outlineLevel="1">
      <c r="A21" s="423" t="s">
        <v>3377</v>
      </c>
      <c r="B21" s="424"/>
      <c r="C21" s="425" t="s">
        <v>3378</v>
      </c>
      <c r="D21" s="425" t="str">
        <f t="shared" si="0"/>
        <v>FRED BAXTER LOAN</v>
      </c>
      <c r="E21" s="425"/>
      <c r="F21" s="426">
        <v>10534.98</v>
      </c>
      <c r="G21" s="426">
        <v>0</v>
      </c>
      <c r="H21" s="426">
        <v>0</v>
      </c>
      <c r="I21" s="426">
        <v>443.5</v>
      </c>
      <c r="J21" s="426">
        <v>0</v>
      </c>
      <c r="K21" s="426">
        <v>0</v>
      </c>
      <c r="L21" s="426">
        <f t="shared" si="1"/>
        <v>10978.48</v>
      </c>
    </row>
    <row r="22" spans="1:12" ht="12.75" outlineLevel="1">
      <c r="A22" s="423" t="s">
        <v>3379</v>
      </c>
      <c r="B22" s="424"/>
      <c r="C22" s="425" t="s">
        <v>3380</v>
      </c>
      <c r="D22" s="425" t="str">
        <f t="shared" si="0"/>
        <v>EUNICE BEIMDIEK LN</v>
      </c>
      <c r="E22" s="425"/>
      <c r="F22" s="426">
        <v>-350.83</v>
      </c>
      <c r="G22" s="426">
        <v>0</v>
      </c>
      <c r="H22" s="426">
        <v>0</v>
      </c>
      <c r="I22" s="426">
        <v>-105.65</v>
      </c>
      <c r="J22" s="426">
        <v>0</v>
      </c>
      <c r="K22" s="426">
        <v>0</v>
      </c>
      <c r="L22" s="426">
        <f t="shared" si="1"/>
        <v>-456.48</v>
      </c>
    </row>
    <row r="23" spans="1:12" ht="12.75" outlineLevel="1">
      <c r="A23" s="423" t="s">
        <v>3381</v>
      </c>
      <c r="B23" s="424"/>
      <c r="C23" s="425" t="s">
        <v>3382</v>
      </c>
      <c r="D23" s="425" t="str">
        <f t="shared" si="0"/>
        <v>DR D J BLANFORD LOAN</v>
      </c>
      <c r="E23" s="425"/>
      <c r="F23" s="426">
        <v>3979.35</v>
      </c>
      <c r="G23" s="426">
        <v>0</v>
      </c>
      <c r="H23" s="426">
        <v>0</v>
      </c>
      <c r="I23" s="426">
        <v>66.77</v>
      </c>
      <c r="J23" s="426">
        <v>0</v>
      </c>
      <c r="K23" s="426">
        <v>0</v>
      </c>
      <c r="L23" s="426">
        <f t="shared" si="1"/>
        <v>4046.12</v>
      </c>
    </row>
    <row r="24" spans="1:12" ht="12.75" outlineLevel="1">
      <c r="A24" s="423" t="s">
        <v>3383</v>
      </c>
      <c r="B24" s="424"/>
      <c r="C24" s="425" t="s">
        <v>3384</v>
      </c>
      <c r="D24" s="425" t="str">
        <f t="shared" si="0"/>
        <v>MRS H J BONE LOAN</v>
      </c>
      <c r="E24" s="425"/>
      <c r="F24" s="426">
        <v>1589.2</v>
      </c>
      <c r="G24" s="426">
        <v>0</v>
      </c>
      <c r="H24" s="426">
        <v>0</v>
      </c>
      <c r="I24" s="426">
        <v>66.91</v>
      </c>
      <c r="J24" s="426">
        <v>0</v>
      </c>
      <c r="K24" s="426">
        <v>0</v>
      </c>
      <c r="L24" s="426">
        <f t="shared" si="1"/>
        <v>1656.1100000000001</v>
      </c>
    </row>
    <row r="25" spans="1:12" ht="12.75" outlineLevel="1">
      <c r="A25" s="423" t="s">
        <v>3385</v>
      </c>
      <c r="B25" s="424"/>
      <c r="C25" s="425" t="s">
        <v>3386</v>
      </c>
      <c r="D25" s="425" t="str">
        <f t="shared" si="0"/>
        <v>DR E L BRADDOCK LOAN</v>
      </c>
      <c r="E25" s="425"/>
      <c r="F25" s="426">
        <v>3038.13</v>
      </c>
      <c r="G25" s="426">
        <v>0</v>
      </c>
      <c r="H25" s="426">
        <v>0</v>
      </c>
      <c r="I25" s="426">
        <v>125.1</v>
      </c>
      <c r="J25" s="426">
        <v>75</v>
      </c>
      <c r="K25" s="426">
        <v>0</v>
      </c>
      <c r="L25" s="426">
        <f t="shared" si="1"/>
        <v>3088.23</v>
      </c>
    </row>
    <row r="26" spans="1:12" ht="12.75" outlineLevel="1">
      <c r="A26" s="423" t="s">
        <v>3387</v>
      </c>
      <c r="B26" s="424"/>
      <c r="C26" s="425" t="s">
        <v>3388</v>
      </c>
      <c r="D26" s="425" t="str">
        <f t="shared" si="0"/>
        <v>GRACIA BREMMER LN FD</v>
      </c>
      <c r="E26" s="425"/>
      <c r="F26" s="426">
        <v>54397.43</v>
      </c>
      <c r="G26" s="426">
        <v>0</v>
      </c>
      <c r="H26" s="426">
        <v>780.23</v>
      </c>
      <c r="I26" s="426">
        <v>4612.55</v>
      </c>
      <c r="J26" s="426">
        <v>-699.93</v>
      </c>
      <c r="K26" s="426">
        <v>0</v>
      </c>
      <c r="L26" s="426">
        <f t="shared" si="1"/>
        <v>60490.14000000001</v>
      </c>
    </row>
    <row r="27" spans="1:12" ht="12.75" outlineLevel="1">
      <c r="A27" s="423" t="s">
        <v>3389</v>
      </c>
      <c r="B27" s="424"/>
      <c r="C27" s="425" t="s">
        <v>3390</v>
      </c>
      <c r="D27" s="425" t="str">
        <f t="shared" si="0"/>
        <v>R L BRIGGS MEM LN</v>
      </c>
      <c r="E27" s="425"/>
      <c r="F27" s="426">
        <v>7598.05</v>
      </c>
      <c r="G27" s="426">
        <v>0</v>
      </c>
      <c r="H27" s="426">
        <v>0</v>
      </c>
      <c r="I27" s="426">
        <v>305.14</v>
      </c>
      <c r="J27" s="426">
        <v>0</v>
      </c>
      <c r="K27" s="426">
        <v>0</v>
      </c>
      <c r="L27" s="426">
        <f t="shared" si="1"/>
        <v>7903.1900000000005</v>
      </c>
    </row>
    <row r="28" spans="1:12" ht="12.75" outlineLevel="1">
      <c r="A28" s="423" t="s">
        <v>3391</v>
      </c>
      <c r="B28" s="424"/>
      <c r="C28" s="425" t="s">
        <v>3392</v>
      </c>
      <c r="D28" s="425" t="str">
        <f t="shared" si="0"/>
        <v>HUGH AND FLO BRYANT</v>
      </c>
      <c r="E28" s="425"/>
      <c r="F28" s="426">
        <v>0</v>
      </c>
      <c r="G28" s="426">
        <v>0</v>
      </c>
      <c r="H28" s="426">
        <v>5607.57</v>
      </c>
      <c r="I28" s="426">
        <v>0</v>
      </c>
      <c r="J28" s="426">
        <v>-1325.21</v>
      </c>
      <c r="K28" s="426">
        <v>-6932.780000000028</v>
      </c>
      <c r="L28" s="426">
        <v>0</v>
      </c>
    </row>
    <row r="29" spans="1:12" ht="12.75" outlineLevel="1">
      <c r="A29" s="423" t="s">
        <v>3393</v>
      </c>
      <c r="B29" s="424"/>
      <c r="C29" s="425" t="s">
        <v>3394</v>
      </c>
      <c r="D29" s="425" t="str">
        <f t="shared" si="0"/>
        <v>CENTRAL DISTRICT LN</v>
      </c>
      <c r="E29" s="425"/>
      <c r="F29" s="426">
        <v>7111.53</v>
      </c>
      <c r="G29" s="426">
        <v>0</v>
      </c>
      <c r="H29" s="426">
        <v>87.93</v>
      </c>
      <c r="I29" s="426">
        <v>140.6</v>
      </c>
      <c r="J29" s="426">
        <v>0</v>
      </c>
      <c r="K29" s="426">
        <v>0</v>
      </c>
      <c r="L29" s="426">
        <f aca="true" t="shared" si="2" ref="L29:L60">F29+G29+H29+I29-J29+K29</f>
        <v>7340.06</v>
      </c>
    </row>
    <row r="30" spans="1:12" ht="12.75" outlineLevel="1">
      <c r="A30" s="423" t="s">
        <v>3395</v>
      </c>
      <c r="B30" s="424"/>
      <c r="C30" s="425" t="s">
        <v>3396</v>
      </c>
      <c r="D30" s="425" t="str">
        <f t="shared" si="0"/>
        <v>DENTAL LOAN FUND</v>
      </c>
      <c r="E30" s="425"/>
      <c r="F30" s="426">
        <v>338532.54</v>
      </c>
      <c r="G30" s="426">
        <v>0</v>
      </c>
      <c r="H30" s="426">
        <v>7129.54</v>
      </c>
      <c r="I30" s="426">
        <v>3312.5</v>
      </c>
      <c r="J30" s="426">
        <v>-1156.16</v>
      </c>
      <c r="K30" s="426">
        <v>0</v>
      </c>
      <c r="L30" s="426">
        <f t="shared" si="2"/>
        <v>350130.73999999993</v>
      </c>
    </row>
    <row r="31" spans="1:12" ht="12.75" outlineLevel="1">
      <c r="A31" s="423" t="s">
        <v>3397</v>
      </c>
      <c r="B31" s="424"/>
      <c r="C31" s="425" t="s">
        <v>3398</v>
      </c>
      <c r="D31" s="425" t="str">
        <f t="shared" si="0"/>
        <v>DR E A DEVINS LOAN</v>
      </c>
      <c r="E31" s="425"/>
      <c r="F31" s="426">
        <v>42618.6</v>
      </c>
      <c r="G31" s="426">
        <v>0</v>
      </c>
      <c r="H31" s="426">
        <v>31.6</v>
      </c>
      <c r="I31" s="426">
        <v>1755.21</v>
      </c>
      <c r="J31" s="426">
        <v>0</v>
      </c>
      <c r="K31" s="426">
        <v>0</v>
      </c>
      <c r="L31" s="426">
        <f t="shared" si="2"/>
        <v>44405.409999999996</v>
      </c>
    </row>
    <row r="32" spans="1:12" ht="12.75" outlineLevel="1">
      <c r="A32" s="423" t="s">
        <v>3399</v>
      </c>
      <c r="B32" s="424"/>
      <c r="C32" s="425" t="s">
        <v>3400</v>
      </c>
      <c r="D32" s="425" t="str">
        <f t="shared" si="0"/>
        <v>RUSSELL ELLIOTT ED</v>
      </c>
      <c r="E32" s="425"/>
      <c r="F32" s="426">
        <v>295274.72</v>
      </c>
      <c r="G32" s="426">
        <v>0</v>
      </c>
      <c r="H32" s="426">
        <v>204.46</v>
      </c>
      <c r="I32" s="426">
        <v>5391.77</v>
      </c>
      <c r="J32" s="426">
        <v>-15</v>
      </c>
      <c r="K32" s="426">
        <v>0</v>
      </c>
      <c r="L32" s="426">
        <f t="shared" si="2"/>
        <v>300885.95</v>
      </c>
    </row>
    <row r="33" spans="1:12" ht="12.75" outlineLevel="1">
      <c r="A33" s="423" t="s">
        <v>3401</v>
      </c>
      <c r="B33" s="424"/>
      <c r="C33" s="425" t="s">
        <v>3402</v>
      </c>
      <c r="D33" s="425" t="str">
        <f t="shared" si="0"/>
        <v>EXCHANGE CLUB LOAN</v>
      </c>
      <c r="E33" s="425"/>
      <c r="F33" s="426">
        <v>4496</v>
      </c>
      <c r="G33" s="426">
        <v>0</v>
      </c>
      <c r="H33" s="426">
        <v>0</v>
      </c>
      <c r="I33" s="426">
        <v>189.29</v>
      </c>
      <c r="J33" s="426">
        <v>0</v>
      </c>
      <c r="K33" s="426">
        <v>0</v>
      </c>
      <c r="L33" s="426">
        <f t="shared" si="2"/>
        <v>4685.29</v>
      </c>
    </row>
    <row r="34" spans="1:12" ht="12.75" outlineLevel="1">
      <c r="A34" s="423" t="s">
        <v>3403</v>
      </c>
      <c r="B34" s="424"/>
      <c r="C34" s="425" t="s">
        <v>3404</v>
      </c>
      <c r="D34" s="425" t="str">
        <f t="shared" si="0"/>
        <v>FACULTY-STAFF LOAN</v>
      </c>
      <c r="E34" s="425"/>
      <c r="F34" s="426">
        <v>215599.9</v>
      </c>
      <c r="G34" s="426">
        <v>2527</v>
      </c>
      <c r="H34" s="426">
        <v>388.02</v>
      </c>
      <c r="I34" s="426">
        <v>8651.89</v>
      </c>
      <c r="J34" s="426">
        <v>-43.56</v>
      </c>
      <c r="K34" s="426">
        <v>-7737.99</v>
      </c>
      <c r="L34" s="426">
        <f t="shared" si="2"/>
        <v>219472.38</v>
      </c>
    </row>
    <row r="35" spans="1:12" ht="12.75" outlineLevel="1">
      <c r="A35" s="423" t="s">
        <v>3405</v>
      </c>
      <c r="B35" s="424"/>
      <c r="C35" s="425" t="s">
        <v>3406</v>
      </c>
      <c r="D35" s="425" t="str">
        <f t="shared" si="0"/>
        <v>FERGUSON LOAN FUND</v>
      </c>
      <c r="E35" s="425"/>
      <c r="F35" s="426">
        <v>186629.27</v>
      </c>
      <c r="G35" s="426">
        <v>0</v>
      </c>
      <c r="H35" s="426">
        <v>4966.03</v>
      </c>
      <c r="I35" s="426">
        <v>1245.05</v>
      </c>
      <c r="J35" s="426">
        <v>-6</v>
      </c>
      <c r="K35" s="426">
        <v>0</v>
      </c>
      <c r="L35" s="426">
        <f t="shared" si="2"/>
        <v>192846.34999999998</v>
      </c>
    </row>
    <row r="36" spans="1:12" ht="12.75" outlineLevel="1">
      <c r="A36" s="423" t="s">
        <v>3407</v>
      </c>
      <c r="B36" s="424"/>
      <c r="C36" s="425" t="s">
        <v>3408</v>
      </c>
      <c r="D36" s="425" t="str">
        <f t="shared" si="0"/>
        <v>GENERAL STUDENT LOAN</v>
      </c>
      <c r="E36" s="425"/>
      <c r="F36" s="426">
        <v>49261.77</v>
      </c>
      <c r="G36" s="426">
        <v>0</v>
      </c>
      <c r="H36" s="426">
        <v>400.01</v>
      </c>
      <c r="I36" s="426">
        <v>1969.81</v>
      </c>
      <c r="J36" s="426">
        <v>-24.79</v>
      </c>
      <c r="K36" s="426">
        <v>0</v>
      </c>
      <c r="L36" s="426">
        <f t="shared" si="2"/>
        <v>51656.38</v>
      </c>
    </row>
    <row r="37" spans="1:12" ht="12.75" outlineLevel="1">
      <c r="A37" s="423" t="s">
        <v>3409</v>
      </c>
      <c r="B37" s="424"/>
      <c r="C37" s="425" t="s">
        <v>3410</v>
      </c>
      <c r="D37" s="425" t="str">
        <f t="shared" si="0"/>
        <v>JOE GILBERT LOAN</v>
      </c>
      <c r="E37" s="425"/>
      <c r="F37" s="426">
        <v>20990.87</v>
      </c>
      <c r="G37" s="426">
        <v>0</v>
      </c>
      <c r="H37" s="426">
        <v>0</v>
      </c>
      <c r="I37" s="426">
        <v>882.75</v>
      </c>
      <c r="J37" s="426">
        <v>81.25</v>
      </c>
      <c r="K37" s="426">
        <v>0</v>
      </c>
      <c r="L37" s="426">
        <f t="shared" si="2"/>
        <v>21792.37</v>
      </c>
    </row>
    <row r="38" spans="1:12" ht="12.75" outlineLevel="1">
      <c r="A38" s="423" t="s">
        <v>3411</v>
      </c>
      <c r="B38" s="424"/>
      <c r="C38" s="425" t="s">
        <v>3412</v>
      </c>
      <c r="D38" s="425" t="str">
        <f t="shared" si="0"/>
        <v>TED GILMORE FUND</v>
      </c>
      <c r="E38" s="425"/>
      <c r="F38" s="426">
        <v>386.74</v>
      </c>
      <c r="G38" s="426">
        <v>0</v>
      </c>
      <c r="H38" s="426">
        <v>0</v>
      </c>
      <c r="I38" s="426">
        <v>14.74</v>
      </c>
      <c r="J38" s="426">
        <v>185</v>
      </c>
      <c r="K38" s="426">
        <v>0</v>
      </c>
      <c r="L38" s="426">
        <f t="shared" si="2"/>
        <v>216.48000000000002</v>
      </c>
    </row>
    <row r="39" spans="1:12" ht="12.75" outlineLevel="1">
      <c r="A39" s="423" t="s">
        <v>3413</v>
      </c>
      <c r="B39" s="424"/>
      <c r="C39" s="425" t="s">
        <v>3414</v>
      </c>
      <c r="D39" s="425" t="str">
        <f t="shared" si="0"/>
        <v>GR PLAINS DENTAL LN</v>
      </c>
      <c r="E39" s="425"/>
      <c r="F39" s="426">
        <v>3267.36</v>
      </c>
      <c r="G39" s="426">
        <v>0</v>
      </c>
      <c r="H39" s="426">
        <v>36.39</v>
      </c>
      <c r="I39" s="426">
        <v>16.01</v>
      </c>
      <c r="J39" s="426">
        <v>0</v>
      </c>
      <c r="K39" s="426">
        <v>0</v>
      </c>
      <c r="L39" s="426">
        <f t="shared" si="2"/>
        <v>3319.76</v>
      </c>
    </row>
    <row r="40" spans="1:12" ht="12.75" outlineLevel="1">
      <c r="A40" s="423" t="s">
        <v>3415</v>
      </c>
      <c r="B40" s="424"/>
      <c r="C40" s="425" t="s">
        <v>3416</v>
      </c>
      <c r="D40" s="425" t="str">
        <f t="shared" si="0"/>
        <v>HARGRAVE LOAN FD</v>
      </c>
      <c r="E40" s="425"/>
      <c r="F40" s="426">
        <v>558862.46</v>
      </c>
      <c r="G40" s="426">
        <v>0</v>
      </c>
      <c r="H40" s="426">
        <v>5173.69</v>
      </c>
      <c r="I40" s="426">
        <v>40949.76</v>
      </c>
      <c r="J40" s="426">
        <v>-53.15</v>
      </c>
      <c r="K40" s="426">
        <v>0</v>
      </c>
      <c r="L40" s="426">
        <f t="shared" si="2"/>
        <v>605039.0599999999</v>
      </c>
    </row>
    <row r="41" spans="1:12" ht="12.75" outlineLevel="1">
      <c r="A41" s="423" t="s">
        <v>3417</v>
      </c>
      <c r="B41" s="424"/>
      <c r="C41" s="425" t="s">
        <v>3418</v>
      </c>
      <c r="D41" s="425" t="str">
        <f aca="true" t="shared" si="3" ref="D41:D72">UPPER(C41)</f>
        <v>HARTVIGENSEN LOAN FD</v>
      </c>
      <c r="E41" s="425"/>
      <c r="F41" s="426">
        <v>0</v>
      </c>
      <c r="G41" s="426">
        <v>0</v>
      </c>
      <c r="H41" s="426">
        <v>1123.54</v>
      </c>
      <c r="I41" s="426">
        <v>4511.58</v>
      </c>
      <c r="J41" s="426">
        <v>-3</v>
      </c>
      <c r="K41" s="426">
        <v>-5638.12</v>
      </c>
      <c r="L41" s="426">
        <f t="shared" si="2"/>
        <v>0</v>
      </c>
    </row>
    <row r="42" spans="1:12" ht="12.75" outlineLevel="1">
      <c r="A42" s="423" t="s">
        <v>3419</v>
      </c>
      <c r="B42" s="424"/>
      <c r="C42" s="425" t="s">
        <v>3420</v>
      </c>
      <c r="D42" s="425" t="str">
        <f t="shared" si="3"/>
        <v>HAWKINS LOAN FUND</v>
      </c>
      <c r="E42" s="425"/>
      <c r="F42" s="426">
        <v>4515.99</v>
      </c>
      <c r="G42" s="426">
        <v>0</v>
      </c>
      <c r="H42" s="426">
        <v>0</v>
      </c>
      <c r="I42" s="426">
        <v>4.91</v>
      </c>
      <c r="J42" s="426">
        <v>0</v>
      </c>
      <c r="K42" s="426">
        <v>0</v>
      </c>
      <c r="L42" s="426">
        <f t="shared" si="2"/>
        <v>4520.9</v>
      </c>
    </row>
    <row r="43" spans="1:12" ht="12.75" outlineLevel="1">
      <c r="A43" s="423" t="s">
        <v>3421</v>
      </c>
      <c r="B43" s="424"/>
      <c r="C43" s="425" t="s">
        <v>3422</v>
      </c>
      <c r="D43" s="425" t="str">
        <f t="shared" si="3"/>
        <v>INDIAN STU CLB LOAN</v>
      </c>
      <c r="E43" s="425"/>
      <c r="F43" s="426">
        <v>11214.79</v>
      </c>
      <c r="G43" s="426">
        <v>0</v>
      </c>
      <c r="H43" s="426">
        <v>0</v>
      </c>
      <c r="I43" s="426">
        <v>456.17</v>
      </c>
      <c r="J43" s="426">
        <v>-49.58</v>
      </c>
      <c r="K43" s="426">
        <v>0</v>
      </c>
      <c r="L43" s="426">
        <f t="shared" si="2"/>
        <v>11720.54</v>
      </c>
    </row>
    <row r="44" spans="1:12" ht="12.75" outlineLevel="1">
      <c r="A44" s="423" t="s">
        <v>3423</v>
      </c>
      <c r="B44" s="424"/>
      <c r="C44" s="425" t="s">
        <v>3424</v>
      </c>
      <c r="D44" s="425" t="str">
        <f t="shared" si="3"/>
        <v>INTL COLL DENTIST LN</v>
      </c>
      <c r="E44" s="425"/>
      <c r="F44" s="426">
        <v>6791.95</v>
      </c>
      <c r="G44" s="426">
        <v>0</v>
      </c>
      <c r="H44" s="426">
        <v>12.36</v>
      </c>
      <c r="I44" s="426">
        <v>144.65</v>
      </c>
      <c r="J44" s="426">
        <v>0</v>
      </c>
      <c r="K44" s="426">
        <v>0</v>
      </c>
      <c r="L44" s="426">
        <f t="shared" si="2"/>
        <v>6948.959999999999</v>
      </c>
    </row>
    <row r="45" spans="1:12" ht="12.75" outlineLevel="1">
      <c r="A45" s="423" t="s">
        <v>3425</v>
      </c>
      <c r="B45" s="424"/>
      <c r="C45" s="425" t="s">
        <v>3426</v>
      </c>
      <c r="D45" s="425" t="str">
        <f t="shared" si="3"/>
        <v>WM R JACQUES FUND</v>
      </c>
      <c r="E45" s="425"/>
      <c r="F45" s="426">
        <v>-34.39</v>
      </c>
      <c r="G45" s="426">
        <v>0</v>
      </c>
      <c r="H45" s="426">
        <v>0</v>
      </c>
      <c r="I45" s="426">
        <v>-5.83</v>
      </c>
      <c r="J45" s="426">
        <v>1437.87</v>
      </c>
      <c r="K45" s="426">
        <v>0</v>
      </c>
      <c r="L45" s="426">
        <f t="shared" si="2"/>
        <v>-1478.09</v>
      </c>
    </row>
    <row r="46" spans="1:12" ht="12.75" outlineLevel="1">
      <c r="A46" s="423" t="s">
        <v>3427</v>
      </c>
      <c r="B46" s="424"/>
      <c r="C46" s="425" t="s">
        <v>3428</v>
      </c>
      <c r="D46" s="425" t="str">
        <f t="shared" si="3"/>
        <v>JAPAN-AMER EMER LOAN</v>
      </c>
      <c r="E46" s="425"/>
      <c r="F46" s="426">
        <v>2136.07</v>
      </c>
      <c r="G46" s="426">
        <v>0</v>
      </c>
      <c r="H46" s="426">
        <v>0</v>
      </c>
      <c r="I46" s="426">
        <v>89.94</v>
      </c>
      <c r="J46" s="426">
        <v>0</v>
      </c>
      <c r="K46" s="426">
        <v>0</v>
      </c>
      <c r="L46" s="426">
        <f t="shared" si="2"/>
        <v>2226.01</v>
      </c>
    </row>
    <row r="47" spans="1:12" ht="12.75" outlineLevel="1">
      <c r="A47" s="423" t="s">
        <v>3429</v>
      </c>
      <c r="B47" s="424"/>
      <c r="C47" s="425" t="s">
        <v>3430</v>
      </c>
      <c r="D47" s="425" t="str">
        <f t="shared" si="3"/>
        <v>R W JOHNSON FDN-DENT</v>
      </c>
      <c r="E47" s="425"/>
      <c r="F47" s="426">
        <v>118496.19</v>
      </c>
      <c r="G47" s="426">
        <v>0</v>
      </c>
      <c r="H47" s="426">
        <v>1052.5</v>
      </c>
      <c r="I47" s="426">
        <v>666.1</v>
      </c>
      <c r="J47" s="426">
        <v>-321.5</v>
      </c>
      <c r="K47" s="426">
        <v>0</v>
      </c>
      <c r="L47" s="426">
        <f t="shared" si="2"/>
        <v>120536.29000000001</v>
      </c>
    </row>
    <row r="48" spans="1:12" ht="12.75" outlineLevel="1">
      <c r="A48" s="423" t="s">
        <v>3431</v>
      </c>
      <c r="B48" s="424"/>
      <c r="C48" s="425" t="s">
        <v>3432</v>
      </c>
      <c r="D48" s="425" t="str">
        <f t="shared" si="3"/>
        <v>R W JOHNSON FDN</v>
      </c>
      <c r="E48" s="425"/>
      <c r="F48" s="426">
        <v>44168.7</v>
      </c>
      <c r="G48" s="426">
        <v>0</v>
      </c>
      <c r="H48" s="426">
        <v>1149.83</v>
      </c>
      <c r="I48" s="426">
        <v>291.44</v>
      </c>
      <c r="J48" s="426">
        <v>-1824.87</v>
      </c>
      <c r="K48" s="426">
        <v>0</v>
      </c>
      <c r="L48" s="426">
        <f t="shared" si="2"/>
        <v>47434.840000000004</v>
      </c>
    </row>
    <row r="49" spans="1:12" ht="12.75" outlineLevel="1">
      <c r="A49" s="423" t="s">
        <v>3433</v>
      </c>
      <c r="B49" s="424"/>
      <c r="C49" s="425" t="s">
        <v>3434</v>
      </c>
      <c r="D49" s="425" t="str">
        <f t="shared" si="3"/>
        <v>KANSAS DENTAL AUX LN</v>
      </c>
      <c r="E49" s="425"/>
      <c r="F49" s="426">
        <v>363178.77</v>
      </c>
      <c r="G49" s="426">
        <v>0</v>
      </c>
      <c r="H49" s="426">
        <v>6869.11</v>
      </c>
      <c r="I49" s="426">
        <v>4287.55</v>
      </c>
      <c r="J49" s="426">
        <v>-782.17</v>
      </c>
      <c r="K49" s="426">
        <v>0</v>
      </c>
      <c r="L49" s="426">
        <f t="shared" si="2"/>
        <v>375117.6</v>
      </c>
    </row>
    <row r="50" spans="1:12" ht="12.75" outlineLevel="1">
      <c r="A50" s="423" t="s">
        <v>3435</v>
      </c>
      <c r="B50" s="424"/>
      <c r="C50" s="425" t="s">
        <v>3436</v>
      </c>
      <c r="D50" s="425" t="str">
        <f t="shared" si="3"/>
        <v>KELLOGG STUDENT LOAN</v>
      </c>
      <c r="E50" s="425"/>
      <c r="F50" s="426">
        <v>49510.36</v>
      </c>
      <c r="G50" s="426">
        <v>0</v>
      </c>
      <c r="H50" s="426">
        <v>710.05</v>
      </c>
      <c r="I50" s="426">
        <v>1347.71</v>
      </c>
      <c r="J50" s="426">
        <v>-3</v>
      </c>
      <c r="K50" s="426">
        <v>0</v>
      </c>
      <c r="L50" s="426">
        <f t="shared" si="2"/>
        <v>51571.12</v>
      </c>
    </row>
    <row r="51" spans="1:12" ht="12.75" outlineLevel="1">
      <c r="A51" s="423" t="s">
        <v>3437</v>
      </c>
      <c r="B51" s="424"/>
      <c r="C51" s="425" t="s">
        <v>3438</v>
      </c>
      <c r="D51" s="425" t="str">
        <f t="shared" si="3"/>
        <v>MAX LEUPOLD SCHP LN</v>
      </c>
      <c r="E51" s="425"/>
      <c r="F51" s="426">
        <v>100278.15</v>
      </c>
      <c r="G51" s="426">
        <v>0</v>
      </c>
      <c r="H51" s="426">
        <v>0</v>
      </c>
      <c r="I51" s="426">
        <v>4221.76</v>
      </c>
      <c r="J51" s="426">
        <v>0</v>
      </c>
      <c r="K51" s="426">
        <v>0</v>
      </c>
      <c r="L51" s="426">
        <f t="shared" si="2"/>
        <v>104499.90999999999</v>
      </c>
    </row>
    <row r="52" spans="1:12" ht="12.75" outlineLevel="1">
      <c r="A52" s="423" t="s">
        <v>3439</v>
      </c>
      <c r="B52" s="424"/>
      <c r="C52" s="425" t="s">
        <v>3440</v>
      </c>
      <c r="D52" s="425" t="str">
        <f t="shared" si="3"/>
        <v>LOGAN STUDY CLUD FD</v>
      </c>
      <c r="E52" s="425"/>
      <c r="F52" s="426">
        <v>1642.57</v>
      </c>
      <c r="G52" s="426">
        <v>0</v>
      </c>
      <c r="H52" s="426">
        <v>0</v>
      </c>
      <c r="I52" s="426">
        <v>69.15</v>
      </c>
      <c r="J52" s="426">
        <v>0</v>
      </c>
      <c r="K52" s="426">
        <v>0</v>
      </c>
      <c r="L52" s="426">
        <f t="shared" si="2"/>
        <v>1711.72</v>
      </c>
    </row>
    <row r="53" spans="1:12" ht="12.75" outlineLevel="1">
      <c r="A53" s="423" t="s">
        <v>3441</v>
      </c>
      <c r="B53" s="424"/>
      <c r="C53" s="425" t="s">
        <v>3442</v>
      </c>
      <c r="D53" s="425" t="str">
        <f t="shared" si="3"/>
        <v>H E &amp; D D LOUGH LOAN</v>
      </c>
      <c r="E53" s="425"/>
      <c r="F53" s="426">
        <v>2989.89</v>
      </c>
      <c r="G53" s="426">
        <v>0</v>
      </c>
      <c r="H53" s="426">
        <v>106.94</v>
      </c>
      <c r="I53" s="426">
        <v>3457.02</v>
      </c>
      <c r="J53" s="426">
        <v>-2.37</v>
      </c>
      <c r="K53" s="426">
        <v>0</v>
      </c>
      <c r="L53" s="426">
        <f t="shared" si="2"/>
        <v>6556.22</v>
      </c>
    </row>
    <row r="54" spans="1:12" ht="12.75" outlineLevel="1">
      <c r="A54" s="423" t="s">
        <v>3443</v>
      </c>
      <c r="C54" s="459" t="s">
        <v>3444</v>
      </c>
      <c r="D54" s="459" t="str">
        <f t="shared" si="3"/>
        <v>NADINE C LOUGH LOAN</v>
      </c>
      <c r="F54" s="461">
        <v>-869.1</v>
      </c>
      <c r="G54" s="461">
        <v>0</v>
      </c>
      <c r="H54" s="461">
        <v>121.75</v>
      </c>
      <c r="I54" s="461">
        <v>-557.12</v>
      </c>
      <c r="J54" s="461">
        <v>-3</v>
      </c>
      <c r="K54" s="461">
        <v>0</v>
      </c>
      <c r="L54" s="461">
        <f t="shared" si="2"/>
        <v>-1301.47</v>
      </c>
    </row>
    <row r="55" spans="1:12" ht="12.75" outlineLevel="1">
      <c r="A55" s="423" t="s">
        <v>3445</v>
      </c>
      <c r="C55" s="459" t="s">
        <v>3446</v>
      </c>
      <c r="D55" s="459" t="str">
        <f t="shared" si="3"/>
        <v>A D MARTIN MEMORIAL</v>
      </c>
      <c r="F55" s="461">
        <v>873.31</v>
      </c>
      <c r="G55" s="461">
        <v>0</v>
      </c>
      <c r="H55" s="461">
        <v>0</v>
      </c>
      <c r="I55" s="461">
        <v>36.76</v>
      </c>
      <c r="J55" s="461">
        <v>0</v>
      </c>
      <c r="K55" s="461">
        <v>0</v>
      </c>
      <c r="L55" s="461">
        <f t="shared" si="2"/>
        <v>910.0699999999999</v>
      </c>
    </row>
    <row r="56" spans="1:12" ht="12.75" outlineLevel="1">
      <c r="A56" s="423" t="s">
        <v>3447</v>
      </c>
      <c r="B56" s="424"/>
      <c r="C56" s="425" t="s">
        <v>3448</v>
      </c>
      <c r="D56" s="425" t="str">
        <f t="shared" si="3"/>
        <v>MCCREIGHT LOAN FUND</v>
      </c>
      <c r="E56" s="425"/>
      <c r="F56" s="426">
        <v>514721.17</v>
      </c>
      <c r="G56" s="426">
        <v>0</v>
      </c>
      <c r="H56" s="426">
        <v>12191.72</v>
      </c>
      <c r="I56" s="426">
        <v>2828.32</v>
      </c>
      <c r="J56" s="426">
        <v>-906.1</v>
      </c>
      <c r="K56" s="426">
        <v>0</v>
      </c>
      <c r="L56" s="426">
        <f t="shared" si="2"/>
        <v>530647.3099999999</v>
      </c>
    </row>
    <row r="57" spans="1:12" ht="12.75" outlineLevel="1">
      <c r="A57" s="423" t="s">
        <v>3449</v>
      </c>
      <c r="B57" s="424"/>
      <c r="C57" s="425" t="s">
        <v>3450</v>
      </c>
      <c r="D57" s="425" t="str">
        <f t="shared" si="3"/>
        <v>MEDICAL STUDENT LOAN</v>
      </c>
      <c r="E57" s="425"/>
      <c r="F57" s="426">
        <v>178504.49</v>
      </c>
      <c r="G57" s="426">
        <v>0</v>
      </c>
      <c r="H57" s="426">
        <v>6117.92</v>
      </c>
      <c r="I57" s="426">
        <v>1150.62</v>
      </c>
      <c r="J57" s="426">
        <v>-1111.1</v>
      </c>
      <c r="K57" s="426">
        <v>0</v>
      </c>
      <c r="L57" s="426">
        <f t="shared" si="2"/>
        <v>186884.13</v>
      </c>
    </row>
    <row r="58" spans="1:12" ht="12.75" outlineLevel="1">
      <c r="A58" s="423" t="s">
        <v>3451</v>
      </c>
      <c r="B58" s="424"/>
      <c r="C58" s="425" t="s">
        <v>3452</v>
      </c>
      <c r="D58" s="425" t="str">
        <f t="shared" si="3"/>
        <v>MEDLINK LOAN FUND</v>
      </c>
      <c r="E58" s="425"/>
      <c r="F58" s="426">
        <v>63988.85</v>
      </c>
      <c r="G58" s="426">
        <v>0</v>
      </c>
      <c r="H58" s="426">
        <v>340.68</v>
      </c>
      <c r="I58" s="426">
        <v>1276.58</v>
      </c>
      <c r="J58" s="426">
        <v>-75</v>
      </c>
      <c r="K58" s="426">
        <v>0</v>
      </c>
      <c r="L58" s="426">
        <f t="shared" si="2"/>
        <v>65681.11</v>
      </c>
    </row>
    <row r="59" spans="1:12" ht="12.75" outlineLevel="1">
      <c r="A59" s="423" t="s">
        <v>3453</v>
      </c>
      <c r="B59" s="424"/>
      <c r="C59" s="425" t="s">
        <v>3454</v>
      </c>
      <c r="D59" s="425" t="str">
        <f t="shared" si="3"/>
        <v>MID-CENT DENT LOAN</v>
      </c>
      <c r="E59" s="425"/>
      <c r="F59" s="426">
        <v>3582.43</v>
      </c>
      <c r="G59" s="426">
        <v>0</v>
      </c>
      <c r="H59" s="426">
        <v>79.34</v>
      </c>
      <c r="I59" s="426">
        <v>74.04</v>
      </c>
      <c r="J59" s="426">
        <v>0</v>
      </c>
      <c r="K59" s="426">
        <v>0</v>
      </c>
      <c r="L59" s="426">
        <f t="shared" si="2"/>
        <v>3735.81</v>
      </c>
    </row>
    <row r="60" spans="1:12" ht="12.75" outlineLevel="1">
      <c r="A60" s="423" t="s">
        <v>3455</v>
      </c>
      <c r="B60" s="424"/>
      <c r="C60" s="425" t="s">
        <v>3456</v>
      </c>
      <c r="D60" s="425" t="str">
        <f t="shared" si="3"/>
        <v>MO REPERTORY LOAN</v>
      </c>
      <c r="E60" s="425"/>
      <c r="F60" s="426">
        <v>7256</v>
      </c>
      <c r="G60" s="426">
        <v>0</v>
      </c>
      <c r="H60" s="426">
        <v>0</v>
      </c>
      <c r="I60" s="426">
        <v>284.42</v>
      </c>
      <c r="J60" s="426">
        <v>0</v>
      </c>
      <c r="K60" s="426">
        <v>0</v>
      </c>
      <c r="L60" s="426">
        <f t="shared" si="2"/>
        <v>7540.42</v>
      </c>
    </row>
    <row r="61" spans="1:12" ht="12.75" outlineLevel="1">
      <c r="A61" s="423" t="s">
        <v>3457</v>
      </c>
      <c r="B61" s="424"/>
      <c r="C61" s="425" t="s">
        <v>3458</v>
      </c>
      <c r="D61" s="425" t="str">
        <f t="shared" si="3"/>
        <v>MO REXALLITE LOAN</v>
      </c>
      <c r="E61" s="425"/>
      <c r="F61" s="426">
        <v>6804.27</v>
      </c>
      <c r="G61" s="426">
        <v>0</v>
      </c>
      <c r="H61" s="426">
        <v>7.45</v>
      </c>
      <c r="I61" s="426">
        <v>104.12</v>
      </c>
      <c r="J61" s="426">
        <v>-87.5</v>
      </c>
      <c r="K61" s="426">
        <v>0</v>
      </c>
      <c r="L61" s="426">
        <f aca="true" t="shared" si="4" ref="L61:L78">F61+G61+H61+I61-J61+K61</f>
        <v>7003.34</v>
      </c>
    </row>
    <row r="62" spans="1:12" ht="12.75" outlineLevel="1">
      <c r="A62" s="423" t="s">
        <v>3459</v>
      </c>
      <c r="B62" s="424"/>
      <c r="C62" s="425" t="s">
        <v>3460</v>
      </c>
      <c r="D62" s="425" t="str">
        <f t="shared" si="3"/>
        <v>DR G ROTH DENT ST LN</v>
      </c>
      <c r="E62" s="425"/>
      <c r="F62" s="426">
        <v>21018.46</v>
      </c>
      <c r="G62" s="426">
        <v>0</v>
      </c>
      <c r="H62" s="426">
        <v>662.87</v>
      </c>
      <c r="I62" s="426">
        <v>347.68</v>
      </c>
      <c r="J62" s="426">
        <v>-375</v>
      </c>
      <c r="K62" s="426">
        <v>0</v>
      </c>
      <c r="L62" s="426">
        <f t="shared" si="4"/>
        <v>22404.01</v>
      </c>
    </row>
    <row r="63" spans="1:12" ht="12.75" outlineLevel="1">
      <c r="A63" s="423" t="s">
        <v>3461</v>
      </c>
      <c r="B63" s="424"/>
      <c r="C63" s="425" t="s">
        <v>3462</v>
      </c>
      <c r="D63" s="425" t="str">
        <f t="shared" si="3"/>
        <v>J R SWARTZ MEMORIAL</v>
      </c>
      <c r="E63" s="425"/>
      <c r="F63" s="426">
        <v>2707.32</v>
      </c>
      <c r="G63" s="426">
        <v>0</v>
      </c>
      <c r="H63" s="426">
        <v>0</v>
      </c>
      <c r="I63" s="426">
        <v>92.93</v>
      </c>
      <c r="J63" s="426">
        <v>0</v>
      </c>
      <c r="K63" s="426">
        <v>0</v>
      </c>
      <c r="L63" s="426">
        <f t="shared" si="4"/>
        <v>2800.25</v>
      </c>
    </row>
    <row r="64" spans="1:12" ht="12.75" outlineLevel="1">
      <c r="A64" s="423" t="s">
        <v>3463</v>
      </c>
      <c r="B64" s="424"/>
      <c r="C64" s="425" t="s">
        <v>3464</v>
      </c>
      <c r="D64" s="425" t="str">
        <f t="shared" si="3"/>
        <v>MURRAY STUDENT LOAN</v>
      </c>
      <c r="E64" s="425"/>
      <c r="F64" s="426">
        <v>313262.17</v>
      </c>
      <c r="G64" s="426">
        <v>0</v>
      </c>
      <c r="H64" s="426">
        <v>4908.74</v>
      </c>
      <c r="I64" s="426">
        <v>13835.64</v>
      </c>
      <c r="J64" s="426">
        <v>-718.66</v>
      </c>
      <c r="K64" s="426">
        <v>0</v>
      </c>
      <c r="L64" s="426">
        <f t="shared" si="4"/>
        <v>332725.20999999996</v>
      </c>
    </row>
    <row r="65" spans="1:12" ht="12.75" outlineLevel="1">
      <c r="A65" s="423" t="s">
        <v>3465</v>
      </c>
      <c r="B65" s="424"/>
      <c r="C65" s="425" t="s">
        <v>3466</v>
      </c>
      <c r="D65" s="425" t="str">
        <f t="shared" si="3"/>
        <v>ARTHUR NELSON LOAN</v>
      </c>
      <c r="E65" s="425"/>
      <c r="F65" s="426">
        <v>0</v>
      </c>
      <c r="G65" s="426">
        <v>0</v>
      </c>
      <c r="H65" s="426">
        <v>0</v>
      </c>
      <c r="I65" s="426">
        <v>0</v>
      </c>
      <c r="J65" s="426">
        <v>0</v>
      </c>
      <c r="K65" s="426">
        <v>0</v>
      </c>
      <c r="L65" s="426">
        <f t="shared" si="4"/>
        <v>0</v>
      </c>
    </row>
    <row r="66" spans="1:12" ht="12.75" outlineLevel="1">
      <c r="A66" s="423" t="s">
        <v>3467</v>
      </c>
      <c r="B66" s="424"/>
      <c r="C66" s="425" t="s">
        <v>3468</v>
      </c>
      <c r="D66" s="425" t="str">
        <f t="shared" si="3"/>
        <v>O'DELL DENTAL LOAN</v>
      </c>
      <c r="E66" s="425"/>
      <c r="F66" s="426">
        <v>57061.72</v>
      </c>
      <c r="G66" s="426">
        <v>0</v>
      </c>
      <c r="H66" s="426">
        <v>1014.32</v>
      </c>
      <c r="I66" s="426">
        <v>358.73</v>
      </c>
      <c r="J66" s="426">
        <v>-220</v>
      </c>
      <c r="K66" s="426">
        <v>0</v>
      </c>
      <c r="L66" s="426">
        <f t="shared" si="4"/>
        <v>58654.770000000004</v>
      </c>
    </row>
    <row r="67" spans="1:12" ht="12.75" outlineLevel="1">
      <c r="A67" s="423" t="s">
        <v>3469</v>
      </c>
      <c r="B67" s="424"/>
      <c r="C67" s="425" t="s">
        <v>3470</v>
      </c>
      <c r="D67" s="425" t="str">
        <f t="shared" si="3"/>
        <v>ORTHO STUDENT LOAN</v>
      </c>
      <c r="E67" s="425"/>
      <c r="F67" s="426">
        <v>2432.57</v>
      </c>
      <c r="G67" s="426">
        <v>0</v>
      </c>
      <c r="H67" s="426">
        <v>0</v>
      </c>
      <c r="I67" s="426">
        <v>102.41</v>
      </c>
      <c r="J67" s="426">
        <v>0</v>
      </c>
      <c r="K67" s="426">
        <v>0</v>
      </c>
      <c r="L67" s="426">
        <f t="shared" si="4"/>
        <v>2534.98</v>
      </c>
    </row>
    <row r="68" spans="1:12" ht="12.75" outlineLevel="1">
      <c r="A68" s="423" t="s">
        <v>3471</v>
      </c>
      <c r="B68" s="424"/>
      <c r="C68" s="425" t="s">
        <v>3472</v>
      </c>
      <c r="D68" s="425" t="str">
        <f t="shared" si="3"/>
        <v>RODDY OSBORNE FUND</v>
      </c>
      <c r="E68" s="425"/>
      <c r="F68" s="426">
        <v>3817.05</v>
      </c>
      <c r="G68" s="426">
        <v>0</v>
      </c>
      <c r="H68" s="426">
        <v>0</v>
      </c>
      <c r="I68" s="426">
        <v>157.05</v>
      </c>
      <c r="J68" s="426">
        <v>99.99</v>
      </c>
      <c r="K68" s="426">
        <v>0</v>
      </c>
      <c r="L68" s="426">
        <f t="shared" si="4"/>
        <v>3874.1100000000006</v>
      </c>
    </row>
    <row r="69" spans="1:12" ht="12.75" outlineLevel="1">
      <c r="A69" s="423" t="s">
        <v>3473</v>
      </c>
      <c r="B69" s="424"/>
      <c r="C69" s="425" t="s">
        <v>3474</v>
      </c>
      <c r="D69" s="425" t="str">
        <f t="shared" si="3"/>
        <v>PARROTT FDN LOAN</v>
      </c>
      <c r="E69" s="425"/>
      <c r="F69" s="426">
        <v>180087.07</v>
      </c>
      <c r="G69" s="426">
        <v>0</v>
      </c>
      <c r="H69" s="426">
        <v>655.46</v>
      </c>
      <c r="I69" s="426">
        <v>6831.57</v>
      </c>
      <c r="J69" s="426">
        <v>-577.04</v>
      </c>
      <c r="K69" s="426">
        <v>0</v>
      </c>
      <c r="L69" s="426">
        <f t="shared" si="4"/>
        <v>188151.14</v>
      </c>
    </row>
    <row r="70" spans="1:12" ht="12.75" outlineLevel="1">
      <c r="A70" s="423" t="s">
        <v>3475</v>
      </c>
      <c r="B70" s="424"/>
      <c r="C70" s="425" t="s">
        <v>3476</v>
      </c>
      <c r="D70" s="425" t="str">
        <f t="shared" si="3"/>
        <v>J C PENTICUFF MEMOR</v>
      </c>
      <c r="E70" s="425"/>
      <c r="F70" s="426">
        <v>13031.7</v>
      </c>
      <c r="G70" s="426">
        <v>0</v>
      </c>
      <c r="H70" s="426">
        <v>152.15</v>
      </c>
      <c r="I70" s="426">
        <v>334.54</v>
      </c>
      <c r="J70" s="426">
        <v>307.5</v>
      </c>
      <c r="K70" s="426">
        <v>0</v>
      </c>
      <c r="L70" s="426">
        <f t="shared" si="4"/>
        <v>13210.890000000001</v>
      </c>
    </row>
    <row r="71" spans="1:12" ht="12.75" outlineLevel="1">
      <c r="A71" s="423" t="s">
        <v>3477</v>
      </c>
      <c r="B71" s="424"/>
      <c r="C71" s="425" t="s">
        <v>3478</v>
      </c>
      <c r="D71" s="425" t="str">
        <f t="shared" si="3"/>
        <v>PHARMACY ALUMNI LOAN</v>
      </c>
      <c r="E71" s="425"/>
      <c r="F71" s="426">
        <v>7858.55</v>
      </c>
      <c r="G71" s="426">
        <v>0</v>
      </c>
      <c r="H71" s="426">
        <v>86.88</v>
      </c>
      <c r="I71" s="426">
        <v>19.26</v>
      </c>
      <c r="J71" s="426">
        <v>0</v>
      </c>
      <c r="K71" s="426">
        <v>0</v>
      </c>
      <c r="L71" s="426">
        <f t="shared" si="4"/>
        <v>7964.6900000000005</v>
      </c>
    </row>
    <row r="72" spans="1:12" ht="12.75" outlineLevel="1">
      <c r="A72" s="423" t="s">
        <v>3479</v>
      </c>
      <c r="B72" s="424"/>
      <c r="C72" s="425" t="s">
        <v>3480</v>
      </c>
      <c r="D72" s="425" t="str">
        <f t="shared" si="3"/>
        <v>PHARM-CHEM ALLIED CO</v>
      </c>
      <c r="E72" s="425"/>
      <c r="F72" s="426">
        <v>3441.13</v>
      </c>
      <c r="G72" s="426">
        <v>0</v>
      </c>
      <c r="H72" s="426">
        <v>58.92</v>
      </c>
      <c r="I72" s="426">
        <v>28.29</v>
      </c>
      <c r="J72" s="426">
        <v>1.41</v>
      </c>
      <c r="K72" s="426">
        <v>0</v>
      </c>
      <c r="L72" s="426">
        <f t="shared" si="4"/>
        <v>3526.9300000000003</v>
      </c>
    </row>
    <row r="73" spans="1:12" ht="12.75" outlineLevel="1">
      <c r="A73" s="423" t="s">
        <v>3481</v>
      </c>
      <c r="B73" s="424"/>
      <c r="C73" s="425" t="s">
        <v>3482</v>
      </c>
      <c r="D73" s="425" t="str">
        <f aca="true" t="shared" si="5" ref="D73:D104">UPPER(C73)</f>
        <v>PHARMACY-I KATZ MEM</v>
      </c>
      <c r="E73" s="425"/>
      <c r="F73" s="426">
        <v>4005.22</v>
      </c>
      <c r="G73" s="426">
        <v>0</v>
      </c>
      <c r="H73" s="426">
        <v>0</v>
      </c>
      <c r="I73" s="426">
        <v>84.41</v>
      </c>
      <c r="J73" s="426">
        <v>0</v>
      </c>
      <c r="K73" s="426">
        <v>0</v>
      </c>
      <c r="L73" s="426">
        <f t="shared" si="4"/>
        <v>4089.6299999999997</v>
      </c>
    </row>
    <row r="74" spans="1:12" ht="12.75" outlineLevel="1">
      <c r="A74" s="423" t="s">
        <v>3483</v>
      </c>
      <c r="B74" s="424"/>
      <c r="C74" s="425" t="s">
        <v>3484</v>
      </c>
      <c r="D74" s="425" t="str">
        <f t="shared" si="5"/>
        <v>PHARM-J S WATKINS LN</v>
      </c>
      <c r="E74" s="425"/>
      <c r="F74" s="426">
        <v>2130.8</v>
      </c>
      <c r="G74" s="426">
        <v>0</v>
      </c>
      <c r="H74" s="426">
        <v>4.5</v>
      </c>
      <c r="I74" s="426">
        <v>64.09</v>
      </c>
      <c r="J74" s="426">
        <v>0</v>
      </c>
      <c r="K74" s="426">
        <v>0</v>
      </c>
      <c r="L74" s="426">
        <f t="shared" si="4"/>
        <v>2199.3900000000003</v>
      </c>
    </row>
    <row r="75" spans="1:12" ht="12.75" outlineLevel="1">
      <c r="A75" s="423" t="s">
        <v>3485</v>
      </c>
      <c r="B75" s="424"/>
      <c r="C75" s="425" t="s">
        <v>3486</v>
      </c>
      <c r="D75" s="425" t="str">
        <f t="shared" si="5"/>
        <v>PETER POTTER LOAN</v>
      </c>
      <c r="E75" s="425"/>
      <c r="F75" s="426">
        <v>-128.3</v>
      </c>
      <c r="G75" s="426">
        <v>0</v>
      </c>
      <c r="H75" s="426">
        <v>0</v>
      </c>
      <c r="I75" s="426">
        <v>-37</v>
      </c>
      <c r="J75" s="426">
        <v>0</v>
      </c>
      <c r="K75" s="426">
        <v>0</v>
      </c>
      <c r="L75" s="426">
        <f t="shared" si="4"/>
        <v>-165.3</v>
      </c>
    </row>
    <row r="76" spans="1:12" ht="12.75" outlineLevel="1">
      <c r="A76" s="423" t="s">
        <v>3487</v>
      </c>
      <c r="B76" s="424"/>
      <c r="C76" s="425" t="s">
        <v>3488</v>
      </c>
      <c r="D76" s="425" t="str">
        <f t="shared" si="5"/>
        <v>POWELL REVOLVING LN</v>
      </c>
      <c r="E76" s="425"/>
      <c r="F76" s="426">
        <v>2067.92</v>
      </c>
      <c r="G76" s="426">
        <v>0</v>
      </c>
      <c r="H76" s="426">
        <v>0</v>
      </c>
      <c r="I76" s="426">
        <v>87.07</v>
      </c>
      <c r="J76" s="426">
        <v>0</v>
      </c>
      <c r="K76" s="426">
        <v>0</v>
      </c>
      <c r="L76" s="426">
        <f t="shared" si="4"/>
        <v>2154.9900000000002</v>
      </c>
    </row>
    <row r="77" spans="1:12" ht="12.75" outlineLevel="1">
      <c r="A77" s="423" t="s">
        <v>3489</v>
      </c>
      <c r="B77" s="424"/>
      <c r="C77" s="425" t="s">
        <v>3490</v>
      </c>
      <c r="D77" s="425" t="str">
        <f t="shared" si="5"/>
        <v>RUEBEN RHODES MEM</v>
      </c>
      <c r="E77" s="425"/>
      <c r="F77" s="426">
        <v>10512.68</v>
      </c>
      <c r="G77" s="426">
        <v>0</v>
      </c>
      <c r="H77" s="426">
        <v>60.64</v>
      </c>
      <c r="I77" s="426">
        <v>119.16</v>
      </c>
      <c r="J77" s="426">
        <v>0</v>
      </c>
      <c r="K77" s="426">
        <v>0</v>
      </c>
      <c r="L77" s="426">
        <f t="shared" si="4"/>
        <v>10692.48</v>
      </c>
    </row>
    <row r="78" spans="1:12" ht="12.75" outlineLevel="1">
      <c r="A78" s="423" t="s">
        <v>3491</v>
      </c>
      <c r="B78" s="424"/>
      <c r="C78" s="425" t="s">
        <v>3492</v>
      </c>
      <c r="D78" s="425" t="str">
        <f t="shared" si="5"/>
        <v>SCHOOL OF PHARMACY</v>
      </c>
      <c r="E78" s="425"/>
      <c r="F78" s="426">
        <v>18032.14</v>
      </c>
      <c r="G78" s="426">
        <v>0</v>
      </c>
      <c r="H78" s="426">
        <v>-865.21</v>
      </c>
      <c r="I78" s="426">
        <v>80.11</v>
      </c>
      <c r="J78" s="426">
        <v>-37.5</v>
      </c>
      <c r="K78" s="426">
        <v>0</v>
      </c>
      <c r="L78" s="426">
        <f t="shared" si="4"/>
        <v>17284.54</v>
      </c>
    </row>
    <row r="79" spans="1:12" ht="12.75" outlineLevel="1">
      <c r="A79" s="423" t="s">
        <v>3493</v>
      </c>
      <c r="B79" s="424"/>
      <c r="C79" s="425" t="s">
        <v>3494</v>
      </c>
      <c r="D79" s="425" t="str">
        <f t="shared" si="5"/>
        <v>O M SCOTT LOAN FUND</v>
      </c>
      <c r="E79" s="425"/>
      <c r="F79" s="426">
        <v>0</v>
      </c>
      <c r="G79" s="426">
        <v>0</v>
      </c>
      <c r="H79" s="426">
        <v>406.79</v>
      </c>
      <c r="I79" s="426">
        <v>457.17</v>
      </c>
      <c r="J79" s="426">
        <v>0</v>
      </c>
      <c r="K79" s="426">
        <v>-863.9599999999991</v>
      </c>
      <c r="L79" s="426">
        <v>0</v>
      </c>
    </row>
    <row r="80" spans="1:12" ht="12.75" outlineLevel="1">
      <c r="A80" s="423" t="s">
        <v>3495</v>
      </c>
      <c r="B80" s="424"/>
      <c r="C80" s="425" t="s">
        <v>3496</v>
      </c>
      <c r="D80" s="425" t="str">
        <f t="shared" si="5"/>
        <v>SECOND PRESB INTL LN</v>
      </c>
      <c r="E80" s="425"/>
      <c r="F80" s="426">
        <v>6835.54</v>
      </c>
      <c r="G80" s="426">
        <v>0</v>
      </c>
      <c r="H80" s="426">
        <v>74.2</v>
      </c>
      <c r="I80" s="426">
        <v>86.66</v>
      </c>
      <c r="J80" s="426">
        <v>-289.62</v>
      </c>
      <c r="K80" s="426">
        <v>0</v>
      </c>
      <c r="L80" s="426">
        <f aca="true" t="shared" si="6" ref="L80:L104">F80+G80+H80+I80-J80+K80</f>
        <v>7286.0199999999995</v>
      </c>
    </row>
    <row r="81" spans="1:12" ht="12.75" outlineLevel="1">
      <c r="A81" s="423" t="s">
        <v>3497</v>
      </c>
      <c r="B81" s="424"/>
      <c r="C81" s="425" t="s">
        <v>3498</v>
      </c>
      <c r="D81" s="425" t="str">
        <f t="shared" si="5"/>
        <v>R A SHANNON LOAN</v>
      </c>
      <c r="E81" s="425"/>
      <c r="F81" s="426">
        <v>11830.03</v>
      </c>
      <c r="G81" s="426">
        <v>0</v>
      </c>
      <c r="H81" s="426">
        <v>113.64</v>
      </c>
      <c r="I81" s="426">
        <v>406.67</v>
      </c>
      <c r="J81" s="426">
        <v>0</v>
      </c>
      <c r="K81" s="426">
        <v>0</v>
      </c>
      <c r="L81" s="426">
        <f t="shared" si="6"/>
        <v>12350.34</v>
      </c>
    </row>
    <row r="82" spans="1:12" ht="12.75" outlineLevel="1">
      <c r="A82" s="423" t="s">
        <v>3499</v>
      </c>
      <c r="B82" s="424"/>
      <c r="C82" s="425" t="s">
        <v>3500</v>
      </c>
      <c r="D82" s="425" t="str">
        <f t="shared" si="5"/>
        <v>SMALL LOAN EMERG FD</v>
      </c>
      <c r="E82" s="425"/>
      <c r="F82" s="426">
        <v>10668.72</v>
      </c>
      <c r="G82" s="426">
        <v>0</v>
      </c>
      <c r="H82" s="426">
        <v>0</v>
      </c>
      <c r="I82" s="426">
        <v>-50.78</v>
      </c>
      <c r="J82" s="426">
        <v>-401.59</v>
      </c>
      <c r="K82" s="426">
        <v>0</v>
      </c>
      <c r="L82" s="426">
        <f t="shared" si="6"/>
        <v>11019.529999999999</v>
      </c>
    </row>
    <row r="83" spans="1:12" ht="12.75" outlineLevel="1">
      <c r="A83" s="423" t="s">
        <v>3501</v>
      </c>
      <c r="B83" s="424"/>
      <c r="C83" s="425" t="s">
        <v>3502</v>
      </c>
      <c r="D83" s="425" t="str">
        <f t="shared" si="5"/>
        <v>R &amp; H SMITH LOAN</v>
      </c>
      <c r="E83" s="425"/>
      <c r="F83" s="426">
        <v>1540.51</v>
      </c>
      <c r="G83" s="426">
        <v>0</v>
      </c>
      <c r="H83" s="426">
        <v>0</v>
      </c>
      <c r="I83" s="426">
        <v>64.86</v>
      </c>
      <c r="J83" s="426">
        <v>0</v>
      </c>
      <c r="K83" s="426">
        <v>0</v>
      </c>
      <c r="L83" s="426">
        <f t="shared" si="6"/>
        <v>1605.37</v>
      </c>
    </row>
    <row r="84" spans="1:12" ht="12.75" outlineLevel="1">
      <c r="A84" s="423" t="s">
        <v>3503</v>
      </c>
      <c r="B84" s="424"/>
      <c r="C84" s="425" t="s">
        <v>3504</v>
      </c>
      <c r="D84" s="425" t="str">
        <f t="shared" si="5"/>
        <v>SOC OF NEW ENG WOMEN</v>
      </c>
      <c r="E84" s="425"/>
      <c r="F84" s="426">
        <v>2651.16</v>
      </c>
      <c r="G84" s="426">
        <v>0</v>
      </c>
      <c r="H84" s="426">
        <v>0</v>
      </c>
      <c r="I84" s="426">
        <v>111.63</v>
      </c>
      <c r="J84" s="426">
        <v>0</v>
      </c>
      <c r="K84" s="426">
        <v>0</v>
      </c>
      <c r="L84" s="426">
        <f t="shared" si="6"/>
        <v>2762.79</v>
      </c>
    </row>
    <row r="85" spans="1:12" ht="12.75" outlineLevel="1">
      <c r="A85" s="423" t="s">
        <v>3505</v>
      </c>
      <c r="B85" s="424"/>
      <c r="C85" s="425" t="s">
        <v>3506</v>
      </c>
      <c r="D85" s="425" t="str">
        <f t="shared" si="5"/>
        <v>SW DIST DENT STU LN</v>
      </c>
      <c r="E85" s="425"/>
      <c r="F85" s="426">
        <v>2899.47</v>
      </c>
      <c r="G85" s="426">
        <v>0</v>
      </c>
      <c r="H85" s="426">
        <v>0</v>
      </c>
      <c r="I85" s="426">
        <v>68.44</v>
      </c>
      <c r="J85" s="426">
        <v>0</v>
      </c>
      <c r="K85" s="426">
        <v>0</v>
      </c>
      <c r="L85" s="426">
        <f t="shared" si="6"/>
        <v>2967.91</v>
      </c>
    </row>
    <row r="86" spans="1:12" ht="12.75" outlineLevel="1">
      <c r="A86" s="423" t="s">
        <v>3507</v>
      </c>
      <c r="B86" s="424"/>
      <c r="C86" s="425" t="s">
        <v>3508</v>
      </c>
      <c r="D86" s="425" t="str">
        <f t="shared" si="5"/>
        <v>T DUFF STEWARD MEM</v>
      </c>
      <c r="E86" s="425"/>
      <c r="F86" s="426">
        <v>8698.28</v>
      </c>
      <c r="G86" s="426">
        <v>0</v>
      </c>
      <c r="H86" s="426">
        <v>0</v>
      </c>
      <c r="I86" s="426">
        <v>338.82</v>
      </c>
      <c r="J86" s="426">
        <v>0</v>
      </c>
      <c r="K86" s="426">
        <v>0</v>
      </c>
      <c r="L86" s="426">
        <f t="shared" si="6"/>
        <v>9037.1</v>
      </c>
    </row>
    <row r="87" spans="1:12" ht="12.75" outlineLevel="1">
      <c r="A87" s="423" t="s">
        <v>3509</v>
      </c>
      <c r="B87" s="424"/>
      <c r="C87" s="425" t="s">
        <v>3510</v>
      </c>
      <c r="D87" s="425" t="str">
        <f t="shared" si="5"/>
        <v>FRIENDS MEDICAL LOAN</v>
      </c>
      <c r="E87" s="425"/>
      <c r="F87" s="426">
        <v>3731.76</v>
      </c>
      <c r="G87" s="426">
        <v>0</v>
      </c>
      <c r="H87" s="426">
        <v>0</v>
      </c>
      <c r="I87" s="426">
        <v>157.11</v>
      </c>
      <c r="J87" s="426">
        <v>0</v>
      </c>
      <c r="K87" s="426">
        <v>0</v>
      </c>
      <c r="L87" s="426">
        <f t="shared" si="6"/>
        <v>3888.8700000000003</v>
      </c>
    </row>
    <row r="88" spans="1:12" ht="12.75" outlineLevel="1">
      <c r="A88" s="423" t="s">
        <v>3511</v>
      </c>
      <c r="B88" s="424"/>
      <c r="C88" s="425" t="s">
        <v>3512</v>
      </c>
      <c r="D88" s="425" t="str">
        <f t="shared" si="5"/>
        <v>STUDENT AID FUND</v>
      </c>
      <c r="E88" s="425"/>
      <c r="F88" s="426">
        <v>15442.47</v>
      </c>
      <c r="G88" s="426">
        <v>0</v>
      </c>
      <c r="H88" s="426">
        <v>68.9</v>
      </c>
      <c r="I88" s="426">
        <v>612.79</v>
      </c>
      <c r="J88" s="426">
        <v>-3</v>
      </c>
      <c r="K88" s="426">
        <v>0</v>
      </c>
      <c r="L88" s="426">
        <f t="shared" si="6"/>
        <v>16127.16</v>
      </c>
    </row>
    <row r="89" spans="1:12" ht="12.75" outlineLevel="1">
      <c r="A89" s="423" t="s">
        <v>3513</v>
      </c>
      <c r="B89" s="424"/>
      <c r="C89" s="425" t="s">
        <v>3514</v>
      </c>
      <c r="D89" s="425" t="str">
        <f t="shared" si="5"/>
        <v>TOPEKA DENT AUX LN</v>
      </c>
      <c r="E89" s="425"/>
      <c r="F89" s="426">
        <v>7709.61</v>
      </c>
      <c r="G89" s="426">
        <v>0</v>
      </c>
      <c r="H89" s="426">
        <v>169.85</v>
      </c>
      <c r="I89" s="426">
        <v>74.4</v>
      </c>
      <c r="J89" s="426">
        <v>0</v>
      </c>
      <c r="K89" s="426">
        <v>0</v>
      </c>
      <c r="L89" s="426">
        <f t="shared" si="6"/>
        <v>7953.86</v>
      </c>
    </row>
    <row r="90" spans="1:12" ht="12.75" outlineLevel="1">
      <c r="A90" s="423" t="s">
        <v>3515</v>
      </c>
      <c r="B90" s="424"/>
      <c r="C90" s="425" t="s">
        <v>3516</v>
      </c>
      <c r="D90" s="425" t="str">
        <f t="shared" si="5"/>
        <v>UNITED STUDENT AID</v>
      </c>
      <c r="E90" s="425"/>
      <c r="F90" s="426">
        <v>39499.39</v>
      </c>
      <c r="G90" s="426">
        <v>0</v>
      </c>
      <c r="H90" s="426">
        <v>0</v>
      </c>
      <c r="I90" s="426">
        <v>0</v>
      </c>
      <c r="J90" s="426">
        <v>0</v>
      </c>
      <c r="K90" s="426">
        <v>0</v>
      </c>
      <c r="L90" s="426">
        <f t="shared" si="6"/>
        <v>39499.39</v>
      </c>
    </row>
    <row r="91" spans="1:12" ht="12.75" outlineLevel="1">
      <c r="A91" s="423" t="s">
        <v>3517</v>
      </c>
      <c r="B91" s="424"/>
      <c r="C91" s="425" t="s">
        <v>3518</v>
      </c>
      <c r="D91" s="425" t="str">
        <f t="shared" si="5"/>
        <v>UMKC ALUMNI EMERG LN</v>
      </c>
      <c r="E91" s="425"/>
      <c r="F91" s="426">
        <v>6250.06</v>
      </c>
      <c r="G91" s="426">
        <v>0</v>
      </c>
      <c r="H91" s="426">
        <v>0</v>
      </c>
      <c r="I91" s="426">
        <v>225.16</v>
      </c>
      <c r="J91" s="426">
        <v>0</v>
      </c>
      <c r="K91" s="426">
        <v>0</v>
      </c>
      <c r="L91" s="426">
        <f t="shared" si="6"/>
        <v>6475.22</v>
      </c>
    </row>
    <row r="92" spans="1:12" ht="12.75" outlineLevel="1">
      <c r="A92" s="423" t="s">
        <v>3519</v>
      </c>
      <c r="B92" s="424"/>
      <c r="C92" s="425" t="s">
        <v>3520</v>
      </c>
      <c r="D92" s="425" t="str">
        <f t="shared" si="5"/>
        <v>UMKC S-T LOANS</v>
      </c>
      <c r="E92" s="425"/>
      <c r="F92" s="426">
        <v>0</v>
      </c>
      <c r="G92" s="426">
        <v>0</v>
      </c>
      <c r="H92" s="426">
        <v>0</v>
      </c>
      <c r="I92" s="426">
        <v>0</v>
      </c>
      <c r="J92" s="426">
        <v>17.33</v>
      </c>
      <c r="K92" s="426">
        <v>0</v>
      </c>
      <c r="L92" s="426">
        <f t="shared" si="6"/>
        <v>-17.33</v>
      </c>
    </row>
    <row r="93" spans="1:12" ht="12.75" outlineLevel="1">
      <c r="A93" s="423" t="s">
        <v>3521</v>
      </c>
      <c r="B93" s="424"/>
      <c r="C93" s="425" t="s">
        <v>3522</v>
      </c>
      <c r="D93" s="425" t="str">
        <f t="shared" si="5"/>
        <v>C E VIRDEN MED STULN</v>
      </c>
      <c r="E93" s="425"/>
      <c r="F93" s="426">
        <v>18304.41</v>
      </c>
      <c r="G93" s="426">
        <v>0</v>
      </c>
      <c r="H93" s="426">
        <v>46.04</v>
      </c>
      <c r="I93" s="426">
        <v>202.49</v>
      </c>
      <c r="J93" s="426">
        <v>0</v>
      </c>
      <c r="K93" s="426">
        <v>0</v>
      </c>
      <c r="L93" s="426">
        <f t="shared" si="6"/>
        <v>18552.940000000002</v>
      </c>
    </row>
    <row r="94" spans="1:12" ht="12.75" outlineLevel="1">
      <c r="A94" s="423" t="s">
        <v>3523</v>
      </c>
      <c r="B94" s="424"/>
      <c r="C94" s="425" t="s">
        <v>3524</v>
      </c>
      <c r="D94" s="425" t="str">
        <f t="shared" si="5"/>
        <v>W CENT RET DRUG ASSN</v>
      </c>
      <c r="E94" s="425"/>
      <c r="F94" s="426">
        <v>1943.94</v>
      </c>
      <c r="G94" s="426">
        <v>0</v>
      </c>
      <c r="H94" s="426">
        <v>0</v>
      </c>
      <c r="I94" s="426">
        <v>48.16</v>
      </c>
      <c r="J94" s="426">
        <v>0</v>
      </c>
      <c r="K94" s="426">
        <v>0</v>
      </c>
      <c r="L94" s="426">
        <f t="shared" si="6"/>
        <v>1992.1000000000001</v>
      </c>
    </row>
    <row r="95" spans="1:12" ht="12.75" outlineLevel="1">
      <c r="A95" s="423" t="s">
        <v>3525</v>
      </c>
      <c r="B95" s="424"/>
      <c r="C95" s="425" t="s">
        <v>3526</v>
      </c>
      <c r="D95" s="425" t="str">
        <f t="shared" si="5"/>
        <v>WEST MO FRIEND EM LN</v>
      </c>
      <c r="E95" s="425"/>
      <c r="F95" s="426">
        <v>1983.97</v>
      </c>
      <c r="G95" s="426">
        <v>0</v>
      </c>
      <c r="H95" s="426">
        <v>0</v>
      </c>
      <c r="I95" s="426">
        <v>64.56</v>
      </c>
      <c r="J95" s="426">
        <v>0</v>
      </c>
      <c r="K95" s="426">
        <v>0</v>
      </c>
      <c r="L95" s="426">
        <f t="shared" si="6"/>
        <v>2048.53</v>
      </c>
    </row>
    <row r="96" spans="1:12" ht="12.75" outlineLevel="1">
      <c r="A96" s="423" t="s">
        <v>3527</v>
      </c>
      <c r="B96" s="424"/>
      <c r="C96" s="425" t="s">
        <v>3528</v>
      </c>
      <c r="D96" s="425" t="str">
        <f t="shared" si="5"/>
        <v>W WILLIAMS LOAN FUND</v>
      </c>
      <c r="E96" s="425"/>
      <c r="F96" s="426">
        <v>0</v>
      </c>
      <c r="G96" s="426">
        <v>0</v>
      </c>
      <c r="H96" s="426">
        <v>0</v>
      </c>
      <c r="I96" s="426">
        <v>0</v>
      </c>
      <c r="J96" s="426">
        <v>12.55</v>
      </c>
      <c r="K96" s="426">
        <v>0</v>
      </c>
      <c r="L96" s="426">
        <f t="shared" si="6"/>
        <v>-12.55</v>
      </c>
    </row>
    <row r="97" spans="1:12" ht="12.75" outlineLevel="1">
      <c r="A97" s="423" t="s">
        <v>3529</v>
      </c>
      <c r="B97" s="424"/>
      <c r="C97" s="425" t="s">
        <v>3530</v>
      </c>
      <c r="D97" s="425" t="str">
        <f t="shared" si="5"/>
        <v>R W WORTS MEM ST LN</v>
      </c>
      <c r="E97" s="425"/>
      <c r="F97" s="426">
        <v>3270.52</v>
      </c>
      <c r="G97" s="426">
        <v>0</v>
      </c>
      <c r="H97" s="426">
        <v>0</v>
      </c>
      <c r="I97" s="426">
        <v>7.65</v>
      </c>
      <c r="J97" s="426">
        <v>-11</v>
      </c>
      <c r="K97" s="426">
        <v>0</v>
      </c>
      <c r="L97" s="426">
        <f t="shared" si="6"/>
        <v>3289.17</v>
      </c>
    </row>
    <row r="98" spans="1:12" ht="12.75" outlineLevel="1">
      <c r="A98" s="423" t="s">
        <v>3531</v>
      </c>
      <c r="B98" s="424"/>
      <c r="C98" s="425" t="s">
        <v>3532</v>
      </c>
      <c r="D98" s="425" t="str">
        <f t="shared" si="5"/>
        <v>WYANDOTTE CO DENT SO</v>
      </c>
      <c r="E98" s="425"/>
      <c r="F98" s="426">
        <v>2585.82</v>
      </c>
      <c r="G98" s="426">
        <v>0</v>
      </c>
      <c r="H98" s="426">
        <v>0</v>
      </c>
      <c r="I98" s="426">
        <v>4.78</v>
      </c>
      <c r="J98" s="426">
        <v>0</v>
      </c>
      <c r="K98" s="426">
        <v>0</v>
      </c>
      <c r="L98" s="426">
        <f t="shared" si="6"/>
        <v>2590.6000000000004</v>
      </c>
    </row>
    <row r="99" spans="1:12" ht="12.75" outlineLevel="1">
      <c r="A99" s="423" t="s">
        <v>3533</v>
      </c>
      <c r="B99" s="424"/>
      <c r="C99" s="425" t="s">
        <v>3534</v>
      </c>
      <c r="D99" s="425" t="str">
        <f t="shared" si="5"/>
        <v>STUDENT LOAN SUSPENS</v>
      </c>
      <c r="E99" s="425"/>
      <c r="F99" s="426">
        <v>-4013.62</v>
      </c>
      <c r="G99" s="426">
        <v>0</v>
      </c>
      <c r="H99" s="426">
        <v>0</v>
      </c>
      <c r="I99" s="426">
        <v>6043.41</v>
      </c>
      <c r="J99" s="426">
        <v>1887.16</v>
      </c>
      <c r="K99" s="426">
        <v>0</v>
      </c>
      <c r="L99" s="426">
        <f t="shared" si="6"/>
        <v>142.62999999999988</v>
      </c>
    </row>
    <row r="100" spans="1:12" ht="12.75" outlineLevel="1">
      <c r="A100" s="423" t="s">
        <v>3535</v>
      </c>
      <c r="B100" s="424"/>
      <c r="C100" s="425" t="s">
        <v>3536</v>
      </c>
      <c r="D100" s="425" t="str">
        <f t="shared" si="5"/>
        <v>ALW-DBFL LN N-FD RE</v>
      </c>
      <c r="E100" s="425"/>
      <c r="F100" s="426">
        <v>-206256.74</v>
      </c>
      <c r="G100" s="426">
        <v>0</v>
      </c>
      <c r="H100" s="426">
        <v>0</v>
      </c>
      <c r="I100" s="426">
        <v>-0.7</v>
      </c>
      <c r="J100" s="426">
        <v>0</v>
      </c>
      <c r="K100" s="426">
        <v>0</v>
      </c>
      <c r="L100" s="426">
        <f t="shared" si="6"/>
        <v>-206257.44</v>
      </c>
    </row>
    <row r="101" spans="1:12" ht="12.75" outlineLevel="1">
      <c r="A101" s="423" t="s">
        <v>3537</v>
      </c>
      <c r="C101" s="459" t="s">
        <v>3538</v>
      </c>
      <c r="D101" s="459" t="str">
        <f t="shared" si="5"/>
        <v>UMKC ALUM ASSN LOAN</v>
      </c>
      <c r="F101" s="461">
        <v>34.07</v>
      </c>
      <c r="G101" s="461">
        <v>0</v>
      </c>
      <c r="H101" s="461">
        <v>0</v>
      </c>
      <c r="I101" s="461">
        <v>1.45</v>
      </c>
      <c r="J101" s="461">
        <v>0</v>
      </c>
      <c r="K101" s="461">
        <v>0</v>
      </c>
      <c r="L101" s="461">
        <f t="shared" si="6"/>
        <v>35.52</v>
      </c>
    </row>
    <row r="102" spans="1:12" ht="12.75" outlineLevel="1">
      <c r="A102" s="423" t="s">
        <v>3539</v>
      </c>
      <c r="C102" s="459" t="s">
        <v>3540</v>
      </c>
      <c r="D102" s="459" t="str">
        <f t="shared" si="5"/>
        <v>IVA E BASORE LOAN</v>
      </c>
      <c r="F102" s="461">
        <v>26699.43</v>
      </c>
      <c r="G102" s="461">
        <v>0</v>
      </c>
      <c r="H102" s="461">
        <v>63.66</v>
      </c>
      <c r="I102" s="461">
        <v>-42.83</v>
      </c>
      <c r="J102" s="461">
        <v>-3</v>
      </c>
      <c r="K102" s="461">
        <v>0</v>
      </c>
      <c r="L102" s="461">
        <f t="shared" si="6"/>
        <v>26723.26</v>
      </c>
    </row>
    <row r="103" spans="1:12" ht="12.75" outlineLevel="1">
      <c r="A103" s="423" t="s">
        <v>3541</v>
      </c>
      <c r="C103" s="459" t="s">
        <v>3542</v>
      </c>
      <c r="D103" s="459" t="str">
        <f t="shared" si="5"/>
        <v>CHRISTIAN LOAN FUND</v>
      </c>
      <c r="F103" s="461">
        <v>5095.6</v>
      </c>
      <c r="G103" s="461">
        <v>0</v>
      </c>
      <c r="H103" s="461">
        <v>0</v>
      </c>
      <c r="I103" s="461">
        <v>9.3</v>
      </c>
      <c r="J103" s="461">
        <v>0</v>
      </c>
      <c r="K103" s="461">
        <v>0</v>
      </c>
      <c r="L103" s="461">
        <f t="shared" si="6"/>
        <v>5104.900000000001</v>
      </c>
    </row>
    <row r="104" spans="1:12" s="462" customFormat="1" ht="12" customHeight="1">
      <c r="A104" s="462" t="s">
        <v>3543</v>
      </c>
      <c r="B104" s="457"/>
      <c r="C104" s="463" t="s">
        <v>3544</v>
      </c>
      <c r="D104" s="463" t="str">
        <f t="shared" si="5"/>
        <v>TOTAL RESTRICTED</v>
      </c>
      <c r="E104" s="458"/>
      <c r="F104" s="464">
        <v>21478408.439999994</v>
      </c>
      <c r="G104" s="464">
        <v>11704</v>
      </c>
      <c r="H104" s="464">
        <v>299886.4</v>
      </c>
      <c r="I104" s="464">
        <v>152481.69</v>
      </c>
      <c r="J104" s="464">
        <v>-14380.16</v>
      </c>
      <c r="K104" s="464">
        <v>-39140.35</v>
      </c>
      <c r="L104" s="464">
        <f t="shared" si="6"/>
        <v>21917720.339999992</v>
      </c>
    </row>
    <row r="105" ht="12" customHeight="1"/>
    <row r="106" spans="2:4" ht="12.75">
      <c r="B106" s="457" t="s">
        <v>3545</v>
      </c>
      <c r="C106" s="458"/>
      <c r="D106" s="458"/>
    </row>
    <row r="107" spans="1:12" ht="12.75" outlineLevel="1">
      <c r="A107" s="423" t="s">
        <v>3425</v>
      </c>
      <c r="B107" s="424"/>
      <c r="C107" s="425" t="s">
        <v>3426</v>
      </c>
      <c r="D107" s="425" t="str">
        <f aca="true" t="shared" si="7" ref="D107:D112">UPPER(C107)</f>
        <v>WM R JACQUES FUND</v>
      </c>
      <c r="E107" s="425"/>
      <c r="F107" s="426">
        <v>147907.55</v>
      </c>
      <c r="G107" s="426">
        <v>0</v>
      </c>
      <c r="H107" s="426">
        <v>3607.16</v>
      </c>
      <c r="I107" s="426">
        <v>-329.55</v>
      </c>
      <c r="J107" s="426">
        <v>-1548.03</v>
      </c>
      <c r="K107" s="426">
        <v>0</v>
      </c>
      <c r="L107" s="426">
        <f aca="true" t="shared" si="8" ref="L107:L112">F107+G107+H107+I107-J107+K107</f>
        <v>152733.19</v>
      </c>
    </row>
    <row r="108" spans="1:12" ht="12.75" outlineLevel="1">
      <c r="A108" s="423" t="s">
        <v>3519</v>
      </c>
      <c r="B108" s="424"/>
      <c r="C108" s="425" t="s">
        <v>3520</v>
      </c>
      <c r="D108" s="425" t="str">
        <f t="shared" si="7"/>
        <v>UMKC S-T LOANS</v>
      </c>
      <c r="E108" s="425"/>
      <c r="F108" s="426">
        <v>261283.07</v>
      </c>
      <c r="G108" s="426">
        <v>0</v>
      </c>
      <c r="H108" s="426">
        <v>2449.52</v>
      </c>
      <c r="I108" s="426">
        <v>8076.01</v>
      </c>
      <c r="J108" s="426">
        <v>-1374.83</v>
      </c>
      <c r="K108" s="426">
        <v>0</v>
      </c>
      <c r="L108" s="426">
        <f t="shared" si="8"/>
        <v>273183.43000000005</v>
      </c>
    </row>
    <row r="109" spans="1:12" ht="12.75" outlineLevel="1">
      <c r="A109" s="423" t="s">
        <v>3527</v>
      </c>
      <c r="B109" s="424"/>
      <c r="C109" s="425" t="s">
        <v>3528</v>
      </c>
      <c r="D109" s="425" t="str">
        <f t="shared" si="7"/>
        <v>W WILLIAMS LOAN FUND</v>
      </c>
      <c r="E109" s="425"/>
      <c r="F109" s="426">
        <v>142718.17</v>
      </c>
      <c r="G109" s="426">
        <v>0</v>
      </c>
      <c r="H109" s="426">
        <v>3262.11</v>
      </c>
      <c r="I109" s="426">
        <v>955.39</v>
      </c>
      <c r="J109" s="426">
        <v>-31.7</v>
      </c>
      <c r="K109" s="426">
        <v>0</v>
      </c>
      <c r="L109" s="426">
        <f t="shared" si="8"/>
        <v>146967.37000000002</v>
      </c>
    </row>
    <row r="110" spans="1:12" ht="12.75" outlineLevel="1">
      <c r="A110" s="423" t="s">
        <v>3546</v>
      </c>
      <c r="B110" s="424"/>
      <c r="C110" s="425" t="s">
        <v>3547</v>
      </c>
      <c r="D110" s="425" t="str">
        <f t="shared" si="7"/>
        <v>M WOODSON MEM STU LN</v>
      </c>
      <c r="E110" s="425"/>
      <c r="F110" s="426">
        <v>15080.81</v>
      </c>
      <c r="G110" s="426">
        <v>0</v>
      </c>
      <c r="H110" s="426">
        <v>0</v>
      </c>
      <c r="I110" s="426">
        <v>634.91</v>
      </c>
      <c r="J110" s="426">
        <v>0</v>
      </c>
      <c r="K110" s="426">
        <v>0</v>
      </c>
      <c r="L110" s="426">
        <f t="shared" si="8"/>
        <v>15715.72</v>
      </c>
    </row>
    <row r="111" spans="1:12" ht="12.75" outlineLevel="1">
      <c r="A111" s="423" t="s">
        <v>3548</v>
      </c>
      <c r="B111" s="424"/>
      <c r="C111" s="425" t="s">
        <v>3549</v>
      </c>
      <c r="D111" s="425" t="str">
        <f t="shared" si="7"/>
        <v>ALLOW DTFL NOTE-NF-U</v>
      </c>
      <c r="E111" s="425"/>
      <c r="F111" s="426">
        <v>-60000</v>
      </c>
      <c r="G111" s="426">
        <v>0</v>
      </c>
      <c r="H111" s="426">
        <v>0</v>
      </c>
      <c r="I111" s="426">
        <v>0</v>
      </c>
      <c r="J111" s="426">
        <v>16411.79</v>
      </c>
      <c r="K111" s="426">
        <v>0</v>
      </c>
      <c r="L111" s="426">
        <f t="shared" si="8"/>
        <v>-76411.79000000001</v>
      </c>
    </row>
    <row r="112" spans="1:12" s="462" customFormat="1" ht="12.75">
      <c r="A112" s="462" t="s">
        <v>3550</v>
      </c>
      <c r="B112" s="457"/>
      <c r="C112" s="463" t="s">
        <v>3551</v>
      </c>
      <c r="D112" s="463" t="str">
        <f t="shared" si="7"/>
        <v>TOTAL UNRESTRICTED</v>
      </c>
      <c r="E112" s="458"/>
      <c r="F112" s="464">
        <v>506989.6</v>
      </c>
      <c r="G112" s="464">
        <v>0</v>
      </c>
      <c r="H112" s="464">
        <v>9318.79</v>
      </c>
      <c r="I112" s="464">
        <v>9336.76</v>
      </c>
      <c r="J112" s="464">
        <v>13457.23</v>
      </c>
      <c r="K112" s="464">
        <v>0</v>
      </c>
      <c r="L112" s="464">
        <f t="shared" si="8"/>
        <v>512187.9199999999</v>
      </c>
    </row>
    <row r="114" spans="2:12" s="468" customFormat="1" ht="12.75">
      <c r="B114" s="465"/>
      <c r="C114" s="466" t="s">
        <v>3552</v>
      </c>
      <c r="D114" s="466" t="s">
        <v>3553</v>
      </c>
      <c r="E114" s="466"/>
      <c r="F114" s="467">
        <f aca="true" t="shared" si="9" ref="F114:L114">F104+F112</f>
        <v>21985398.039999995</v>
      </c>
      <c r="G114" s="467">
        <f t="shared" si="9"/>
        <v>11704</v>
      </c>
      <c r="H114" s="467">
        <f t="shared" si="9"/>
        <v>309205.19</v>
      </c>
      <c r="I114" s="467">
        <f t="shared" si="9"/>
        <v>161818.45</v>
      </c>
      <c r="J114" s="467">
        <f t="shared" si="9"/>
        <v>-922.9300000000003</v>
      </c>
      <c r="K114" s="467">
        <f t="shared" si="9"/>
        <v>-39140.35</v>
      </c>
      <c r="L114" s="467">
        <f t="shared" si="9"/>
        <v>22429908.25999999</v>
      </c>
    </row>
  </sheetData>
  <printOptions horizontalCentered="1"/>
  <pageMargins left="0.5" right="0.5" top="0.75" bottom="0.5" header="0.5" footer="0.25"/>
  <pageSetup horizontalDpi="600" verticalDpi="600" orientation="landscape" scale="75" r:id="rId1"/>
  <rowBreaks count="2" manualBreakCount="2">
    <brk id="54" max="255" man="1"/>
    <brk id="10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8"/>
  <sheetViews>
    <sheetView workbookViewId="0" topLeftCell="B2">
      <selection activeCell="J569" sqref="J569"/>
    </sheetView>
  </sheetViews>
  <sheetFormatPr defaultColWidth="9.140625" defaultRowHeight="12.75" outlineLevelRow="1"/>
  <cols>
    <col min="1" max="1" width="0" style="423" hidden="1" customWidth="1"/>
    <col min="2" max="2" width="2.7109375" style="437" customWidth="1"/>
    <col min="3" max="4" width="2.7109375" style="459" customWidth="1"/>
    <col min="5" max="5" width="43.28125" style="459" hidden="1" customWidth="1"/>
    <col min="6" max="6" width="60.7109375" style="444" customWidth="1"/>
    <col min="7" max="7" width="14.7109375" style="519" customWidth="1"/>
    <col min="8" max="13" width="14.7109375" style="472" customWidth="1"/>
    <col min="14" max="14" width="11.57421875" style="473" hidden="1" customWidth="1"/>
    <col min="15" max="15" width="9.140625" style="444" hidden="1" customWidth="1"/>
    <col min="16" max="17" width="9.140625" style="423" customWidth="1"/>
    <col min="18" max="18" width="9.140625" style="423" hidden="1" customWidth="1"/>
    <col min="19" max="16384" width="9.140625" style="423" customWidth="1"/>
  </cols>
  <sheetData>
    <row r="1" spans="1:13" ht="12.75" hidden="1">
      <c r="A1" s="423" t="s">
        <v>419</v>
      </c>
      <c r="B1" s="437" t="s">
        <v>3783</v>
      </c>
      <c r="C1" s="469"/>
      <c r="D1" s="469"/>
      <c r="E1" s="459" t="s">
        <v>3554</v>
      </c>
      <c r="F1" s="470" t="s">
        <v>3785</v>
      </c>
      <c r="G1" s="471" t="s">
        <v>3335</v>
      </c>
      <c r="H1" s="472" t="s">
        <v>3555</v>
      </c>
      <c r="I1" s="472" t="s">
        <v>3556</v>
      </c>
      <c r="J1" s="472" t="s">
        <v>3557</v>
      </c>
      <c r="K1" s="472" t="s">
        <v>3558</v>
      </c>
      <c r="L1" s="472" t="s">
        <v>3340</v>
      </c>
      <c r="M1" s="472" t="s">
        <v>3785</v>
      </c>
    </row>
    <row r="2" spans="2:18" s="474" customFormat="1" ht="15.75" customHeight="1">
      <c r="B2" s="428" t="str">
        <f>"University of Missouri - "&amp;RBN</f>
        <v>University of Missouri - Kansas City</v>
      </c>
      <c r="C2" s="475"/>
      <c r="D2" s="475"/>
      <c r="E2" s="476"/>
      <c r="F2" s="218"/>
      <c r="G2" s="477"/>
      <c r="H2" s="478"/>
      <c r="I2" s="479"/>
      <c r="J2" s="478"/>
      <c r="K2" s="480"/>
      <c r="L2" s="478"/>
      <c r="M2" s="481"/>
      <c r="N2" s="482"/>
      <c r="O2" s="483" t="s">
        <v>3861</v>
      </c>
      <c r="R2" s="484" t="s">
        <v>423</v>
      </c>
    </row>
    <row r="3" spans="2:18" s="436" customFormat="1" ht="15.75" customHeight="1">
      <c r="B3" s="438" t="s">
        <v>3559</v>
      </c>
      <c r="C3" s="485"/>
      <c r="D3" s="485"/>
      <c r="E3" s="486"/>
      <c r="F3" s="222"/>
      <c r="G3" s="487"/>
      <c r="H3" s="488"/>
      <c r="I3" s="489"/>
      <c r="J3" s="490"/>
      <c r="K3" s="488"/>
      <c r="L3" s="488"/>
      <c r="M3" s="491"/>
      <c r="N3" s="492"/>
      <c r="O3" s="434"/>
      <c r="R3" s="435" t="s">
        <v>3560</v>
      </c>
    </row>
    <row r="4" spans="2:18" ht="15.75" customHeight="1">
      <c r="B4" s="446" t="str">
        <f>"As of "&amp;TEXT(R4,"MMMM DD, YYYY")</f>
        <v>As of June 30, 2006</v>
      </c>
      <c r="C4" s="440"/>
      <c r="D4" s="440"/>
      <c r="E4" s="441"/>
      <c r="F4" s="228"/>
      <c r="G4" s="487"/>
      <c r="H4" s="488"/>
      <c r="I4" s="488"/>
      <c r="J4" s="488"/>
      <c r="K4" s="488"/>
      <c r="L4" s="488"/>
      <c r="M4" s="491"/>
      <c r="R4" s="445" t="s">
        <v>3862</v>
      </c>
    </row>
    <row r="5" spans="2:18" ht="12.75" customHeight="1">
      <c r="B5" s="493"/>
      <c r="C5" s="494"/>
      <c r="D5" s="494"/>
      <c r="E5" s="495"/>
      <c r="F5" s="235"/>
      <c r="G5" s="496"/>
      <c r="H5" s="497"/>
      <c r="I5" s="497"/>
      <c r="J5" s="497"/>
      <c r="K5" s="497"/>
      <c r="L5" s="497"/>
      <c r="M5" s="498"/>
      <c r="N5" s="499"/>
      <c r="R5" s="445" t="s">
        <v>460</v>
      </c>
    </row>
    <row r="6" spans="2:15" s="500" customFormat="1" ht="15" customHeight="1">
      <c r="B6" s="501"/>
      <c r="C6" s="502"/>
      <c r="D6" s="502"/>
      <c r="E6" s="502"/>
      <c r="F6" s="502"/>
      <c r="G6" s="503"/>
      <c r="H6" s="503" t="s">
        <v>3561</v>
      </c>
      <c r="I6" s="503" t="s">
        <v>3562</v>
      </c>
      <c r="J6" s="503" t="s">
        <v>3563</v>
      </c>
      <c r="K6" s="503"/>
      <c r="L6" s="503"/>
      <c r="M6" s="503"/>
      <c r="N6" s="504"/>
      <c r="O6" s="505"/>
    </row>
    <row r="7" spans="2:15" s="500" customFormat="1" ht="12" customHeight="1">
      <c r="B7" s="506"/>
      <c r="C7" s="504"/>
      <c r="D7" s="504"/>
      <c r="E7" s="504"/>
      <c r="F7" s="504"/>
      <c r="G7" s="507" t="s">
        <v>3343</v>
      </c>
      <c r="H7" s="507" t="s">
        <v>3564</v>
      </c>
      <c r="I7" s="507" t="s">
        <v>3565</v>
      </c>
      <c r="J7" s="507" t="s">
        <v>3566</v>
      </c>
      <c r="K7" s="507"/>
      <c r="L7" s="507" t="s">
        <v>3567</v>
      </c>
      <c r="M7" s="507" t="s">
        <v>3568</v>
      </c>
      <c r="N7" s="504"/>
      <c r="O7" s="505"/>
    </row>
    <row r="8" spans="2:15" s="500" customFormat="1" ht="12" customHeight="1">
      <c r="B8" s="508"/>
      <c r="C8" s="509"/>
      <c r="D8" s="509"/>
      <c r="E8" s="509"/>
      <c r="F8" s="509"/>
      <c r="G8" s="510" t="str">
        <f>"July 1, "&amp;(R5-1)</f>
        <v>July 1, 2005</v>
      </c>
      <c r="H8" s="510" t="s">
        <v>3569</v>
      </c>
      <c r="I8" s="510" t="s">
        <v>3570</v>
      </c>
      <c r="J8" s="510" t="s">
        <v>3571</v>
      </c>
      <c r="K8" s="510" t="s">
        <v>3350</v>
      </c>
      <c r="L8" s="510" t="s">
        <v>3572</v>
      </c>
      <c r="M8" s="510" t="str">
        <f>TEXT(R4,"MMMM DD, YYYY")</f>
        <v>June 30, 2006</v>
      </c>
      <c r="N8" s="504"/>
      <c r="O8" s="505"/>
    </row>
    <row r="9" spans="2:15" s="511" customFormat="1" ht="12.75" customHeight="1">
      <c r="B9" s="512" t="s">
        <v>3573</v>
      </c>
      <c r="C9" s="513"/>
      <c r="D9" s="513"/>
      <c r="E9" s="514"/>
      <c r="F9" s="515"/>
      <c r="G9" s="516"/>
      <c r="H9" s="517"/>
      <c r="I9" s="517"/>
      <c r="J9" s="517"/>
      <c r="K9" s="517"/>
      <c r="L9" s="517"/>
      <c r="M9" s="517"/>
      <c r="N9" s="518"/>
      <c r="O9" s="515"/>
    </row>
    <row r="10" spans="3:4" ht="12.75" customHeight="1">
      <c r="C10" s="458" t="s">
        <v>3574</v>
      </c>
      <c r="D10" s="458"/>
    </row>
    <row r="11" spans="1:13" ht="12.75" outlineLevel="1">
      <c r="A11" s="423" t="s">
        <v>3575</v>
      </c>
      <c r="C11" s="469"/>
      <c r="D11" s="469"/>
      <c r="E11" s="459" t="s">
        <v>3576</v>
      </c>
      <c r="F11" s="470" t="str">
        <f aca="true" t="shared" si="0" ref="F11:F74">UPPER(E11)</f>
        <v>A&amp;S FAMILY FD SCHP</v>
      </c>
      <c r="G11" s="520">
        <v>38351.64</v>
      </c>
      <c r="H11" s="521">
        <v>1396</v>
      </c>
      <c r="I11" s="521">
        <v>-678.99</v>
      </c>
      <c r="J11" s="521">
        <v>3760.51</v>
      </c>
      <c r="K11" s="521">
        <v>0</v>
      </c>
      <c r="L11" s="521">
        <v>0</v>
      </c>
      <c r="M11" s="521">
        <f aca="true" t="shared" si="1" ref="M11:M74">G11+H11+I11+J11-K11+L11</f>
        <v>42829.16</v>
      </c>
    </row>
    <row r="12" spans="1:13" ht="12.75" outlineLevel="1">
      <c r="A12" s="423" t="s">
        <v>3577</v>
      </c>
      <c r="C12" s="469"/>
      <c r="D12" s="469"/>
      <c r="E12" s="459" t="s">
        <v>3578</v>
      </c>
      <c r="F12" s="470" t="str">
        <f t="shared" si="0"/>
        <v>ADV ART GUILD GRANT</v>
      </c>
      <c r="G12" s="471">
        <v>9169.51</v>
      </c>
      <c r="H12" s="472">
        <v>0</v>
      </c>
      <c r="I12" s="472">
        <v>2922.88</v>
      </c>
      <c r="J12" s="472">
        <v>949.4</v>
      </c>
      <c r="K12" s="472">
        <v>0</v>
      </c>
      <c r="L12" s="472">
        <v>0</v>
      </c>
      <c r="M12" s="472">
        <f t="shared" si="1"/>
        <v>13041.789999999999</v>
      </c>
    </row>
    <row r="13" spans="1:13" ht="12.75" outlineLevel="1">
      <c r="A13" s="423" t="s">
        <v>3579</v>
      </c>
      <c r="C13" s="469"/>
      <c r="D13" s="469"/>
      <c r="E13" s="459" t="s">
        <v>3580</v>
      </c>
      <c r="F13" s="470" t="str">
        <f t="shared" si="0"/>
        <v>C C ALLEN SCHP</v>
      </c>
      <c r="G13" s="471">
        <v>13162.29</v>
      </c>
      <c r="H13" s="472">
        <v>0</v>
      </c>
      <c r="I13" s="472">
        <v>-253.2</v>
      </c>
      <c r="J13" s="472">
        <v>1282.05</v>
      </c>
      <c r="K13" s="472">
        <v>0</v>
      </c>
      <c r="L13" s="472">
        <v>0</v>
      </c>
      <c r="M13" s="472">
        <f t="shared" si="1"/>
        <v>14191.14</v>
      </c>
    </row>
    <row r="14" spans="1:13" ht="12.75" outlineLevel="1">
      <c r="A14" s="423" t="s">
        <v>3581</v>
      </c>
      <c r="C14" s="469"/>
      <c r="D14" s="469"/>
      <c r="E14" s="459" t="s">
        <v>3582</v>
      </c>
      <c r="F14" s="470" t="str">
        <f t="shared" si="0"/>
        <v>AZIMA SCHP</v>
      </c>
      <c r="G14" s="471">
        <v>38505.16</v>
      </c>
      <c r="H14" s="472">
        <v>0</v>
      </c>
      <c r="I14" s="472">
        <v>0</v>
      </c>
      <c r="J14" s="472">
        <v>-1617</v>
      </c>
      <c r="K14" s="472">
        <v>0</v>
      </c>
      <c r="L14" s="472">
        <v>0</v>
      </c>
      <c r="M14" s="472">
        <f t="shared" si="1"/>
        <v>36888.16</v>
      </c>
    </row>
    <row r="15" spans="1:13" ht="12.75" outlineLevel="1">
      <c r="A15" s="423" t="s">
        <v>3583</v>
      </c>
      <c r="C15" s="469"/>
      <c r="D15" s="469"/>
      <c r="E15" s="459" t="s">
        <v>3584</v>
      </c>
      <c r="F15" s="470" t="str">
        <f t="shared" si="0"/>
        <v>J &amp; P ANDERSON SCHP</v>
      </c>
      <c r="G15" s="471">
        <v>33791.21</v>
      </c>
      <c r="H15" s="472">
        <v>0</v>
      </c>
      <c r="I15" s="472">
        <v>-623.7</v>
      </c>
      <c r="J15" s="472">
        <v>3293.98</v>
      </c>
      <c r="K15" s="472">
        <v>0</v>
      </c>
      <c r="L15" s="472">
        <v>0</v>
      </c>
      <c r="M15" s="472">
        <f t="shared" si="1"/>
        <v>36461.490000000005</v>
      </c>
    </row>
    <row r="16" spans="1:13" ht="12.75" outlineLevel="1">
      <c r="A16" s="423" t="s">
        <v>3585</v>
      </c>
      <c r="C16" s="469"/>
      <c r="D16" s="469"/>
      <c r="E16" s="459" t="s">
        <v>3586</v>
      </c>
      <c r="F16" s="470" t="str">
        <f t="shared" si="0"/>
        <v>W J BALDUS SCHP</v>
      </c>
      <c r="G16" s="471">
        <v>5754.9</v>
      </c>
      <c r="H16" s="472">
        <v>0</v>
      </c>
      <c r="I16" s="472">
        <v>0</v>
      </c>
      <c r="J16" s="472">
        <v>-241.67</v>
      </c>
      <c r="K16" s="472">
        <v>0</v>
      </c>
      <c r="L16" s="472">
        <v>0</v>
      </c>
      <c r="M16" s="472">
        <f t="shared" si="1"/>
        <v>5513.23</v>
      </c>
    </row>
    <row r="17" spans="1:13" ht="12.75" outlineLevel="1">
      <c r="A17" s="423" t="s">
        <v>3587</v>
      </c>
      <c r="C17" s="469"/>
      <c r="D17" s="469"/>
      <c r="E17" s="459" t="s">
        <v>3588</v>
      </c>
      <c r="F17" s="470" t="str">
        <f t="shared" si="0"/>
        <v>BIOLOGICAL SCI ENDOW</v>
      </c>
      <c r="G17" s="471">
        <v>408941.92</v>
      </c>
      <c r="H17" s="472">
        <v>0</v>
      </c>
      <c r="I17" s="472">
        <v>-7866.62</v>
      </c>
      <c r="J17" s="472">
        <v>39832.12</v>
      </c>
      <c r="K17" s="472">
        <v>0</v>
      </c>
      <c r="L17" s="472">
        <v>0</v>
      </c>
      <c r="M17" s="472">
        <f t="shared" si="1"/>
        <v>440907.42</v>
      </c>
    </row>
    <row r="18" spans="1:13" ht="12.75" outlineLevel="1">
      <c r="A18" s="423" t="s">
        <v>3589</v>
      </c>
      <c r="C18" s="469"/>
      <c r="D18" s="469"/>
      <c r="E18" s="459" t="s">
        <v>3590</v>
      </c>
      <c r="F18" s="470" t="str">
        <f t="shared" si="0"/>
        <v>BARGAR SCHOLARSHIP</v>
      </c>
      <c r="G18" s="471">
        <v>62144.34</v>
      </c>
      <c r="H18" s="472">
        <v>0</v>
      </c>
      <c r="I18" s="472">
        <v>1414.62</v>
      </c>
      <c r="J18" s="472">
        <v>-1198.66</v>
      </c>
      <c r="K18" s="472">
        <v>0</v>
      </c>
      <c r="L18" s="472">
        <v>0</v>
      </c>
      <c r="M18" s="472">
        <f t="shared" si="1"/>
        <v>62360.299999999996</v>
      </c>
    </row>
    <row r="19" spans="1:13" ht="12.75" outlineLevel="1">
      <c r="A19" s="423" t="s">
        <v>3591</v>
      </c>
      <c r="C19" s="469"/>
      <c r="D19" s="469"/>
      <c r="E19" s="459" t="s">
        <v>3592</v>
      </c>
      <c r="F19" s="470" t="str">
        <f t="shared" si="0"/>
        <v>BALDUS SCHOLARS FUND</v>
      </c>
      <c r="G19" s="471">
        <v>23133.21</v>
      </c>
      <c r="H19" s="472">
        <v>0</v>
      </c>
      <c r="I19" s="472">
        <v>-445</v>
      </c>
      <c r="J19" s="472">
        <v>2253.23</v>
      </c>
      <c r="K19" s="472">
        <v>0</v>
      </c>
      <c r="L19" s="472">
        <v>0</v>
      </c>
      <c r="M19" s="472">
        <f t="shared" si="1"/>
        <v>24941.44</v>
      </c>
    </row>
    <row r="20" spans="1:13" ht="12.75" outlineLevel="1">
      <c r="A20" s="423" t="s">
        <v>3593</v>
      </c>
      <c r="C20" s="469"/>
      <c r="D20" s="469"/>
      <c r="E20" s="459" t="s">
        <v>3594</v>
      </c>
      <c r="F20" s="470" t="str">
        <f t="shared" si="0"/>
        <v>GERALDINE BARROWS SC</v>
      </c>
      <c r="G20" s="471">
        <v>33531.44</v>
      </c>
      <c r="H20" s="472">
        <v>0</v>
      </c>
      <c r="I20" s="472">
        <v>0</v>
      </c>
      <c r="J20" s="472">
        <v>-1408.13</v>
      </c>
      <c r="K20" s="472">
        <v>0</v>
      </c>
      <c r="L20" s="472">
        <v>0</v>
      </c>
      <c r="M20" s="472">
        <f t="shared" si="1"/>
        <v>32123.31</v>
      </c>
    </row>
    <row r="21" spans="1:13" ht="12.75" outlineLevel="1">
      <c r="A21" s="423" t="s">
        <v>3595</v>
      </c>
      <c r="C21" s="469"/>
      <c r="D21" s="469"/>
      <c r="E21" s="459" t="s">
        <v>3596</v>
      </c>
      <c r="F21" s="470" t="str">
        <f t="shared" si="0"/>
        <v>WHEADON BLOCH SCHP</v>
      </c>
      <c r="G21" s="471">
        <v>12634.58</v>
      </c>
      <c r="H21" s="472">
        <v>0</v>
      </c>
      <c r="I21" s="472">
        <v>0</v>
      </c>
      <c r="J21" s="472">
        <v>-530.57</v>
      </c>
      <c r="K21" s="472">
        <v>0</v>
      </c>
      <c r="L21" s="472">
        <v>0</v>
      </c>
      <c r="M21" s="472">
        <f t="shared" si="1"/>
        <v>12104.01</v>
      </c>
    </row>
    <row r="22" spans="1:13" ht="12.75" outlineLevel="1">
      <c r="A22" s="423" t="s">
        <v>3597</v>
      </c>
      <c r="C22" s="469"/>
      <c r="D22" s="469"/>
      <c r="E22" s="459" t="s">
        <v>3598</v>
      </c>
      <c r="F22" s="470" t="str">
        <f t="shared" si="0"/>
        <v>BRENNER TRANS SCHP</v>
      </c>
      <c r="G22" s="471">
        <v>3631.82</v>
      </c>
      <c r="H22" s="472">
        <v>0</v>
      </c>
      <c r="I22" s="472">
        <v>0</v>
      </c>
      <c r="J22" s="472">
        <v>-152.51</v>
      </c>
      <c r="K22" s="472">
        <v>0</v>
      </c>
      <c r="L22" s="472">
        <v>0</v>
      </c>
      <c r="M22" s="472">
        <f t="shared" si="1"/>
        <v>3479.3100000000004</v>
      </c>
    </row>
    <row r="23" spans="1:13" ht="12.75" outlineLevel="1">
      <c r="A23" s="423" t="s">
        <v>3599</v>
      </c>
      <c r="C23" s="469"/>
      <c r="D23" s="469"/>
      <c r="E23" s="459" t="s">
        <v>3600</v>
      </c>
      <c r="F23" s="470" t="str">
        <f t="shared" si="0"/>
        <v>J E BROWN AWARD</v>
      </c>
      <c r="G23" s="471">
        <v>34902.72</v>
      </c>
      <c r="H23" s="472">
        <v>0</v>
      </c>
      <c r="I23" s="472">
        <v>-671.4</v>
      </c>
      <c r="J23" s="472">
        <v>3399.62</v>
      </c>
      <c r="K23" s="472">
        <v>0</v>
      </c>
      <c r="L23" s="472">
        <v>0</v>
      </c>
      <c r="M23" s="472">
        <f t="shared" si="1"/>
        <v>37630.94</v>
      </c>
    </row>
    <row r="24" spans="1:13" ht="12.75" outlineLevel="1">
      <c r="A24" s="423" t="s">
        <v>3601</v>
      </c>
      <c r="C24" s="469"/>
      <c r="D24" s="469"/>
      <c r="E24" s="459" t="s">
        <v>3602</v>
      </c>
      <c r="F24" s="470" t="str">
        <f t="shared" si="0"/>
        <v>R M BROWN MEM SCHP</v>
      </c>
      <c r="G24" s="471">
        <v>15183.04</v>
      </c>
      <c r="H24" s="472">
        <v>0</v>
      </c>
      <c r="I24" s="472">
        <v>-292.07</v>
      </c>
      <c r="J24" s="472">
        <v>1478.88</v>
      </c>
      <c r="K24" s="472">
        <v>0</v>
      </c>
      <c r="L24" s="472">
        <v>0</v>
      </c>
      <c r="M24" s="472">
        <f t="shared" si="1"/>
        <v>16369.850000000002</v>
      </c>
    </row>
    <row r="25" spans="1:13" ht="12.75" outlineLevel="1">
      <c r="A25" s="423" t="s">
        <v>3603</v>
      </c>
      <c r="C25" s="469"/>
      <c r="D25" s="469"/>
      <c r="E25" s="459" t="s">
        <v>3604</v>
      </c>
      <c r="F25" s="470" t="str">
        <f t="shared" si="0"/>
        <v>BURKHOLDER MEM SCHP</v>
      </c>
      <c r="G25" s="471">
        <v>6299.74</v>
      </c>
      <c r="H25" s="472">
        <v>0</v>
      </c>
      <c r="I25" s="472">
        <v>-121.2</v>
      </c>
      <c r="J25" s="472">
        <v>613.6</v>
      </c>
      <c r="K25" s="472">
        <v>0</v>
      </c>
      <c r="L25" s="472">
        <v>0</v>
      </c>
      <c r="M25" s="472">
        <f t="shared" si="1"/>
        <v>6792.14</v>
      </c>
    </row>
    <row r="26" spans="1:13" ht="12.75" outlineLevel="1">
      <c r="A26" s="423" t="s">
        <v>3605</v>
      </c>
      <c r="C26" s="469"/>
      <c r="D26" s="469"/>
      <c r="E26" s="459" t="s">
        <v>3606</v>
      </c>
      <c r="F26" s="470" t="str">
        <f t="shared" si="0"/>
        <v>CAIRNS SCHP IN BUS</v>
      </c>
      <c r="G26" s="471">
        <v>12641.53</v>
      </c>
      <c r="H26" s="472">
        <v>0</v>
      </c>
      <c r="I26" s="472">
        <v>-243.19</v>
      </c>
      <c r="J26" s="472">
        <v>1231.31</v>
      </c>
      <c r="K26" s="472">
        <v>0</v>
      </c>
      <c r="L26" s="472">
        <v>0</v>
      </c>
      <c r="M26" s="472">
        <f t="shared" si="1"/>
        <v>13629.65</v>
      </c>
    </row>
    <row r="27" spans="1:13" ht="12.75" outlineLevel="1">
      <c r="A27" s="423" t="s">
        <v>3607</v>
      </c>
      <c r="C27" s="469"/>
      <c r="D27" s="469"/>
      <c r="E27" s="459" t="s">
        <v>3608</v>
      </c>
      <c r="F27" s="470" t="str">
        <f t="shared" si="0"/>
        <v>CAVANAUGH SCHP</v>
      </c>
      <c r="G27" s="471">
        <v>609877.91</v>
      </c>
      <c r="H27" s="472">
        <v>0</v>
      </c>
      <c r="I27" s="472">
        <v>-11731.93</v>
      </c>
      <c r="J27" s="472">
        <v>59403.89</v>
      </c>
      <c r="K27" s="472">
        <v>0</v>
      </c>
      <c r="L27" s="472">
        <v>0</v>
      </c>
      <c r="M27" s="472">
        <f t="shared" si="1"/>
        <v>657549.87</v>
      </c>
    </row>
    <row r="28" spans="1:13" ht="12.75" outlineLevel="1">
      <c r="A28" s="423" t="s">
        <v>3609</v>
      </c>
      <c r="C28" s="469"/>
      <c r="D28" s="469"/>
      <c r="E28" s="459" t="s">
        <v>3610</v>
      </c>
      <c r="F28" s="470" t="str">
        <f t="shared" si="0"/>
        <v>CIVIC ORCHESTRA FUND</v>
      </c>
      <c r="G28" s="471">
        <v>12491.04</v>
      </c>
      <c r="H28" s="472">
        <v>0</v>
      </c>
      <c r="I28" s="472">
        <v>-240.28</v>
      </c>
      <c r="J28" s="472">
        <v>1216.67</v>
      </c>
      <c r="K28" s="472">
        <v>0</v>
      </c>
      <c r="L28" s="472">
        <v>0</v>
      </c>
      <c r="M28" s="472">
        <f t="shared" si="1"/>
        <v>13467.43</v>
      </c>
    </row>
    <row r="29" spans="1:13" ht="12.75" outlineLevel="1">
      <c r="A29" s="423" t="s">
        <v>3611</v>
      </c>
      <c r="C29" s="469"/>
      <c r="D29" s="469"/>
      <c r="E29" s="459" t="s">
        <v>3612</v>
      </c>
      <c r="F29" s="470" t="str">
        <f t="shared" si="0"/>
        <v>P K COCKEFAIR SCHP</v>
      </c>
      <c r="G29" s="471">
        <v>18867.2</v>
      </c>
      <c r="H29" s="472">
        <v>0</v>
      </c>
      <c r="I29" s="472">
        <v>0</v>
      </c>
      <c r="J29" s="472">
        <v>-792.32</v>
      </c>
      <c r="K29" s="472">
        <v>0</v>
      </c>
      <c r="L29" s="472">
        <v>0</v>
      </c>
      <c r="M29" s="472">
        <f t="shared" si="1"/>
        <v>18074.88</v>
      </c>
    </row>
    <row r="30" spans="1:13" ht="12.75" outlineLevel="1">
      <c r="A30" s="423" t="s">
        <v>3613</v>
      </c>
      <c r="C30" s="469"/>
      <c r="D30" s="469"/>
      <c r="E30" s="459" t="s">
        <v>3614</v>
      </c>
      <c r="F30" s="470" t="str">
        <f t="shared" si="0"/>
        <v>A &amp; J COLEMAN SCHP</v>
      </c>
      <c r="G30" s="471">
        <v>120368.66</v>
      </c>
      <c r="H30" s="472">
        <v>0</v>
      </c>
      <c r="I30" s="472">
        <v>-2315.46</v>
      </c>
      <c r="J30" s="472">
        <v>11724.26</v>
      </c>
      <c r="K30" s="472">
        <v>0</v>
      </c>
      <c r="L30" s="472">
        <v>0</v>
      </c>
      <c r="M30" s="472">
        <f t="shared" si="1"/>
        <v>129777.45999999999</v>
      </c>
    </row>
    <row r="31" spans="1:13" ht="12.75" outlineLevel="1">
      <c r="A31" s="423" t="s">
        <v>3615</v>
      </c>
      <c r="C31" s="469"/>
      <c r="D31" s="469"/>
      <c r="E31" s="459" t="s">
        <v>3616</v>
      </c>
      <c r="F31" s="470" t="str">
        <f t="shared" si="0"/>
        <v>CALMES MEM SCHP FD</v>
      </c>
      <c r="G31" s="471">
        <v>6962.13</v>
      </c>
      <c r="H31" s="472">
        <v>0</v>
      </c>
      <c r="I31" s="472">
        <v>-133.91</v>
      </c>
      <c r="J31" s="472">
        <v>678.12</v>
      </c>
      <c r="K31" s="472">
        <v>0</v>
      </c>
      <c r="L31" s="472">
        <v>0</v>
      </c>
      <c r="M31" s="472">
        <f t="shared" si="1"/>
        <v>7506.34</v>
      </c>
    </row>
    <row r="32" spans="1:13" ht="12.75" outlineLevel="1">
      <c r="A32" s="423" t="s">
        <v>3617</v>
      </c>
      <c r="C32" s="469"/>
      <c r="D32" s="469"/>
      <c r="E32" s="459" t="s">
        <v>3618</v>
      </c>
      <c r="F32" s="470" t="str">
        <f t="shared" si="0"/>
        <v>FONG WU CHENG SCHP</v>
      </c>
      <c r="G32" s="471">
        <v>42598.39</v>
      </c>
      <c r="H32" s="472">
        <v>0</v>
      </c>
      <c r="I32" s="472">
        <v>-794.71</v>
      </c>
      <c r="J32" s="472">
        <v>4151.65</v>
      </c>
      <c r="K32" s="472">
        <v>0</v>
      </c>
      <c r="L32" s="472">
        <v>0</v>
      </c>
      <c r="M32" s="472">
        <f t="shared" si="1"/>
        <v>45955.33</v>
      </c>
    </row>
    <row r="33" spans="1:13" ht="12.75" outlineLevel="1">
      <c r="A33" s="423" t="s">
        <v>3619</v>
      </c>
      <c r="C33" s="469"/>
      <c r="D33" s="469"/>
      <c r="E33" s="459" t="s">
        <v>3620</v>
      </c>
      <c r="F33" s="470" t="str">
        <f t="shared" si="0"/>
        <v>COLLEGE CLUB TEAGUE</v>
      </c>
      <c r="G33" s="471">
        <v>73743.74</v>
      </c>
      <c r="H33" s="472">
        <v>0</v>
      </c>
      <c r="I33" s="472">
        <v>0</v>
      </c>
      <c r="J33" s="472">
        <v>-3096.85</v>
      </c>
      <c r="K33" s="472">
        <v>0</v>
      </c>
      <c r="L33" s="472">
        <v>0</v>
      </c>
      <c r="M33" s="472">
        <f t="shared" si="1"/>
        <v>70646.89</v>
      </c>
    </row>
    <row r="34" spans="1:13" ht="12.75" outlineLevel="1">
      <c r="A34" s="423" t="s">
        <v>3621</v>
      </c>
      <c r="C34" s="469"/>
      <c r="D34" s="469"/>
      <c r="E34" s="459" t="s">
        <v>3622</v>
      </c>
      <c r="F34" s="470" t="str">
        <f t="shared" si="0"/>
        <v>W COOK PIANO SCHP</v>
      </c>
      <c r="G34" s="471">
        <v>11622.16</v>
      </c>
      <c r="H34" s="472">
        <v>780.5</v>
      </c>
      <c r="I34" s="472">
        <v>2.81</v>
      </c>
      <c r="J34" s="472">
        <v>-499.89</v>
      </c>
      <c r="K34" s="472">
        <v>0</v>
      </c>
      <c r="L34" s="472">
        <v>0</v>
      </c>
      <c r="M34" s="472">
        <f t="shared" si="1"/>
        <v>11905.58</v>
      </c>
    </row>
    <row r="35" spans="1:13" ht="12.75" outlineLevel="1">
      <c r="A35" s="423" t="s">
        <v>3623</v>
      </c>
      <c r="C35" s="469"/>
      <c r="D35" s="469"/>
      <c r="E35" s="459" t="s">
        <v>3624</v>
      </c>
      <c r="F35" s="470" t="str">
        <f t="shared" si="0"/>
        <v>H W COOKINGHAM SCHP</v>
      </c>
      <c r="G35" s="471">
        <v>57344.21</v>
      </c>
      <c r="H35" s="472">
        <v>0</v>
      </c>
      <c r="I35" s="472">
        <v>0</v>
      </c>
      <c r="J35" s="472">
        <v>-2408.16</v>
      </c>
      <c r="K35" s="472">
        <v>0</v>
      </c>
      <c r="L35" s="472">
        <v>0</v>
      </c>
      <c r="M35" s="472">
        <f t="shared" si="1"/>
        <v>54936.05</v>
      </c>
    </row>
    <row r="36" spans="1:13" ht="12.75" outlineLevel="1">
      <c r="A36" s="423" t="s">
        <v>3625</v>
      </c>
      <c r="C36" s="469"/>
      <c r="D36" s="469"/>
      <c r="E36" s="459" t="s">
        <v>3626</v>
      </c>
      <c r="F36" s="470" t="str">
        <f t="shared" si="0"/>
        <v>E &amp; H DARBY SCHP</v>
      </c>
      <c r="G36" s="471">
        <v>44798.51</v>
      </c>
      <c r="H36" s="472">
        <v>0</v>
      </c>
      <c r="I36" s="472">
        <v>0</v>
      </c>
      <c r="J36" s="472">
        <v>-1881.31</v>
      </c>
      <c r="K36" s="472">
        <v>0</v>
      </c>
      <c r="L36" s="472">
        <v>0</v>
      </c>
      <c r="M36" s="472">
        <f t="shared" si="1"/>
        <v>42917.200000000004</v>
      </c>
    </row>
    <row r="37" spans="1:13" ht="12.75" outlineLevel="1">
      <c r="A37" s="423" t="s">
        <v>3627</v>
      </c>
      <c r="C37" s="469"/>
      <c r="D37" s="469"/>
      <c r="E37" s="459" t="s">
        <v>3628</v>
      </c>
      <c r="F37" s="470" t="str">
        <f t="shared" si="0"/>
        <v>DE CLERCK PHARMACY</v>
      </c>
      <c r="G37" s="471">
        <v>5930.52</v>
      </c>
      <c r="H37" s="472">
        <v>0</v>
      </c>
      <c r="I37" s="472">
        <v>0</v>
      </c>
      <c r="J37" s="472">
        <v>-249.04</v>
      </c>
      <c r="K37" s="472">
        <v>0</v>
      </c>
      <c r="L37" s="472">
        <v>0</v>
      </c>
      <c r="M37" s="472">
        <f t="shared" si="1"/>
        <v>5681.4800000000005</v>
      </c>
    </row>
    <row r="38" spans="1:13" ht="12.75" outlineLevel="1">
      <c r="A38" s="423" t="s">
        <v>3629</v>
      </c>
      <c r="C38" s="469"/>
      <c r="D38" s="469"/>
      <c r="E38" s="459" t="s">
        <v>3630</v>
      </c>
      <c r="F38" s="470" t="str">
        <f t="shared" si="0"/>
        <v>DELTA CHI SCHP</v>
      </c>
      <c r="G38" s="471">
        <v>94008.78</v>
      </c>
      <c r="H38" s="472">
        <v>0</v>
      </c>
      <c r="I38" s="472">
        <v>-1808.42</v>
      </c>
      <c r="J38" s="472">
        <v>9156.73</v>
      </c>
      <c r="K38" s="472">
        <v>0</v>
      </c>
      <c r="L38" s="472">
        <v>0</v>
      </c>
      <c r="M38" s="472">
        <f t="shared" si="1"/>
        <v>101357.09</v>
      </c>
    </row>
    <row r="39" spans="1:13" ht="12.75" outlineLevel="1">
      <c r="A39" s="423" t="s">
        <v>3631</v>
      </c>
      <c r="C39" s="469"/>
      <c r="D39" s="469"/>
      <c r="E39" s="459" t="s">
        <v>3632</v>
      </c>
      <c r="F39" s="470" t="str">
        <f t="shared" si="0"/>
        <v>L L DEXTER SCHP</v>
      </c>
      <c r="G39" s="471">
        <v>32049.63</v>
      </c>
      <c r="H39" s="472">
        <v>300</v>
      </c>
      <c r="I39" s="472">
        <v>-607.02</v>
      </c>
      <c r="J39" s="472">
        <v>3116.76</v>
      </c>
      <c r="K39" s="472">
        <v>0</v>
      </c>
      <c r="L39" s="472">
        <v>0</v>
      </c>
      <c r="M39" s="472">
        <f t="shared" si="1"/>
        <v>34859.37</v>
      </c>
    </row>
    <row r="40" spans="1:13" ht="12.75" outlineLevel="1">
      <c r="A40" s="423" t="s">
        <v>3633</v>
      </c>
      <c r="C40" s="469"/>
      <c r="D40" s="469"/>
      <c r="E40" s="459" t="s">
        <v>3634</v>
      </c>
      <c r="F40" s="470" t="str">
        <f t="shared" si="0"/>
        <v>DIGGS SCHOLARSHIP</v>
      </c>
      <c r="G40" s="471">
        <v>16614.88</v>
      </c>
      <c r="H40" s="472">
        <v>0</v>
      </c>
      <c r="I40" s="472">
        <v>-319.61</v>
      </c>
      <c r="J40" s="472">
        <v>1618.34</v>
      </c>
      <c r="K40" s="472">
        <v>0</v>
      </c>
      <c r="L40" s="472">
        <v>0</v>
      </c>
      <c r="M40" s="472">
        <f t="shared" si="1"/>
        <v>17913.61</v>
      </c>
    </row>
    <row r="41" spans="1:13" ht="12.75" outlineLevel="1">
      <c r="A41" s="423" t="s">
        <v>3635</v>
      </c>
      <c r="C41" s="469"/>
      <c r="D41" s="469"/>
      <c r="E41" s="459" t="s">
        <v>3636</v>
      </c>
      <c r="F41" s="470" t="str">
        <f t="shared" si="0"/>
        <v>EVA R DONNELL SCHOLR</v>
      </c>
      <c r="G41" s="471">
        <v>13872.13</v>
      </c>
      <c r="H41" s="472">
        <v>0</v>
      </c>
      <c r="I41" s="472">
        <v>-266.85</v>
      </c>
      <c r="J41" s="472">
        <v>1351.18</v>
      </c>
      <c r="K41" s="472">
        <v>0</v>
      </c>
      <c r="L41" s="472">
        <v>0</v>
      </c>
      <c r="M41" s="472">
        <f t="shared" si="1"/>
        <v>14956.46</v>
      </c>
    </row>
    <row r="42" spans="1:13" ht="12.75" outlineLevel="1">
      <c r="A42" s="423" t="s">
        <v>3637</v>
      </c>
      <c r="C42" s="469"/>
      <c r="D42" s="469"/>
      <c r="E42" s="459" t="s">
        <v>3638</v>
      </c>
      <c r="F42" s="470" t="str">
        <f t="shared" si="0"/>
        <v>EDUCATION ALUMNI SCH</v>
      </c>
      <c r="G42" s="471">
        <v>13886.89</v>
      </c>
      <c r="H42" s="472">
        <v>0</v>
      </c>
      <c r="I42" s="472">
        <v>-267.14</v>
      </c>
      <c r="J42" s="472">
        <v>1352.65</v>
      </c>
      <c r="K42" s="472">
        <v>0</v>
      </c>
      <c r="L42" s="472">
        <v>0</v>
      </c>
      <c r="M42" s="472">
        <f t="shared" si="1"/>
        <v>14972.4</v>
      </c>
    </row>
    <row r="43" spans="1:13" ht="12.75" outlineLevel="1">
      <c r="A43" s="423" t="s">
        <v>3639</v>
      </c>
      <c r="C43" s="469"/>
      <c r="D43" s="469"/>
      <c r="E43" s="459" t="s">
        <v>3640</v>
      </c>
      <c r="F43" s="470" t="str">
        <f t="shared" si="0"/>
        <v>ESTERLY SCHOLARSHIP</v>
      </c>
      <c r="G43" s="471">
        <v>660970.6</v>
      </c>
      <c r="H43" s="472">
        <v>0</v>
      </c>
      <c r="I43" s="472">
        <v>-12714.79</v>
      </c>
      <c r="J43" s="472">
        <v>64380.47</v>
      </c>
      <c r="K43" s="472">
        <v>0</v>
      </c>
      <c r="L43" s="472">
        <v>0</v>
      </c>
      <c r="M43" s="472">
        <f t="shared" si="1"/>
        <v>712636.2799999999</v>
      </c>
    </row>
    <row r="44" spans="1:13" ht="12.75" outlineLevel="1">
      <c r="A44" s="423" t="s">
        <v>3641</v>
      </c>
      <c r="C44" s="469"/>
      <c r="D44" s="469"/>
      <c r="E44" s="459" t="s">
        <v>3642</v>
      </c>
      <c r="F44" s="470" t="str">
        <f t="shared" si="0"/>
        <v>FIELD WRITING SCHP</v>
      </c>
      <c r="G44" s="471">
        <v>21138</v>
      </c>
      <c r="H44" s="472">
        <v>500</v>
      </c>
      <c r="I44" s="472">
        <v>4.76</v>
      </c>
      <c r="J44" s="472">
        <v>-885.03</v>
      </c>
      <c r="K44" s="472">
        <v>0</v>
      </c>
      <c r="L44" s="472">
        <v>0</v>
      </c>
      <c r="M44" s="472">
        <f t="shared" si="1"/>
        <v>20757.73</v>
      </c>
    </row>
    <row r="45" spans="1:13" ht="12.75" outlineLevel="1">
      <c r="A45" s="423" t="s">
        <v>3643</v>
      </c>
      <c r="C45" s="469"/>
      <c r="D45" s="469"/>
      <c r="E45" s="459" t="s">
        <v>3644</v>
      </c>
      <c r="F45" s="470" t="str">
        <f t="shared" si="0"/>
        <v>FINTER SCHOL COSTUME</v>
      </c>
      <c r="G45" s="471">
        <v>6335.91</v>
      </c>
      <c r="H45" s="472">
        <v>0</v>
      </c>
      <c r="I45" s="472">
        <v>0</v>
      </c>
      <c r="J45" s="472">
        <v>-266.08</v>
      </c>
      <c r="K45" s="472">
        <v>0</v>
      </c>
      <c r="L45" s="472">
        <v>0</v>
      </c>
      <c r="M45" s="472">
        <f t="shared" si="1"/>
        <v>6069.83</v>
      </c>
    </row>
    <row r="46" spans="1:13" ht="12.75" outlineLevel="1">
      <c r="A46" s="423" t="s">
        <v>3645</v>
      </c>
      <c r="C46" s="469"/>
      <c r="D46" s="469"/>
      <c r="E46" s="459" t="s">
        <v>3646</v>
      </c>
      <c r="F46" s="470" t="str">
        <f t="shared" si="0"/>
        <v>FLAKE SCHOLARSHIP</v>
      </c>
      <c r="G46" s="471">
        <v>184605.89</v>
      </c>
      <c r="H46" s="472">
        <v>0</v>
      </c>
      <c r="I46" s="472">
        <v>-3551.18</v>
      </c>
      <c r="J46" s="472">
        <v>17981.13</v>
      </c>
      <c r="K46" s="472">
        <v>0</v>
      </c>
      <c r="L46" s="472">
        <v>0</v>
      </c>
      <c r="M46" s="472">
        <f t="shared" si="1"/>
        <v>199035.84000000003</v>
      </c>
    </row>
    <row r="47" spans="1:13" ht="12.75" outlineLevel="1">
      <c r="A47" s="423" t="s">
        <v>3647</v>
      </c>
      <c r="C47" s="469"/>
      <c r="D47" s="469"/>
      <c r="E47" s="459" t="s">
        <v>3648</v>
      </c>
      <c r="F47" s="470" t="str">
        <f t="shared" si="0"/>
        <v>FLARSHEIM SCHP</v>
      </c>
      <c r="G47" s="471">
        <v>1433874.05</v>
      </c>
      <c r="H47" s="472">
        <v>0</v>
      </c>
      <c r="I47" s="472">
        <v>-27582.76</v>
      </c>
      <c r="J47" s="472">
        <v>139663.48</v>
      </c>
      <c r="K47" s="472">
        <v>0</v>
      </c>
      <c r="L47" s="472">
        <v>0</v>
      </c>
      <c r="M47" s="472">
        <f t="shared" si="1"/>
        <v>1545954.77</v>
      </c>
    </row>
    <row r="48" spans="1:13" ht="12.75" outlineLevel="1">
      <c r="A48" s="423" t="s">
        <v>3649</v>
      </c>
      <c r="C48" s="469"/>
      <c r="D48" s="469"/>
      <c r="E48" s="459" t="s">
        <v>3650</v>
      </c>
      <c r="F48" s="470" t="str">
        <f t="shared" si="0"/>
        <v>FD DEAN FOUNDERS AWD</v>
      </c>
      <c r="G48" s="471">
        <v>-1.69</v>
      </c>
      <c r="H48" s="472">
        <v>0</v>
      </c>
      <c r="I48" s="472">
        <v>0</v>
      </c>
      <c r="J48" s="472">
        <v>0</v>
      </c>
      <c r="K48" s="472">
        <v>0</v>
      </c>
      <c r="L48" s="472">
        <v>0</v>
      </c>
      <c r="M48" s="472">
        <f t="shared" si="1"/>
        <v>-1.69</v>
      </c>
    </row>
    <row r="49" spans="1:13" ht="12.75" outlineLevel="1">
      <c r="A49" s="423" t="s">
        <v>3651</v>
      </c>
      <c r="C49" s="469"/>
      <c r="D49" s="469"/>
      <c r="E49" s="459" t="s">
        <v>3652</v>
      </c>
      <c r="F49" s="470" t="str">
        <f t="shared" si="0"/>
        <v>MARY E FOWLER FD</v>
      </c>
      <c r="G49" s="471">
        <v>43151.29</v>
      </c>
      <c r="H49" s="472">
        <v>5000</v>
      </c>
      <c r="I49" s="472">
        <v>20.99</v>
      </c>
      <c r="J49" s="472">
        <v>-1812.13</v>
      </c>
      <c r="K49" s="472">
        <v>0</v>
      </c>
      <c r="L49" s="472">
        <v>5000</v>
      </c>
      <c r="M49" s="472">
        <f t="shared" si="1"/>
        <v>51360.15</v>
      </c>
    </row>
    <row r="50" spans="1:13" ht="12.75" outlineLevel="1">
      <c r="A50" s="423" t="s">
        <v>3653</v>
      </c>
      <c r="C50" s="469"/>
      <c r="D50" s="469"/>
      <c r="E50" s="459" t="s">
        <v>3654</v>
      </c>
      <c r="F50" s="470" t="str">
        <f t="shared" si="0"/>
        <v>FRIENDS OF TRUMAN CA</v>
      </c>
      <c r="G50" s="471">
        <v>86560.58</v>
      </c>
      <c r="H50" s="472">
        <v>0</v>
      </c>
      <c r="I50" s="472">
        <v>-1665.13</v>
      </c>
      <c r="J50" s="472">
        <v>8431.25</v>
      </c>
      <c r="K50" s="472">
        <v>0</v>
      </c>
      <c r="L50" s="472">
        <v>0</v>
      </c>
      <c r="M50" s="472">
        <f t="shared" si="1"/>
        <v>93326.7</v>
      </c>
    </row>
    <row r="51" spans="1:13" ht="12.75" outlineLevel="1">
      <c r="A51" s="423" t="s">
        <v>3655</v>
      </c>
      <c r="C51" s="469"/>
      <c r="D51" s="469"/>
      <c r="E51" s="459" t="s">
        <v>3656</v>
      </c>
      <c r="F51" s="470" t="str">
        <f t="shared" si="0"/>
        <v>GEORGE &amp; GRACE FOX</v>
      </c>
      <c r="G51" s="471">
        <v>185779.53</v>
      </c>
      <c r="H51" s="472">
        <v>0</v>
      </c>
      <c r="I51" s="472">
        <v>0</v>
      </c>
      <c r="J51" s="472">
        <v>-7801.76</v>
      </c>
      <c r="K51" s="472">
        <v>0</v>
      </c>
      <c r="L51" s="472">
        <v>0</v>
      </c>
      <c r="M51" s="472">
        <f t="shared" si="1"/>
        <v>177977.77</v>
      </c>
    </row>
    <row r="52" spans="1:13" ht="12.75" outlineLevel="1">
      <c r="A52" s="423" t="s">
        <v>3657</v>
      </c>
      <c r="C52" s="469"/>
      <c r="D52" s="469"/>
      <c r="E52" s="459" t="s">
        <v>3658</v>
      </c>
      <c r="F52" s="470" t="str">
        <f t="shared" si="0"/>
        <v>RYAN GREENBERG SCHP</v>
      </c>
      <c r="G52" s="471">
        <v>19241.76</v>
      </c>
      <c r="H52" s="472">
        <v>600</v>
      </c>
      <c r="I52" s="472">
        <v>-347.04</v>
      </c>
      <c r="J52" s="472">
        <v>1906.11</v>
      </c>
      <c r="K52" s="472">
        <v>0</v>
      </c>
      <c r="L52" s="472">
        <v>0</v>
      </c>
      <c r="M52" s="472">
        <f t="shared" si="1"/>
        <v>21400.829999999998</v>
      </c>
    </row>
    <row r="53" spans="1:13" ht="12.75" outlineLevel="1">
      <c r="A53" s="423" t="s">
        <v>3659</v>
      </c>
      <c r="C53" s="469"/>
      <c r="D53" s="469"/>
      <c r="E53" s="459" t="s">
        <v>3660</v>
      </c>
      <c r="F53" s="470" t="str">
        <f t="shared" si="0"/>
        <v>FULLERTON SCHP</v>
      </c>
      <c r="G53" s="471">
        <v>61409.17</v>
      </c>
      <c r="H53" s="472">
        <v>0</v>
      </c>
      <c r="I53" s="472">
        <v>0</v>
      </c>
      <c r="J53" s="472">
        <v>-2578.85</v>
      </c>
      <c r="K53" s="472">
        <v>0</v>
      </c>
      <c r="L53" s="472">
        <v>0</v>
      </c>
      <c r="M53" s="472">
        <f t="shared" si="1"/>
        <v>58830.32</v>
      </c>
    </row>
    <row r="54" spans="1:13" ht="12.75" outlineLevel="1">
      <c r="A54" s="423" t="s">
        <v>3661</v>
      </c>
      <c r="C54" s="469"/>
      <c r="D54" s="469"/>
      <c r="E54" s="459" t="s">
        <v>3662</v>
      </c>
      <c r="F54" s="470" t="str">
        <f t="shared" si="0"/>
        <v>RUTH GANT MEM SCHP</v>
      </c>
      <c r="G54" s="471">
        <v>21043.34</v>
      </c>
      <c r="H54" s="472">
        <v>0</v>
      </c>
      <c r="I54" s="472">
        <v>-404.8</v>
      </c>
      <c r="J54" s="472">
        <v>2049.68</v>
      </c>
      <c r="K54" s="472">
        <v>0</v>
      </c>
      <c r="L54" s="472">
        <v>0</v>
      </c>
      <c r="M54" s="472">
        <f t="shared" si="1"/>
        <v>22688.22</v>
      </c>
    </row>
    <row r="55" spans="1:13" ht="12.75" outlineLevel="1">
      <c r="A55" s="423" t="s">
        <v>3663</v>
      </c>
      <c r="C55" s="469"/>
      <c r="D55" s="469"/>
      <c r="E55" s="459" t="s">
        <v>3664</v>
      </c>
      <c r="F55" s="470" t="str">
        <f t="shared" si="0"/>
        <v>OTIS GENTRY SCHP</v>
      </c>
      <c r="G55" s="471">
        <v>110557.65</v>
      </c>
      <c r="H55" s="472">
        <v>-600</v>
      </c>
      <c r="I55" s="472">
        <v>-1.84</v>
      </c>
      <c r="J55" s="472">
        <v>-4630.34</v>
      </c>
      <c r="K55" s="472">
        <v>0</v>
      </c>
      <c r="L55" s="472">
        <v>0</v>
      </c>
      <c r="M55" s="472">
        <f t="shared" si="1"/>
        <v>105325.47</v>
      </c>
    </row>
    <row r="56" spans="1:13" ht="12.75" outlineLevel="1">
      <c r="A56" s="423" t="s">
        <v>3665</v>
      </c>
      <c r="C56" s="469"/>
      <c r="D56" s="469"/>
      <c r="E56" s="459" t="s">
        <v>3666</v>
      </c>
      <c r="F56" s="444" t="str">
        <f t="shared" si="0"/>
        <v>GOLD STAR MOTHERS KC</v>
      </c>
      <c r="G56" s="519">
        <v>13881.74</v>
      </c>
      <c r="H56" s="472">
        <v>0</v>
      </c>
      <c r="I56" s="472">
        <v>-267.03</v>
      </c>
      <c r="J56" s="472">
        <v>1352.11</v>
      </c>
      <c r="K56" s="472">
        <v>0</v>
      </c>
      <c r="L56" s="472">
        <v>0</v>
      </c>
      <c r="M56" s="472">
        <f t="shared" si="1"/>
        <v>14966.82</v>
      </c>
    </row>
    <row r="57" spans="1:13" ht="12.75" outlineLevel="1">
      <c r="A57" s="423" t="s">
        <v>3667</v>
      </c>
      <c r="C57" s="469"/>
      <c r="D57" s="469"/>
      <c r="E57" s="459" t="s">
        <v>3668</v>
      </c>
      <c r="F57" s="470" t="str">
        <f t="shared" si="0"/>
        <v>ESTATE PLANNING SOC</v>
      </c>
      <c r="G57" s="471">
        <v>41378.11</v>
      </c>
      <c r="H57" s="472">
        <v>0</v>
      </c>
      <c r="I57" s="472">
        <v>-795.97</v>
      </c>
      <c r="J57" s="472">
        <v>4030.33</v>
      </c>
      <c r="K57" s="472">
        <v>0</v>
      </c>
      <c r="L57" s="472">
        <v>0</v>
      </c>
      <c r="M57" s="472">
        <f t="shared" si="1"/>
        <v>44612.47</v>
      </c>
    </row>
    <row r="58" spans="1:13" ht="12.75" outlineLevel="1">
      <c r="A58" s="423" t="s">
        <v>3669</v>
      </c>
      <c r="C58" s="469"/>
      <c r="D58" s="469"/>
      <c r="E58" s="459" t="s">
        <v>3670</v>
      </c>
      <c r="F58" s="470" t="str">
        <f t="shared" si="0"/>
        <v>M W &amp; W S GORDON FD</v>
      </c>
      <c r="G58" s="471">
        <v>17572.74</v>
      </c>
      <c r="H58" s="472">
        <v>0</v>
      </c>
      <c r="I58" s="472">
        <v>-338.03</v>
      </c>
      <c r="J58" s="472">
        <v>1711.63</v>
      </c>
      <c r="K58" s="472">
        <v>0</v>
      </c>
      <c r="L58" s="472">
        <v>0</v>
      </c>
      <c r="M58" s="472">
        <f t="shared" si="1"/>
        <v>18946.340000000004</v>
      </c>
    </row>
    <row r="59" spans="1:13" ht="12.75" outlineLevel="1">
      <c r="A59" s="423" t="s">
        <v>3671</v>
      </c>
      <c r="C59" s="469"/>
      <c r="D59" s="469"/>
      <c r="E59" s="459" t="s">
        <v>3672</v>
      </c>
      <c r="F59" s="470" t="str">
        <f t="shared" si="0"/>
        <v>FG HALL-WS GORDON FD</v>
      </c>
      <c r="G59" s="471">
        <v>17498.06</v>
      </c>
      <c r="H59" s="472">
        <v>0</v>
      </c>
      <c r="I59" s="472">
        <v>-336.6</v>
      </c>
      <c r="J59" s="472">
        <v>1704.36</v>
      </c>
      <c r="K59" s="472">
        <v>0</v>
      </c>
      <c r="L59" s="472">
        <v>0</v>
      </c>
      <c r="M59" s="472">
        <f t="shared" si="1"/>
        <v>18865.820000000003</v>
      </c>
    </row>
    <row r="60" spans="1:13" ht="12.75" outlineLevel="1">
      <c r="A60" s="423" t="s">
        <v>3673</v>
      </c>
      <c r="C60" s="469"/>
      <c r="D60" s="469"/>
      <c r="E60" s="459" t="s">
        <v>3674</v>
      </c>
      <c r="F60" s="470" t="str">
        <f t="shared" si="0"/>
        <v>S H HARE LIBRARY FD</v>
      </c>
      <c r="G60" s="471">
        <v>69160.57</v>
      </c>
      <c r="H60" s="472">
        <v>0</v>
      </c>
      <c r="I60" s="472">
        <v>-1330.43</v>
      </c>
      <c r="J60" s="472">
        <v>6736.44</v>
      </c>
      <c r="K60" s="472">
        <v>0</v>
      </c>
      <c r="L60" s="472">
        <v>0</v>
      </c>
      <c r="M60" s="472">
        <f t="shared" si="1"/>
        <v>74566.58000000002</v>
      </c>
    </row>
    <row r="61" spans="1:13" ht="12.75" outlineLevel="1">
      <c r="A61" s="423" t="s">
        <v>3675</v>
      </c>
      <c r="C61" s="469"/>
      <c r="D61" s="469"/>
      <c r="E61" s="459" t="s">
        <v>3676</v>
      </c>
      <c r="F61" s="470" t="str">
        <f t="shared" si="0"/>
        <v>HARMON SCHOLARS FUND</v>
      </c>
      <c r="G61" s="471">
        <v>236019.5</v>
      </c>
      <c r="H61" s="472">
        <v>0</v>
      </c>
      <c r="I61" s="472">
        <v>-4540.22</v>
      </c>
      <c r="J61" s="472">
        <v>22988.98</v>
      </c>
      <c r="K61" s="472">
        <v>0</v>
      </c>
      <c r="L61" s="472">
        <v>0</v>
      </c>
      <c r="M61" s="472">
        <f t="shared" si="1"/>
        <v>254468.26</v>
      </c>
    </row>
    <row r="62" spans="1:13" ht="12.75" outlineLevel="1">
      <c r="A62" s="423" t="s">
        <v>3677</v>
      </c>
      <c r="C62" s="469"/>
      <c r="D62" s="469"/>
      <c r="E62" s="459" t="s">
        <v>3678</v>
      </c>
      <c r="F62" s="470" t="str">
        <f t="shared" si="0"/>
        <v>MIKE GREENE MEMORIAL</v>
      </c>
      <c r="G62" s="471">
        <v>3217.55</v>
      </c>
      <c r="H62" s="472">
        <v>100</v>
      </c>
      <c r="I62" s="472">
        <v>0</v>
      </c>
      <c r="J62" s="472">
        <v>-136.81</v>
      </c>
      <c r="K62" s="472">
        <v>0</v>
      </c>
      <c r="L62" s="472">
        <v>0</v>
      </c>
      <c r="M62" s="472">
        <f t="shared" si="1"/>
        <v>3180.7400000000002</v>
      </c>
    </row>
    <row r="63" spans="1:13" ht="12.75" outlineLevel="1">
      <c r="A63" s="423" t="s">
        <v>3679</v>
      </c>
      <c r="C63" s="469"/>
      <c r="D63" s="469"/>
      <c r="E63" s="459" t="s">
        <v>3680</v>
      </c>
      <c r="F63" s="470" t="str">
        <f t="shared" si="0"/>
        <v>HALLEY SCHP FUND</v>
      </c>
      <c r="G63" s="471">
        <v>34535.76</v>
      </c>
      <c r="H63" s="472">
        <v>0</v>
      </c>
      <c r="I63" s="472">
        <v>0</v>
      </c>
      <c r="J63" s="472">
        <v>-1450.32</v>
      </c>
      <c r="K63" s="472">
        <v>0</v>
      </c>
      <c r="L63" s="472">
        <v>0</v>
      </c>
      <c r="M63" s="472">
        <f t="shared" si="1"/>
        <v>33085.44</v>
      </c>
    </row>
    <row r="64" spans="1:13" ht="12.75" outlineLevel="1">
      <c r="A64" s="423" t="s">
        <v>3681</v>
      </c>
      <c r="C64" s="469"/>
      <c r="D64" s="469"/>
      <c r="E64" s="459" t="s">
        <v>3682</v>
      </c>
      <c r="F64" s="470" t="str">
        <f t="shared" si="0"/>
        <v>DR DAN HEDGE SCHP</v>
      </c>
      <c r="G64" s="471">
        <v>19874.96</v>
      </c>
      <c r="H64" s="472">
        <v>0</v>
      </c>
      <c r="I64" s="472">
        <v>-382.33</v>
      </c>
      <c r="J64" s="472">
        <v>1935.87</v>
      </c>
      <c r="K64" s="472">
        <v>0</v>
      </c>
      <c r="L64" s="472">
        <v>0</v>
      </c>
      <c r="M64" s="472">
        <f t="shared" si="1"/>
        <v>21428.499999999996</v>
      </c>
    </row>
    <row r="65" spans="1:13" ht="12.75" outlineLevel="1">
      <c r="A65" s="423" t="s">
        <v>3683</v>
      </c>
      <c r="C65" s="469"/>
      <c r="D65" s="469"/>
      <c r="E65" s="459" t="s">
        <v>3684</v>
      </c>
      <c r="F65" s="470" t="str">
        <f t="shared" si="0"/>
        <v>GUERRON LEACH SCHP</v>
      </c>
      <c r="G65" s="471">
        <v>17124.88</v>
      </c>
      <c r="H65" s="472">
        <v>0</v>
      </c>
      <c r="I65" s="472">
        <v>-329.42</v>
      </c>
      <c r="J65" s="472">
        <v>1668.01</v>
      </c>
      <c r="K65" s="472">
        <v>0</v>
      </c>
      <c r="L65" s="472">
        <v>0</v>
      </c>
      <c r="M65" s="472">
        <f t="shared" si="1"/>
        <v>18463.47</v>
      </c>
    </row>
    <row r="66" spans="1:13" ht="12.75" outlineLevel="1">
      <c r="A66" s="423" t="s">
        <v>3685</v>
      </c>
      <c r="C66" s="469"/>
      <c r="D66" s="469"/>
      <c r="E66" s="459" t="s">
        <v>3686</v>
      </c>
      <c r="F66" s="470" t="str">
        <f t="shared" si="0"/>
        <v>E B HODGES MEM</v>
      </c>
      <c r="G66" s="471">
        <v>9907.36</v>
      </c>
      <c r="H66" s="472">
        <v>0</v>
      </c>
      <c r="I66" s="472">
        <v>0</v>
      </c>
      <c r="J66" s="472">
        <v>-416.03</v>
      </c>
      <c r="K66" s="472">
        <v>0</v>
      </c>
      <c r="L66" s="472">
        <v>0</v>
      </c>
      <c r="M66" s="472">
        <f t="shared" si="1"/>
        <v>9491.33</v>
      </c>
    </row>
    <row r="67" spans="1:13" ht="12.75" outlineLevel="1">
      <c r="A67" s="423" t="s">
        <v>3687</v>
      </c>
      <c r="C67" s="469"/>
      <c r="D67" s="469"/>
      <c r="E67" s="459" t="s">
        <v>3688</v>
      </c>
      <c r="F67" s="470" t="str">
        <f t="shared" si="0"/>
        <v>HOWARD E HUSELTON SC</v>
      </c>
      <c r="G67" s="471">
        <v>13029.72</v>
      </c>
      <c r="H67" s="472">
        <v>0</v>
      </c>
      <c r="I67" s="472">
        <v>-250.65</v>
      </c>
      <c r="J67" s="472">
        <v>1269.13</v>
      </c>
      <c r="K67" s="472">
        <v>0</v>
      </c>
      <c r="L67" s="472">
        <v>0</v>
      </c>
      <c r="M67" s="472">
        <f t="shared" si="1"/>
        <v>14048.2</v>
      </c>
    </row>
    <row r="68" spans="1:13" ht="12.75" outlineLevel="1">
      <c r="A68" s="423" t="s">
        <v>3689</v>
      </c>
      <c r="C68" s="469"/>
      <c r="D68" s="469"/>
      <c r="E68" s="459" t="s">
        <v>3690</v>
      </c>
      <c r="F68" s="470" t="str">
        <f t="shared" si="0"/>
        <v>IND AAUW END SCHOLAR</v>
      </c>
      <c r="G68" s="471">
        <v>29820.54</v>
      </c>
      <c r="H68" s="472">
        <v>0</v>
      </c>
      <c r="I68" s="472">
        <v>-573.64</v>
      </c>
      <c r="J68" s="472">
        <v>2904.58</v>
      </c>
      <c r="K68" s="472">
        <v>0</v>
      </c>
      <c r="L68" s="472">
        <v>0</v>
      </c>
      <c r="M68" s="472">
        <f t="shared" si="1"/>
        <v>32151.480000000003</v>
      </c>
    </row>
    <row r="69" spans="1:13" ht="12.75" outlineLevel="1">
      <c r="A69" s="423" t="s">
        <v>3691</v>
      </c>
      <c r="C69" s="469"/>
      <c r="D69" s="469"/>
      <c r="E69" s="459" t="s">
        <v>3692</v>
      </c>
      <c r="F69" s="470" t="str">
        <f t="shared" si="0"/>
        <v>INDEPEN JAYCEES SCSP</v>
      </c>
      <c r="G69" s="471">
        <v>23195.4</v>
      </c>
      <c r="H69" s="472">
        <v>0</v>
      </c>
      <c r="I69" s="472">
        <v>-446.19</v>
      </c>
      <c r="J69" s="472">
        <v>2259.29</v>
      </c>
      <c r="K69" s="472">
        <v>0</v>
      </c>
      <c r="L69" s="472">
        <v>0</v>
      </c>
      <c r="M69" s="472">
        <f t="shared" si="1"/>
        <v>25008.500000000004</v>
      </c>
    </row>
    <row r="70" spans="1:13" ht="12.75" outlineLevel="1">
      <c r="A70" s="423" t="s">
        <v>3693</v>
      </c>
      <c r="C70" s="469"/>
      <c r="D70" s="469"/>
      <c r="E70" s="459" t="s">
        <v>3694</v>
      </c>
      <c r="F70" s="470" t="str">
        <f t="shared" si="0"/>
        <v>INDEP YOUNG MATRONS</v>
      </c>
      <c r="G70" s="471">
        <v>19436.44</v>
      </c>
      <c r="H70" s="472">
        <v>0</v>
      </c>
      <c r="I70" s="472">
        <v>-373.9</v>
      </c>
      <c r="J70" s="472">
        <v>1893.16</v>
      </c>
      <c r="K70" s="472">
        <v>0</v>
      </c>
      <c r="L70" s="472">
        <v>0</v>
      </c>
      <c r="M70" s="472">
        <f t="shared" si="1"/>
        <v>20955.699999999997</v>
      </c>
    </row>
    <row r="71" spans="1:13" ht="12.75" outlineLevel="1">
      <c r="A71" s="423" t="s">
        <v>3695</v>
      </c>
      <c r="C71" s="469"/>
      <c r="D71" s="469"/>
      <c r="E71" s="459" t="s">
        <v>554</v>
      </c>
      <c r="F71" s="470" t="str">
        <f t="shared" si="0"/>
        <v>INFO PROD INC SCHOL</v>
      </c>
      <c r="G71" s="471">
        <v>17974.08</v>
      </c>
      <c r="H71" s="472">
        <v>0</v>
      </c>
      <c r="I71" s="472">
        <v>-345.75</v>
      </c>
      <c r="J71" s="472">
        <v>1750.71</v>
      </c>
      <c r="K71" s="472">
        <v>0</v>
      </c>
      <c r="L71" s="472">
        <v>0</v>
      </c>
      <c r="M71" s="472">
        <f t="shared" si="1"/>
        <v>19379.04</v>
      </c>
    </row>
    <row r="72" spans="1:13" ht="12.75" outlineLevel="1">
      <c r="A72" s="423" t="s">
        <v>555</v>
      </c>
      <c r="C72" s="469"/>
      <c r="D72" s="469"/>
      <c r="E72" s="459" t="s">
        <v>556</v>
      </c>
      <c r="F72" s="470" t="str">
        <f t="shared" si="0"/>
        <v>DOUGLAS IRWIN MEM SH</v>
      </c>
      <c r="G72" s="471">
        <v>7516.23</v>
      </c>
      <c r="H72" s="472">
        <v>0</v>
      </c>
      <c r="I72" s="472">
        <v>-144.59</v>
      </c>
      <c r="J72" s="472">
        <v>732.11</v>
      </c>
      <c r="K72" s="472">
        <v>0</v>
      </c>
      <c r="L72" s="472">
        <v>0</v>
      </c>
      <c r="M72" s="472">
        <f t="shared" si="1"/>
        <v>8103.749999999999</v>
      </c>
    </row>
    <row r="73" spans="1:13" ht="12.75" outlineLevel="1">
      <c r="A73" s="423" t="s">
        <v>557</v>
      </c>
      <c r="C73" s="469"/>
      <c r="D73" s="469"/>
      <c r="E73" s="459" t="s">
        <v>558</v>
      </c>
      <c r="F73" s="470" t="str">
        <f t="shared" si="0"/>
        <v>ENID &amp; CROSBY KEMPER</v>
      </c>
      <c r="G73" s="471">
        <v>332506.01</v>
      </c>
      <c r="H73" s="472">
        <v>0</v>
      </c>
      <c r="I73" s="472">
        <v>0</v>
      </c>
      <c r="J73" s="472">
        <v>-13963.48</v>
      </c>
      <c r="K73" s="472">
        <v>0</v>
      </c>
      <c r="L73" s="472">
        <v>0</v>
      </c>
      <c r="M73" s="472">
        <f t="shared" si="1"/>
        <v>318542.53</v>
      </c>
    </row>
    <row r="74" spans="1:13" ht="12.75" outlineLevel="1">
      <c r="A74" s="423" t="s">
        <v>559</v>
      </c>
      <c r="C74" s="469"/>
      <c r="D74" s="469"/>
      <c r="E74" s="459" t="s">
        <v>560</v>
      </c>
      <c r="F74" s="470" t="str">
        <f t="shared" si="0"/>
        <v>MARY KNUTSON SCHP</v>
      </c>
      <c r="G74" s="471">
        <v>15218.78</v>
      </c>
      <c r="H74" s="472">
        <v>0</v>
      </c>
      <c r="I74" s="472">
        <v>-292.74</v>
      </c>
      <c r="J74" s="472">
        <v>1482.34</v>
      </c>
      <c r="K74" s="472">
        <v>0</v>
      </c>
      <c r="L74" s="472">
        <v>0</v>
      </c>
      <c r="M74" s="472">
        <f t="shared" si="1"/>
        <v>16408.38</v>
      </c>
    </row>
    <row r="75" spans="1:13" ht="12.75" outlineLevel="1">
      <c r="A75" s="423" t="s">
        <v>561</v>
      </c>
      <c r="C75" s="469"/>
      <c r="D75" s="469"/>
      <c r="E75" s="459" t="s">
        <v>562</v>
      </c>
      <c r="F75" s="470" t="str">
        <f aca="true" t="shared" si="2" ref="F75:F138">UPPER(E75)</f>
        <v>E K JACOBS MEM SCHP</v>
      </c>
      <c r="G75" s="471">
        <v>1126681.34</v>
      </c>
      <c r="H75" s="472">
        <v>587.6</v>
      </c>
      <c r="I75" s="472">
        <v>-21667.13</v>
      </c>
      <c r="J75" s="472">
        <v>109736.95</v>
      </c>
      <c r="K75" s="472">
        <v>62.5</v>
      </c>
      <c r="L75" s="472">
        <v>0</v>
      </c>
      <c r="M75" s="472">
        <f aca="true" t="shared" si="3" ref="M75:M138">G75+H75+I75+J75-K75+L75</f>
        <v>1215276.2600000002</v>
      </c>
    </row>
    <row r="76" spans="1:13" ht="12.75" outlineLevel="1">
      <c r="A76" s="423" t="s">
        <v>563</v>
      </c>
      <c r="C76" s="469"/>
      <c r="D76" s="469"/>
      <c r="E76" s="459" t="s">
        <v>564</v>
      </c>
      <c r="F76" s="470" t="str">
        <f t="shared" si="2"/>
        <v>WM JACQUES STUDNT AD</v>
      </c>
      <c r="G76" s="471">
        <v>402974.92</v>
      </c>
      <c r="H76" s="472">
        <v>607.07</v>
      </c>
      <c r="I76" s="472">
        <v>2.63</v>
      </c>
      <c r="J76" s="472">
        <v>-16933.89</v>
      </c>
      <c r="K76" s="472">
        <v>0</v>
      </c>
      <c r="L76" s="472">
        <v>0</v>
      </c>
      <c r="M76" s="472">
        <f t="shared" si="3"/>
        <v>386650.73</v>
      </c>
    </row>
    <row r="77" spans="1:13" ht="12.75" outlineLevel="1">
      <c r="A77" s="423" t="s">
        <v>565</v>
      </c>
      <c r="C77" s="469"/>
      <c r="D77" s="469"/>
      <c r="E77" s="459" t="s">
        <v>566</v>
      </c>
      <c r="F77" s="470" t="str">
        <f t="shared" si="2"/>
        <v>JOB SCHOLARSHIP</v>
      </c>
      <c r="G77" s="471">
        <v>28880.32</v>
      </c>
      <c r="H77" s="472">
        <v>1200</v>
      </c>
      <c r="I77" s="472">
        <v>59.56</v>
      </c>
      <c r="J77" s="472">
        <v>-1298.24</v>
      </c>
      <c r="K77" s="472">
        <v>0</v>
      </c>
      <c r="L77" s="472">
        <v>7617.91</v>
      </c>
      <c r="M77" s="472">
        <f t="shared" si="3"/>
        <v>36459.55</v>
      </c>
    </row>
    <row r="78" spans="1:13" ht="12.75" outlineLevel="1">
      <c r="A78" s="423" t="s">
        <v>567</v>
      </c>
      <c r="C78" s="469"/>
      <c r="D78" s="469"/>
      <c r="E78" s="459" t="s">
        <v>568</v>
      </c>
      <c r="F78" s="470" t="str">
        <f t="shared" si="2"/>
        <v>PHYLLIS J JONES</v>
      </c>
      <c r="G78" s="471">
        <v>88007.26</v>
      </c>
      <c r="H78" s="472">
        <v>423.06</v>
      </c>
      <c r="I78" s="472">
        <v>-1657.92</v>
      </c>
      <c r="J78" s="472">
        <v>8590.14</v>
      </c>
      <c r="K78" s="472">
        <v>0</v>
      </c>
      <c r="L78" s="472">
        <v>0</v>
      </c>
      <c r="M78" s="472">
        <f t="shared" si="3"/>
        <v>95362.54</v>
      </c>
    </row>
    <row r="79" spans="1:13" ht="12.75" outlineLevel="1">
      <c r="A79" s="423" t="s">
        <v>569</v>
      </c>
      <c r="C79" s="469"/>
      <c r="D79" s="469"/>
      <c r="E79" s="459" t="s">
        <v>570</v>
      </c>
      <c r="F79" s="470" t="str">
        <f t="shared" si="2"/>
        <v>KC ELEM TEACHERS CLB</v>
      </c>
      <c r="G79" s="471">
        <v>114566.52</v>
      </c>
      <c r="H79" s="472">
        <v>0</v>
      </c>
      <c r="I79" s="472">
        <v>0</v>
      </c>
      <c r="J79" s="472">
        <v>-4811.19</v>
      </c>
      <c r="K79" s="472">
        <v>0</v>
      </c>
      <c r="L79" s="472">
        <v>0</v>
      </c>
      <c r="M79" s="472">
        <f t="shared" si="3"/>
        <v>109755.33</v>
      </c>
    </row>
    <row r="80" spans="1:13" ht="12.75" outlineLevel="1">
      <c r="A80" s="423" t="s">
        <v>571</v>
      </c>
      <c r="C80" s="469"/>
      <c r="D80" s="469"/>
      <c r="E80" s="459" t="s">
        <v>572</v>
      </c>
      <c r="F80" s="470" t="str">
        <f t="shared" si="2"/>
        <v>K C WOMENS GUILD SCH</v>
      </c>
      <c r="G80" s="471">
        <v>11730.63</v>
      </c>
      <c r="H80" s="472">
        <v>0</v>
      </c>
      <c r="I80" s="472">
        <v>0</v>
      </c>
      <c r="J80" s="472">
        <v>-492.62</v>
      </c>
      <c r="K80" s="472">
        <v>0</v>
      </c>
      <c r="L80" s="472">
        <v>0</v>
      </c>
      <c r="M80" s="472">
        <f t="shared" si="3"/>
        <v>11238.009999999998</v>
      </c>
    </row>
    <row r="81" spans="1:13" ht="12.75" outlineLevel="1">
      <c r="A81" s="423" t="s">
        <v>573</v>
      </c>
      <c r="C81" s="469"/>
      <c r="D81" s="469"/>
      <c r="E81" s="459" t="s">
        <v>574</v>
      </c>
      <c r="F81" s="470" t="str">
        <f t="shared" si="2"/>
        <v>M B KEMP END SCHP</v>
      </c>
      <c r="G81" s="471">
        <v>71307.11</v>
      </c>
      <c r="H81" s="472">
        <v>0</v>
      </c>
      <c r="I81" s="472">
        <v>-1371.71</v>
      </c>
      <c r="J81" s="472">
        <v>6945.53</v>
      </c>
      <c r="K81" s="472">
        <v>0</v>
      </c>
      <c r="L81" s="472">
        <v>0</v>
      </c>
      <c r="M81" s="472">
        <f t="shared" si="3"/>
        <v>76880.93</v>
      </c>
    </row>
    <row r="82" spans="1:13" ht="12.75" outlineLevel="1">
      <c r="A82" s="423" t="s">
        <v>575</v>
      </c>
      <c r="C82" s="469"/>
      <c r="D82" s="469"/>
      <c r="E82" s="459" t="s">
        <v>576</v>
      </c>
      <c r="F82" s="470" t="str">
        <f t="shared" si="2"/>
        <v>ARTHUR KRIEHN SCH</v>
      </c>
      <c r="G82" s="471">
        <v>586777.16</v>
      </c>
      <c r="H82" s="472">
        <v>9993</v>
      </c>
      <c r="I82" s="472">
        <v>-10804.73</v>
      </c>
      <c r="J82" s="472">
        <v>56959.83</v>
      </c>
      <c r="K82" s="472">
        <v>0</v>
      </c>
      <c r="L82" s="472">
        <v>0</v>
      </c>
      <c r="M82" s="472">
        <f t="shared" si="3"/>
        <v>642925.26</v>
      </c>
    </row>
    <row r="83" spans="1:13" ht="12.75" outlineLevel="1">
      <c r="A83" s="423" t="s">
        <v>577</v>
      </c>
      <c r="C83" s="469"/>
      <c r="D83" s="469"/>
      <c r="E83" s="459" t="s">
        <v>578</v>
      </c>
      <c r="F83" s="470" t="str">
        <f t="shared" si="2"/>
        <v>ALLEN CRONK SCHP</v>
      </c>
      <c r="G83" s="471">
        <v>13071.28</v>
      </c>
      <c r="H83" s="472">
        <v>0</v>
      </c>
      <c r="I83" s="472">
        <v>-251.44</v>
      </c>
      <c r="J83" s="472">
        <v>1273.17</v>
      </c>
      <c r="K83" s="472">
        <v>0</v>
      </c>
      <c r="L83" s="472">
        <v>0</v>
      </c>
      <c r="M83" s="472">
        <f t="shared" si="3"/>
        <v>14093.01</v>
      </c>
    </row>
    <row r="84" spans="1:13" ht="12.75" outlineLevel="1">
      <c r="A84" s="423" t="s">
        <v>579</v>
      </c>
      <c r="C84" s="469"/>
      <c r="D84" s="469"/>
      <c r="E84" s="459" t="s">
        <v>580</v>
      </c>
      <c r="F84" s="470" t="str">
        <f t="shared" si="2"/>
        <v>SANFORD B LADD AWARD</v>
      </c>
      <c r="G84" s="471">
        <v>3468.47</v>
      </c>
      <c r="H84" s="472">
        <v>0</v>
      </c>
      <c r="I84" s="472">
        <v>-66.72</v>
      </c>
      <c r="J84" s="472">
        <v>337.84</v>
      </c>
      <c r="K84" s="472">
        <v>0</v>
      </c>
      <c r="L84" s="472">
        <v>0</v>
      </c>
      <c r="M84" s="472">
        <f t="shared" si="3"/>
        <v>3739.59</v>
      </c>
    </row>
    <row r="85" spans="1:13" ht="12.75" outlineLevel="1">
      <c r="A85" s="423" t="s">
        <v>581</v>
      </c>
      <c r="C85" s="469"/>
      <c r="D85" s="469"/>
      <c r="E85" s="459" t="s">
        <v>582</v>
      </c>
      <c r="F85" s="470" t="str">
        <f t="shared" si="2"/>
        <v>RALPH S LATSHAW AWD</v>
      </c>
      <c r="G85" s="471">
        <v>10167.85</v>
      </c>
      <c r="H85" s="472">
        <v>0</v>
      </c>
      <c r="I85" s="472">
        <v>-195.59</v>
      </c>
      <c r="J85" s="472">
        <v>990.38</v>
      </c>
      <c r="K85" s="472">
        <v>0</v>
      </c>
      <c r="L85" s="472">
        <v>0</v>
      </c>
      <c r="M85" s="472">
        <f t="shared" si="3"/>
        <v>10962.64</v>
      </c>
    </row>
    <row r="86" spans="1:13" ht="12.75" outlineLevel="1">
      <c r="A86" s="423" t="s">
        <v>583</v>
      </c>
      <c r="C86" s="469"/>
      <c r="D86" s="469"/>
      <c r="E86" s="459" t="s">
        <v>584</v>
      </c>
      <c r="F86" s="470" t="str">
        <f t="shared" si="2"/>
        <v>LEATHERMAN SCHOL FD</v>
      </c>
      <c r="G86" s="471">
        <v>111213.9</v>
      </c>
      <c r="H86" s="472">
        <v>0</v>
      </c>
      <c r="I86" s="472">
        <v>-2139.35</v>
      </c>
      <c r="J86" s="472">
        <v>10832.57</v>
      </c>
      <c r="K86" s="472">
        <v>0</v>
      </c>
      <c r="L86" s="472">
        <v>0</v>
      </c>
      <c r="M86" s="472">
        <f t="shared" si="3"/>
        <v>119907.12</v>
      </c>
    </row>
    <row r="87" spans="1:13" ht="12.75" outlineLevel="1">
      <c r="A87" s="423" t="s">
        <v>585</v>
      </c>
      <c r="C87" s="469"/>
      <c r="D87" s="469"/>
      <c r="E87" s="459" t="s">
        <v>586</v>
      </c>
      <c r="F87" s="470" t="str">
        <f t="shared" si="2"/>
        <v>D LIEBERMAN MEM SCHP</v>
      </c>
      <c r="G87" s="471">
        <v>61521.44</v>
      </c>
      <c r="H87" s="472">
        <v>0</v>
      </c>
      <c r="I87" s="472">
        <v>0</v>
      </c>
      <c r="J87" s="472">
        <v>-2583.57</v>
      </c>
      <c r="K87" s="472">
        <v>0</v>
      </c>
      <c r="L87" s="472">
        <v>0</v>
      </c>
      <c r="M87" s="472">
        <f t="shared" si="3"/>
        <v>58937.87</v>
      </c>
    </row>
    <row r="88" spans="1:13" ht="12.75" outlineLevel="1">
      <c r="A88" s="423" t="s">
        <v>587</v>
      </c>
      <c r="C88" s="469"/>
      <c r="D88" s="469"/>
      <c r="E88" s="459" t="s">
        <v>588</v>
      </c>
      <c r="F88" s="470" t="str">
        <f t="shared" si="2"/>
        <v>R &amp; A M LUYBEN SCHP</v>
      </c>
      <c r="G88" s="471">
        <v>25739.59</v>
      </c>
      <c r="H88" s="472">
        <v>200</v>
      </c>
      <c r="I88" s="472">
        <v>-486.38</v>
      </c>
      <c r="J88" s="472">
        <v>2504.06</v>
      </c>
      <c r="K88" s="472">
        <v>0</v>
      </c>
      <c r="L88" s="472">
        <v>0</v>
      </c>
      <c r="M88" s="472">
        <f t="shared" si="3"/>
        <v>27957.27</v>
      </c>
    </row>
    <row r="89" spans="1:13" ht="12.75" outlineLevel="1">
      <c r="A89" s="423" t="s">
        <v>589</v>
      </c>
      <c r="C89" s="469"/>
      <c r="D89" s="469"/>
      <c r="E89" s="459" t="s">
        <v>590</v>
      </c>
      <c r="F89" s="470" t="str">
        <f t="shared" si="2"/>
        <v>MARGOLIS CONSERV SCH</v>
      </c>
      <c r="G89" s="471">
        <v>36353.45</v>
      </c>
      <c r="H89" s="472">
        <v>0</v>
      </c>
      <c r="I89" s="472">
        <v>-699.3</v>
      </c>
      <c r="J89" s="472">
        <v>3540.92</v>
      </c>
      <c r="K89" s="472">
        <v>0</v>
      </c>
      <c r="L89" s="472">
        <v>0</v>
      </c>
      <c r="M89" s="472">
        <f t="shared" si="3"/>
        <v>39195.06999999999</v>
      </c>
    </row>
    <row r="90" spans="1:13" ht="12.75" outlineLevel="1">
      <c r="A90" s="423" t="s">
        <v>591</v>
      </c>
      <c r="C90" s="469"/>
      <c r="D90" s="469"/>
      <c r="E90" s="459" t="s">
        <v>592</v>
      </c>
      <c r="F90" s="470" t="str">
        <f t="shared" si="2"/>
        <v>PAT MCILRATH SCHP</v>
      </c>
      <c r="G90" s="471">
        <v>57701.46</v>
      </c>
      <c r="H90" s="472">
        <v>0</v>
      </c>
      <c r="I90" s="472">
        <v>0</v>
      </c>
      <c r="J90" s="472">
        <v>-2423.15</v>
      </c>
      <c r="K90" s="472">
        <v>0</v>
      </c>
      <c r="L90" s="472">
        <v>0</v>
      </c>
      <c r="M90" s="472">
        <f t="shared" si="3"/>
        <v>55278.31</v>
      </c>
    </row>
    <row r="91" spans="1:13" ht="12.75" outlineLevel="1">
      <c r="A91" s="423" t="s">
        <v>593</v>
      </c>
      <c r="C91" s="469"/>
      <c r="D91" s="469"/>
      <c r="E91" s="459" t="s">
        <v>594</v>
      </c>
      <c r="F91" s="470" t="str">
        <f t="shared" si="2"/>
        <v>MCCOY-BALDUS SCHP</v>
      </c>
      <c r="G91" s="471">
        <v>5790.77</v>
      </c>
      <c r="H91" s="472">
        <v>0</v>
      </c>
      <c r="I91" s="472">
        <v>0</v>
      </c>
      <c r="J91" s="472">
        <v>-243.18</v>
      </c>
      <c r="K91" s="472">
        <v>0</v>
      </c>
      <c r="L91" s="472">
        <v>0</v>
      </c>
      <c r="M91" s="472">
        <f t="shared" si="3"/>
        <v>5547.59</v>
      </c>
    </row>
    <row r="92" spans="1:13" ht="12.75" outlineLevel="1">
      <c r="A92" s="423" t="s">
        <v>595</v>
      </c>
      <c r="C92" s="469"/>
      <c r="D92" s="469"/>
      <c r="E92" s="459" t="s">
        <v>596</v>
      </c>
      <c r="F92" s="470" t="str">
        <f t="shared" si="2"/>
        <v>CAMPOBELLO MC SWEGIN</v>
      </c>
      <c r="G92" s="471">
        <v>15578.94</v>
      </c>
      <c r="H92" s="472">
        <v>1000</v>
      </c>
      <c r="I92" s="472">
        <v>-259.18</v>
      </c>
      <c r="J92" s="472">
        <v>1501.76</v>
      </c>
      <c r="K92" s="472">
        <v>0</v>
      </c>
      <c r="L92" s="472">
        <v>0</v>
      </c>
      <c r="M92" s="472">
        <f t="shared" si="3"/>
        <v>17821.52</v>
      </c>
    </row>
    <row r="93" spans="1:13" ht="12.75" outlineLevel="1">
      <c r="A93" s="423" t="s">
        <v>597</v>
      </c>
      <c r="C93" s="469"/>
      <c r="D93" s="469"/>
      <c r="E93" s="459" t="s">
        <v>598</v>
      </c>
      <c r="F93" s="470" t="str">
        <f t="shared" si="2"/>
        <v>MKTG COMM SCHP</v>
      </c>
      <c r="G93" s="471">
        <v>20846.56</v>
      </c>
      <c r="H93" s="472">
        <v>0</v>
      </c>
      <c r="I93" s="472">
        <v>0</v>
      </c>
      <c r="J93" s="472">
        <v>-875.44</v>
      </c>
      <c r="K93" s="472">
        <v>0</v>
      </c>
      <c r="L93" s="472">
        <v>0</v>
      </c>
      <c r="M93" s="472">
        <f t="shared" si="3"/>
        <v>19971.120000000003</v>
      </c>
    </row>
    <row r="94" spans="1:13" ht="12.75" outlineLevel="1">
      <c r="A94" s="423" t="s">
        <v>599</v>
      </c>
      <c r="C94" s="469"/>
      <c r="D94" s="469"/>
      <c r="E94" s="459" t="s">
        <v>600</v>
      </c>
      <c r="F94" s="470" t="str">
        <f t="shared" si="2"/>
        <v>MONTGOMERY MEM SCHP</v>
      </c>
      <c r="G94" s="471">
        <v>5594.52</v>
      </c>
      <c r="H94" s="472">
        <v>0</v>
      </c>
      <c r="I94" s="472">
        <v>-107.63</v>
      </c>
      <c r="J94" s="472">
        <v>544.91</v>
      </c>
      <c r="K94" s="472">
        <v>0</v>
      </c>
      <c r="L94" s="472">
        <v>0</v>
      </c>
      <c r="M94" s="472">
        <f t="shared" si="3"/>
        <v>6031.8</v>
      </c>
    </row>
    <row r="95" spans="1:13" ht="12.75" outlineLevel="1">
      <c r="A95" s="423" t="s">
        <v>601</v>
      </c>
      <c r="C95" s="469"/>
      <c r="D95" s="469"/>
      <c r="E95" s="459" t="s">
        <v>602</v>
      </c>
      <c r="F95" s="470" t="str">
        <f t="shared" si="2"/>
        <v>ANNETTE MOORE AWARD</v>
      </c>
      <c r="G95" s="471">
        <v>1351.45</v>
      </c>
      <c r="H95" s="472">
        <v>0</v>
      </c>
      <c r="I95" s="472">
        <v>-26.02</v>
      </c>
      <c r="J95" s="472">
        <v>131.63</v>
      </c>
      <c r="K95" s="472">
        <v>0</v>
      </c>
      <c r="L95" s="472">
        <v>0</v>
      </c>
      <c r="M95" s="472">
        <f t="shared" si="3"/>
        <v>1457.06</v>
      </c>
    </row>
    <row r="96" spans="1:13" ht="12.75" outlineLevel="1">
      <c r="A96" s="423" t="s">
        <v>603</v>
      </c>
      <c r="C96" s="469"/>
      <c r="D96" s="469"/>
      <c r="E96" s="459" t="s">
        <v>604</v>
      </c>
      <c r="F96" s="470" t="str">
        <f t="shared" si="2"/>
        <v>JOHN P MORGAN SCHP</v>
      </c>
      <c r="G96" s="471">
        <v>9972.64</v>
      </c>
      <c r="H96" s="472">
        <v>0</v>
      </c>
      <c r="I96" s="472">
        <v>0</v>
      </c>
      <c r="J96" s="472">
        <v>-418.79</v>
      </c>
      <c r="K96" s="472">
        <v>0</v>
      </c>
      <c r="L96" s="472">
        <v>0</v>
      </c>
      <c r="M96" s="472">
        <f t="shared" si="3"/>
        <v>9553.849999999999</v>
      </c>
    </row>
    <row r="97" spans="1:13" ht="12.75" outlineLevel="1">
      <c r="A97" s="423" t="s">
        <v>605</v>
      </c>
      <c r="C97" s="469"/>
      <c r="D97" s="469"/>
      <c r="E97" s="459" t="s">
        <v>606</v>
      </c>
      <c r="F97" s="470" t="str">
        <f t="shared" si="2"/>
        <v>MORRIS ASSOC-KC BANK</v>
      </c>
      <c r="G97" s="471">
        <v>13359.44</v>
      </c>
      <c r="H97" s="472">
        <v>0</v>
      </c>
      <c r="I97" s="472">
        <v>0</v>
      </c>
      <c r="J97" s="472">
        <v>-561.03</v>
      </c>
      <c r="K97" s="472">
        <v>0</v>
      </c>
      <c r="L97" s="472">
        <v>0</v>
      </c>
      <c r="M97" s="472">
        <f t="shared" si="3"/>
        <v>12798.41</v>
      </c>
    </row>
    <row r="98" spans="1:13" ht="12.75" outlineLevel="1">
      <c r="A98" s="423" t="s">
        <v>607</v>
      </c>
      <c r="C98" s="469"/>
      <c r="D98" s="469"/>
      <c r="E98" s="459" t="s">
        <v>608</v>
      </c>
      <c r="F98" s="470" t="str">
        <f t="shared" si="2"/>
        <v>NARAS MUSIC AWARD</v>
      </c>
      <c r="G98" s="471">
        <v>20005.71</v>
      </c>
      <c r="H98" s="472">
        <v>0</v>
      </c>
      <c r="I98" s="472">
        <v>-384.83</v>
      </c>
      <c r="J98" s="472">
        <v>1948.62</v>
      </c>
      <c r="K98" s="472">
        <v>0</v>
      </c>
      <c r="L98" s="472">
        <v>0</v>
      </c>
      <c r="M98" s="472">
        <f t="shared" si="3"/>
        <v>21569.499999999996</v>
      </c>
    </row>
    <row r="99" spans="1:13" ht="12.75" outlineLevel="1">
      <c r="A99" s="423" t="s">
        <v>609</v>
      </c>
      <c r="C99" s="469"/>
      <c r="D99" s="469"/>
      <c r="E99" s="459" t="s">
        <v>610</v>
      </c>
      <c r="F99" s="470" t="str">
        <f t="shared" si="2"/>
        <v>E H NEWCOMB MEM SCHP</v>
      </c>
      <c r="G99" s="471">
        <v>35545.7</v>
      </c>
      <c r="H99" s="472">
        <v>1000</v>
      </c>
      <c r="I99" s="472">
        <v>-661.37</v>
      </c>
      <c r="J99" s="472">
        <v>3444.78</v>
      </c>
      <c r="K99" s="472">
        <v>0</v>
      </c>
      <c r="L99" s="472">
        <v>0</v>
      </c>
      <c r="M99" s="472">
        <f t="shared" si="3"/>
        <v>39329.10999999999</v>
      </c>
    </row>
    <row r="100" spans="1:13" ht="12.75" outlineLevel="1">
      <c r="A100" s="423" t="s">
        <v>611</v>
      </c>
      <c r="C100" s="469"/>
      <c r="D100" s="469"/>
      <c r="E100" s="459" t="s">
        <v>612</v>
      </c>
      <c r="F100" s="470" t="str">
        <f t="shared" si="2"/>
        <v>NEWCOMB SO CA SCHP</v>
      </c>
      <c r="G100" s="471">
        <v>34554.9</v>
      </c>
      <c r="H100" s="472">
        <v>1000</v>
      </c>
      <c r="I100" s="472">
        <v>-642.3</v>
      </c>
      <c r="J100" s="472">
        <v>3348.27</v>
      </c>
      <c r="K100" s="472">
        <v>0</v>
      </c>
      <c r="L100" s="472">
        <v>0</v>
      </c>
      <c r="M100" s="472">
        <f t="shared" si="3"/>
        <v>38260.869999999995</v>
      </c>
    </row>
    <row r="101" spans="1:13" ht="12.75" outlineLevel="1">
      <c r="A101" s="423" t="s">
        <v>613</v>
      </c>
      <c r="C101" s="469"/>
      <c r="D101" s="469"/>
      <c r="E101" s="459" t="s">
        <v>614</v>
      </c>
      <c r="F101" s="470" t="str">
        <f t="shared" si="2"/>
        <v>OELSNER SCHOLARSHIP</v>
      </c>
      <c r="G101" s="471">
        <v>177145.21</v>
      </c>
      <c r="H101" s="472">
        <v>0</v>
      </c>
      <c r="I101" s="472">
        <v>-2595.35</v>
      </c>
      <c r="J101" s="472">
        <v>17335.11</v>
      </c>
      <c r="K101" s="472">
        <v>0</v>
      </c>
      <c r="L101" s="472">
        <v>0</v>
      </c>
      <c r="M101" s="472">
        <f t="shared" si="3"/>
        <v>191884.96999999997</v>
      </c>
    </row>
    <row r="102" spans="1:13" ht="12.75" outlineLevel="1">
      <c r="A102" s="423" t="s">
        <v>615</v>
      </c>
      <c r="C102" s="469"/>
      <c r="D102" s="469"/>
      <c r="E102" s="459" t="s">
        <v>616</v>
      </c>
      <c r="F102" s="470" t="str">
        <f t="shared" si="2"/>
        <v>MERRILL OTIS FUND</v>
      </c>
      <c r="G102" s="471">
        <v>6886.99</v>
      </c>
      <c r="H102" s="472">
        <v>0</v>
      </c>
      <c r="I102" s="472">
        <v>-132.5</v>
      </c>
      <c r="J102" s="472">
        <v>670.83</v>
      </c>
      <c r="K102" s="472">
        <v>0</v>
      </c>
      <c r="L102" s="472">
        <v>0</v>
      </c>
      <c r="M102" s="472">
        <f t="shared" si="3"/>
        <v>7425.32</v>
      </c>
    </row>
    <row r="103" spans="1:13" ht="12.75" outlineLevel="1">
      <c r="A103" s="423" t="s">
        <v>617</v>
      </c>
      <c r="C103" s="469"/>
      <c r="D103" s="469"/>
      <c r="E103" s="459" t="s">
        <v>618</v>
      </c>
      <c r="F103" s="470" t="str">
        <f t="shared" si="2"/>
        <v>DUDLEY PITTS MEMORAL</v>
      </c>
      <c r="G103" s="471">
        <v>27402.19</v>
      </c>
      <c r="H103" s="472">
        <v>0</v>
      </c>
      <c r="I103" s="472">
        <v>-527.14</v>
      </c>
      <c r="J103" s="472">
        <v>2669.05</v>
      </c>
      <c r="K103" s="472">
        <v>0</v>
      </c>
      <c r="L103" s="472">
        <v>0</v>
      </c>
      <c r="M103" s="472">
        <f t="shared" si="3"/>
        <v>29544.1</v>
      </c>
    </row>
    <row r="104" spans="1:13" ht="12.75" outlineLevel="1">
      <c r="A104" s="423" t="s">
        <v>619</v>
      </c>
      <c r="C104" s="469"/>
      <c r="D104" s="469"/>
      <c r="E104" s="459" t="s">
        <v>620</v>
      </c>
      <c r="F104" s="444" t="str">
        <f t="shared" si="2"/>
        <v>NORMAN&amp;ELAINE POLSKY END FD</v>
      </c>
      <c r="G104" s="519">
        <v>97592.2</v>
      </c>
      <c r="H104" s="472">
        <v>5000</v>
      </c>
      <c r="I104" s="472">
        <v>2615.3</v>
      </c>
      <c r="J104" s="472">
        <v>9753.02</v>
      </c>
      <c r="K104" s="472">
        <v>0</v>
      </c>
      <c r="L104" s="472">
        <v>4000</v>
      </c>
      <c r="M104" s="472">
        <f t="shared" si="3"/>
        <v>118960.52</v>
      </c>
    </row>
    <row r="105" spans="1:13" ht="12.75" outlineLevel="1">
      <c r="A105" s="423" t="s">
        <v>621</v>
      </c>
      <c r="C105" s="469"/>
      <c r="D105" s="469"/>
      <c r="E105" s="459" t="s">
        <v>622</v>
      </c>
      <c r="F105" s="470" t="str">
        <f t="shared" si="2"/>
        <v>N J S QUERL SCHOLAR</v>
      </c>
      <c r="G105" s="471">
        <v>405894.52</v>
      </c>
      <c r="H105" s="472">
        <v>0</v>
      </c>
      <c r="I105" s="472">
        <v>-7808</v>
      </c>
      <c r="J105" s="472">
        <v>39535.31</v>
      </c>
      <c r="K105" s="472">
        <v>0</v>
      </c>
      <c r="L105" s="472">
        <v>0</v>
      </c>
      <c r="M105" s="472">
        <f t="shared" si="3"/>
        <v>437621.83</v>
      </c>
    </row>
    <row r="106" spans="1:13" ht="12.75" outlineLevel="1">
      <c r="A106" s="423" t="s">
        <v>623</v>
      </c>
      <c r="C106" s="469"/>
      <c r="D106" s="469"/>
      <c r="E106" s="459" t="s">
        <v>624</v>
      </c>
      <c r="F106" s="470" t="str">
        <f t="shared" si="2"/>
        <v>RICH CORP LAW PRIZE</v>
      </c>
      <c r="G106" s="471">
        <v>73850.47</v>
      </c>
      <c r="H106" s="472">
        <v>1000</v>
      </c>
      <c r="I106" s="472">
        <v>-1415.59</v>
      </c>
      <c r="J106" s="472">
        <v>7186.05</v>
      </c>
      <c r="K106" s="472">
        <v>0</v>
      </c>
      <c r="L106" s="472">
        <v>0</v>
      </c>
      <c r="M106" s="472">
        <f t="shared" si="3"/>
        <v>80620.93000000001</v>
      </c>
    </row>
    <row r="107" spans="1:13" ht="12.75" outlineLevel="1">
      <c r="A107" s="423" t="s">
        <v>625</v>
      </c>
      <c r="C107" s="469"/>
      <c r="D107" s="469"/>
      <c r="E107" s="459" t="s">
        <v>626</v>
      </c>
      <c r="F107" s="470" t="str">
        <f t="shared" si="2"/>
        <v>RILEY DENTAL SCHP</v>
      </c>
      <c r="G107" s="471">
        <v>9513.21</v>
      </c>
      <c r="H107" s="472">
        <v>0</v>
      </c>
      <c r="I107" s="472">
        <v>0</v>
      </c>
      <c r="J107" s="472">
        <v>-399.48</v>
      </c>
      <c r="K107" s="472">
        <v>0</v>
      </c>
      <c r="L107" s="472">
        <v>0</v>
      </c>
      <c r="M107" s="472">
        <f t="shared" si="3"/>
        <v>9113.73</v>
      </c>
    </row>
    <row r="108" spans="1:13" ht="12.75" outlineLevel="1">
      <c r="A108" s="423" t="s">
        <v>627</v>
      </c>
      <c r="C108" s="469"/>
      <c r="D108" s="469"/>
      <c r="E108" s="459" t="s">
        <v>628</v>
      </c>
      <c r="F108" s="470" t="str">
        <f t="shared" si="2"/>
        <v>DONALD W REYNOLDS SH</v>
      </c>
      <c r="G108" s="471">
        <v>15874.64</v>
      </c>
      <c r="H108" s="472">
        <v>0</v>
      </c>
      <c r="I108" s="472">
        <v>-305.37</v>
      </c>
      <c r="J108" s="472">
        <v>1546.23</v>
      </c>
      <c r="K108" s="472">
        <v>0</v>
      </c>
      <c r="L108" s="472">
        <v>0</v>
      </c>
      <c r="M108" s="472">
        <f t="shared" si="3"/>
        <v>17115.5</v>
      </c>
    </row>
    <row r="109" spans="1:13" ht="12.75" outlineLevel="1">
      <c r="A109" s="423" t="s">
        <v>629</v>
      </c>
      <c r="C109" s="469"/>
      <c r="D109" s="469"/>
      <c r="E109" s="459" t="s">
        <v>630</v>
      </c>
      <c r="F109" s="470" t="str">
        <f t="shared" si="2"/>
        <v>S &amp; C ROACH SCHP</v>
      </c>
      <c r="G109" s="471">
        <v>65635.2</v>
      </c>
      <c r="H109" s="472">
        <v>0</v>
      </c>
      <c r="I109" s="472">
        <v>-1262.59</v>
      </c>
      <c r="J109" s="472">
        <v>6393.06</v>
      </c>
      <c r="K109" s="472">
        <v>0</v>
      </c>
      <c r="L109" s="472">
        <v>0</v>
      </c>
      <c r="M109" s="472">
        <f t="shared" si="3"/>
        <v>70765.67</v>
      </c>
    </row>
    <row r="110" spans="1:13" ht="12.75" outlineLevel="1">
      <c r="A110" s="423" t="s">
        <v>631</v>
      </c>
      <c r="C110" s="469"/>
      <c r="D110" s="469"/>
      <c r="E110" s="459" t="s">
        <v>632</v>
      </c>
      <c r="F110" s="470" t="str">
        <f t="shared" si="2"/>
        <v>ROBERTSON SCHP</v>
      </c>
      <c r="G110" s="471">
        <v>69296.17</v>
      </c>
      <c r="H110" s="472">
        <v>0</v>
      </c>
      <c r="I110" s="472">
        <v>0</v>
      </c>
      <c r="J110" s="472">
        <v>-2910.06</v>
      </c>
      <c r="K110" s="472">
        <v>0</v>
      </c>
      <c r="L110" s="472">
        <v>0</v>
      </c>
      <c r="M110" s="472">
        <f t="shared" si="3"/>
        <v>66386.11</v>
      </c>
    </row>
    <row r="111" spans="1:13" ht="12.75" outlineLevel="1">
      <c r="A111" s="423" t="s">
        <v>633</v>
      </c>
      <c r="C111" s="469"/>
      <c r="D111" s="469"/>
      <c r="E111" s="459" t="s">
        <v>634</v>
      </c>
      <c r="F111" s="470" t="str">
        <f t="shared" si="2"/>
        <v>OMAR E ROBINSON</v>
      </c>
      <c r="G111" s="471">
        <v>358106.43</v>
      </c>
      <c r="H111" s="472">
        <v>0</v>
      </c>
      <c r="I111" s="472">
        <v>-6888.72</v>
      </c>
      <c r="J111" s="472">
        <v>34880.61</v>
      </c>
      <c r="K111" s="472">
        <v>0</v>
      </c>
      <c r="L111" s="472">
        <v>0</v>
      </c>
      <c r="M111" s="472">
        <f t="shared" si="3"/>
        <v>386098.32</v>
      </c>
    </row>
    <row r="112" spans="1:13" ht="12.75" outlineLevel="1">
      <c r="A112" s="423" t="s">
        <v>635</v>
      </c>
      <c r="C112" s="469"/>
      <c r="D112" s="469"/>
      <c r="E112" s="459" t="s">
        <v>636</v>
      </c>
      <c r="F112" s="470" t="str">
        <f t="shared" si="2"/>
        <v>LOUIS H EHRLICH SCHL</v>
      </c>
      <c r="G112" s="471">
        <v>38872.08</v>
      </c>
      <c r="H112" s="472">
        <v>0</v>
      </c>
      <c r="I112" s="472">
        <v>0</v>
      </c>
      <c r="J112" s="472">
        <v>-1632.42</v>
      </c>
      <c r="K112" s="472">
        <v>0</v>
      </c>
      <c r="L112" s="472">
        <v>0</v>
      </c>
      <c r="M112" s="472">
        <f t="shared" si="3"/>
        <v>37239.66</v>
      </c>
    </row>
    <row r="113" spans="1:13" ht="12.75" outlineLevel="1">
      <c r="A113" s="423" t="s">
        <v>637</v>
      </c>
      <c r="C113" s="469"/>
      <c r="D113" s="469"/>
      <c r="E113" s="459" t="s">
        <v>638</v>
      </c>
      <c r="F113" s="470" t="str">
        <f t="shared" si="2"/>
        <v>L S ROTHSCHILD FUND</v>
      </c>
      <c r="G113" s="471">
        <v>509268.87</v>
      </c>
      <c r="H113" s="472">
        <v>0</v>
      </c>
      <c r="I113" s="472">
        <v>-9796.55</v>
      </c>
      <c r="J113" s="472">
        <v>49604.28</v>
      </c>
      <c r="K113" s="472">
        <v>0</v>
      </c>
      <c r="L113" s="472">
        <v>0</v>
      </c>
      <c r="M113" s="472">
        <f t="shared" si="3"/>
        <v>549076.6</v>
      </c>
    </row>
    <row r="114" spans="1:13" ht="12.75" outlineLevel="1">
      <c r="A114" s="423" t="s">
        <v>639</v>
      </c>
      <c r="C114" s="469"/>
      <c r="D114" s="469"/>
      <c r="E114" s="459" t="s">
        <v>640</v>
      </c>
      <c r="F114" s="470" t="str">
        <f t="shared" si="2"/>
        <v>CAROLINE SCHUTTE SCH</v>
      </c>
      <c r="G114" s="471">
        <v>268252.07</v>
      </c>
      <c r="H114" s="472">
        <v>0</v>
      </c>
      <c r="I114" s="472">
        <v>-5215.64</v>
      </c>
      <c r="J114" s="472">
        <v>26123.57</v>
      </c>
      <c r="K114" s="472">
        <v>0</v>
      </c>
      <c r="L114" s="472">
        <v>0</v>
      </c>
      <c r="M114" s="472">
        <f t="shared" si="3"/>
        <v>289160</v>
      </c>
    </row>
    <row r="115" spans="1:13" ht="12.75" outlineLevel="1">
      <c r="A115" s="423" t="s">
        <v>641</v>
      </c>
      <c r="C115" s="469"/>
      <c r="D115" s="469"/>
      <c r="E115" s="459" t="s">
        <v>642</v>
      </c>
      <c r="F115" s="470" t="str">
        <f t="shared" si="2"/>
        <v>SHAH MEDICAL SCHP</v>
      </c>
      <c r="G115" s="471">
        <v>10676.5</v>
      </c>
      <c r="H115" s="472">
        <v>0</v>
      </c>
      <c r="I115" s="472">
        <v>-205.37</v>
      </c>
      <c r="J115" s="472">
        <v>1039.93</v>
      </c>
      <c r="K115" s="472">
        <v>0</v>
      </c>
      <c r="L115" s="472">
        <v>0</v>
      </c>
      <c r="M115" s="472">
        <f t="shared" si="3"/>
        <v>11511.06</v>
      </c>
    </row>
    <row r="116" spans="1:13" ht="12.75" outlineLevel="1">
      <c r="A116" s="423" t="s">
        <v>643</v>
      </c>
      <c r="C116" s="469"/>
      <c r="D116" s="469"/>
      <c r="E116" s="459" t="s">
        <v>644</v>
      </c>
      <c r="F116" s="470" t="str">
        <f t="shared" si="2"/>
        <v>SMITHER SCHOLARSHIP</v>
      </c>
      <c r="G116" s="471">
        <v>13758.08</v>
      </c>
      <c r="H116" s="472">
        <v>0</v>
      </c>
      <c r="I116" s="472">
        <v>-264.67</v>
      </c>
      <c r="J116" s="472">
        <v>1340.06</v>
      </c>
      <c r="K116" s="472">
        <v>0</v>
      </c>
      <c r="L116" s="472">
        <v>0</v>
      </c>
      <c r="M116" s="472">
        <f t="shared" si="3"/>
        <v>14833.47</v>
      </c>
    </row>
    <row r="117" spans="1:13" ht="12.75" outlineLevel="1">
      <c r="A117" s="423" t="s">
        <v>645</v>
      </c>
      <c r="C117" s="469"/>
      <c r="D117" s="469"/>
      <c r="E117" s="459" t="s">
        <v>646</v>
      </c>
      <c r="F117" s="470" t="str">
        <f t="shared" si="2"/>
        <v>R &amp; P SNYDER SCHP</v>
      </c>
      <c r="G117" s="471">
        <v>13329.98</v>
      </c>
      <c r="H117" s="472">
        <v>0</v>
      </c>
      <c r="I117" s="472">
        <v>-256.43</v>
      </c>
      <c r="J117" s="472">
        <v>1298.4</v>
      </c>
      <c r="K117" s="472">
        <v>0</v>
      </c>
      <c r="L117" s="472">
        <v>0</v>
      </c>
      <c r="M117" s="472">
        <f t="shared" si="3"/>
        <v>14371.949999999999</v>
      </c>
    </row>
    <row r="118" spans="1:13" ht="12.75" outlineLevel="1">
      <c r="A118" s="423" t="s">
        <v>647</v>
      </c>
      <c r="C118" s="469"/>
      <c r="D118" s="469"/>
      <c r="E118" s="459" t="s">
        <v>648</v>
      </c>
      <c r="F118" s="470" t="str">
        <f t="shared" si="2"/>
        <v>DAVID SNOWER MEM</v>
      </c>
      <c r="G118" s="471">
        <v>5611.37</v>
      </c>
      <c r="H118" s="472">
        <v>0</v>
      </c>
      <c r="I118" s="472">
        <v>-107.95</v>
      </c>
      <c r="J118" s="472">
        <v>546.56</v>
      </c>
      <c r="K118" s="472">
        <v>0</v>
      </c>
      <c r="L118" s="472">
        <v>0</v>
      </c>
      <c r="M118" s="472">
        <f t="shared" si="3"/>
        <v>6049.98</v>
      </c>
    </row>
    <row r="119" spans="1:13" ht="12.75" outlineLevel="1">
      <c r="A119" s="423" t="s">
        <v>649</v>
      </c>
      <c r="C119" s="469"/>
      <c r="D119" s="469"/>
      <c r="E119" s="459" t="s">
        <v>650</v>
      </c>
      <c r="F119" s="470" t="str">
        <f t="shared" si="2"/>
        <v>STEIN-OPPENHEIMER</v>
      </c>
      <c r="G119" s="471">
        <v>72281.81</v>
      </c>
      <c r="H119" s="472">
        <v>0</v>
      </c>
      <c r="I119" s="472">
        <v>0</v>
      </c>
      <c r="J119" s="472">
        <v>-3035.46</v>
      </c>
      <c r="K119" s="472">
        <v>0</v>
      </c>
      <c r="L119" s="472">
        <v>0</v>
      </c>
      <c r="M119" s="472">
        <f t="shared" si="3"/>
        <v>69246.34999999999</v>
      </c>
    </row>
    <row r="120" spans="1:13" ht="12.75" outlineLevel="1">
      <c r="A120" s="423" t="s">
        <v>651</v>
      </c>
      <c r="C120" s="469"/>
      <c r="D120" s="469"/>
      <c r="E120" s="459" t="s">
        <v>652</v>
      </c>
      <c r="F120" s="470" t="str">
        <f t="shared" si="2"/>
        <v>STEPHENSON MUSIC ED</v>
      </c>
      <c r="G120" s="471">
        <v>26821.75</v>
      </c>
      <c r="H120" s="472">
        <v>340</v>
      </c>
      <c r="I120" s="472">
        <v>0</v>
      </c>
      <c r="J120" s="472">
        <v>-1130.73</v>
      </c>
      <c r="K120" s="472">
        <v>0</v>
      </c>
      <c r="L120" s="472">
        <v>0</v>
      </c>
      <c r="M120" s="472">
        <f t="shared" si="3"/>
        <v>26031.02</v>
      </c>
    </row>
    <row r="121" spans="1:13" ht="12.75" outlineLevel="1">
      <c r="A121" s="423" t="s">
        <v>653</v>
      </c>
      <c r="C121" s="469"/>
      <c r="D121" s="469"/>
      <c r="E121" s="459" t="s">
        <v>654</v>
      </c>
      <c r="F121" s="470" t="str">
        <f t="shared" si="2"/>
        <v>LEITH STEVENS MEM</v>
      </c>
      <c r="G121" s="471">
        <v>49873.31</v>
      </c>
      <c r="H121" s="472">
        <v>0</v>
      </c>
      <c r="I121" s="472">
        <v>-956.11</v>
      </c>
      <c r="J121" s="472">
        <v>4858.12</v>
      </c>
      <c r="K121" s="472">
        <v>0</v>
      </c>
      <c r="L121" s="472">
        <v>0</v>
      </c>
      <c r="M121" s="472">
        <f t="shared" si="3"/>
        <v>53775.32</v>
      </c>
    </row>
    <row r="122" spans="1:13" ht="12.75" outlineLevel="1">
      <c r="A122" s="423" t="s">
        <v>655</v>
      </c>
      <c r="C122" s="469"/>
      <c r="D122" s="469"/>
      <c r="E122" s="459" t="s">
        <v>656</v>
      </c>
      <c r="F122" s="470" t="str">
        <f t="shared" si="2"/>
        <v>BARBARA STORCK AWD</v>
      </c>
      <c r="G122" s="471">
        <v>7264.6</v>
      </c>
      <c r="H122" s="472">
        <v>0</v>
      </c>
      <c r="I122" s="472">
        <v>-139.75</v>
      </c>
      <c r="J122" s="472">
        <v>707.61</v>
      </c>
      <c r="K122" s="472">
        <v>0</v>
      </c>
      <c r="L122" s="472">
        <v>0</v>
      </c>
      <c r="M122" s="472">
        <f t="shared" si="3"/>
        <v>7832.46</v>
      </c>
    </row>
    <row r="123" spans="1:13" ht="12.75" outlineLevel="1">
      <c r="A123" s="423" t="s">
        <v>657</v>
      </c>
      <c r="C123" s="469"/>
      <c r="D123" s="469"/>
      <c r="E123" s="459" t="s">
        <v>658</v>
      </c>
      <c r="F123" s="470" t="str">
        <f t="shared" si="2"/>
        <v>STRANDBERG ENDOWMENT</v>
      </c>
      <c r="G123" s="471">
        <v>180328.38</v>
      </c>
      <c r="H123" s="472">
        <v>6.3</v>
      </c>
      <c r="I123" s="472">
        <v>-3441.91</v>
      </c>
      <c r="J123" s="472">
        <v>17546.41</v>
      </c>
      <c r="K123" s="472">
        <v>0</v>
      </c>
      <c r="L123" s="472">
        <v>0</v>
      </c>
      <c r="M123" s="472">
        <f t="shared" si="3"/>
        <v>194439.18</v>
      </c>
    </row>
    <row r="124" spans="1:13" ht="12.75" outlineLevel="1">
      <c r="A124" s="423" t="s">
        <v>659</v>
      </c>
      <c r="C124" s="469"/>
      <c r="D124" s="469"/>
      <c r="E124" s="459" t="s">
        <v>660</v>
      </c>
      <c r="F124" s="470" t="str">
        <f t="shared" si="2"/>
        <v>STL FR UMKC MED SCHP</v>
      </c>
      <c r="G124" s="471">
        <v>47044.42</v>
      </c>
      <c r="H124" s="472">
        <v>125</v>
      </c>
      <c r="I124" s="472">
        <v>-715.69</v>
      </c>
      <c r="J124" s="472">
        <v>4607.44</v>
      </c>
      <c r="K124" s="472">
        <v>0</v>
      </c>
      <c r="L124" s="472">
        <v>0</v>
      </c>
      <c r="M124" s="472">
        <f t="shared" si="3"/>
        <v>51061.17</v>
      </c>
    </row>
    <row r="125" spans="1:13" ht="12.75" outlineLevel="1">
      <c r="A125" s="423" t="s">
        <v>661</v>
      </c>
      <c r="C125" s="469"/>
      <c r="D125" s="469"/>
      <c r="E125" s="459" t="s">
        <v>662</v>
      </c>
      <c r="F125" s="470" t="str">
        <f t="shared" si="2"/>
        <v>THOMAS MEM JAZZ SCHP</v>
      </c>
      <c r="G125" s="471">
        <v>12674.28</v>
      </c>
      <c r="H125" s="472">
        <v>0</v>
      </c>
      <c r="I125" s="472">
        <v>0</v>
      </c>
      <c r="J125" s="472">
        <v>-532.25</v>
      </c>
      <c r="K125" s="472">
        <v>0</v>
      </c>
      <c r="L125" s="472">
        <v>0</v>
      </c>
      <c r="M125" s="472">
        <f t="shared" si="3"/>
        <v>12142.03</v>
      </c>
    </row>
    <row r="126" spans="1:13" ht="12.75" outlineLevel="1">
      <c r="A126" s="423" t="s">
        <v>663</v>
      </c>
      <c r="C126" s="469"/>
      <c r="D126" s="469"/>
      <c r="E126" s="459" t="s">
        <v>664</v>
      </c>
      <c r="F126" s="470" t="str">
        <f t="shared" si="2"/>
        <v>TOMICH MEMORIAL</v>
      </c>
      <c r="G126" s="471">
        <v>10650.35</v>
      </c>
      <c r="H126" s="472">
        <v>0</v>
      </c>
      <c r="I126" s="472">
        <v>0</v>
      </c>
      <c r="J126" s="472">
        <v>-447.26</v>
      </c>
      <c r="K126" s="472">
        <v>0</v>
      </c>
      <c r="L126" s="472">
        <v>0</v>
      </c>
      <c r="M126" s="472">
        <f t="shared" si="3"/>
        <v>10203.09</v>
      </c>
    </row>
    <row r="127" spans="1:13" ht="12.75" outlineLevel="1">
      <c r="A127" s="423" t="s">
        <v>665</v>
      </c>
      <c r="C127" s="469"/>
      <c r="D127" s="469"/>
      <c r="E127" s="459" t="s">
        <v>666</v>
      </c>
      <c r="F127" s="470" t="str">
        <f t="shared" si="2"/>
        <v>VAN DEURSEN VOCAL</v>
      </c>
      <c r="G127" s="471">
        <v>19647.04</v>
      </c>
      <c r="H127" s="472">
        <v>0</v>
      </c>
      <c r="I127" s="472">
        <v>-377.93</v>
      </c>
      <c r="J127" s="472">
        <v>1913.66</v>
      </c>
      <c r="K127" s="472">
        <v>0</v>
      </c>
      <c r="L127" s="472">
        <v>0</v>
      </c>
      <c r="M127" s="472">
        <f t="shared" si="3"/>
        <v>21182.77</v>
      </c>
    </row>
    <row r="128" spans="1:13" ht="12.75" outlineLevel="1">
      <c r="A128" s="423" t="s">
        <v>667</v>
      </c>
      <c r="C128" s="469"/>
      <c r="D128" s="469"/>
      <c r="E128" s="459" t="s">
        <v>668</v>
      </c>
      <c r="F128" s="470" t="str">
        <f t="shared" si="2"/>
        <v>KEVIN VANCE MEM SCH</v>
      </c>
      <c r="G128" s="471">
        <v>14160.69</v>
      </c>
      <c r="H128" s="472">
        <v>0</v>
      </c>
      <c r="I128" s="472">
        <v>-272.41</v>
      </c>
      <c r="J128" s="472">
        <v>1379.28</v>
      </c>
      <c r="K128" s="472">
        <v>0</v>
      </c>
      <c r="L128" s="472">
        <v>0</v>
      </c>
      <c r="M128" s="472">
        <f t="shared" si="3"/>
        <v>15267.560000000001</v>
      </c>
    </row>
    <row r="129" spans="1:13" ht="12.75" outlineLevel="1">
      <c r="A129" s="423" t="s">
        <v>669</v>
      </c>
      <c r="C129" s="469"/>
      <c r="D129" s="469"/>
      <c r="E129" s="459" t="s">
        <v>670</v>
      </c>
      <c r="F129" s="470" t="str">
        <f t="shared" si="2"/>
        <v>WILLIAM VOLKER SCHP</v>
      </c>
      <c r="G129" s="471">
        <v>282745.43</v>
      </c>
      <c r="H129" s="472">
        <v>0</v>
      </c>
      <c r="I129" s="472">
        <v>-5439.05</v>
      </c>
      <c r="J129" s="472">
        <v>27540.23</v>
      </c>
      <c r="K129" s="472">
        <v>0</v>
      </c>
      <c r="L129" s="472">
        <v>0</v>
      </c>
      <c r="M129" s="472">
        <f t="shared" si="3"/>
        <v>304846.61</v>
      </c>
    </row>
    <row r="130" spans="1:13" ht="12.75" outlineLevel="1">
      <c r="A130" s="423" t="s">
        <v>671</v>
      </c>
      <c r="C130" s="469"/>
      <c r="D130" s="469"/>
      <c r="E130" s="459" t="s">
        <v>672</v>
      </c>
      <c r="F130" s="470" t="str">
        <f t="shared" si="2"/>
        <v>DENIS WARD SCHP</v>
      </c>
      <c r="G130" s="471">
        <v>7573.84</v>
      </c>
      <c r="H130" s="472">
        <v>365</v>
      </c>
      <c r="I130" s="472">
        <v>2.43</v>
      </c>
      <c r="J130" s="472">
        <v>-322.08</v>
      </c>
      <c r="K130" s="472">
        <v>0</v>
      </c>
      <c r="L130" s="472">
        <v>0</v>
      </c>
      <c r="M130" s="472">
        <f t="shared" si="3"/>
        <v>7619.1900000000005</v>
      </c>
    </row>
    <row r="131" spans="1:13" ht="12.75" outlineLevel="1">
      <c r="A131" s="423" t="s">
        <v>673</v>
      </c>
      <c r="C131" s="469"/>
      <c r="D131" s="469"/>
      <c r="E131" s="459" t="s">
        <v>674</v>
      </c>
      <c r="F131" s="470" t="str">
        <f t="shared" si="2"/>
        <v>C B WATTS SCHP</v>
      </c>
      <c r="G131" s="471">
        <v>116876.32</v>
      </c>
      <c r="H131" s="472">
        <v>0</v>
      </c>
      <c r="I131" s="472">
        <v>-2248.28</v>
      </c>
      <c r="J131" s="472">
        <v>11384.09</v>
      </c>
      <c r="K131" s="472">
        <v>0</v>
      </c>
      <c r="L131" s="472">
        <v>0</v>
      </c>
      <c r="M131" s="472">
        <f t="shared" si="3"/>
        <v>126012.13</v>
      </c>
    </row>
    <row r="132" spans="1:13" ht="12.75" outlineLevel="1">
      <c r="A132" s="423" t="s">
        <v>675</v>
      </c>
      <c r="C132" s="469"/>
      <c r="D132" s="469"/>
      <c r="E132" s="459" t="s">
        <v>676</v>
      </c>
      <c r="F132" s="470" t="str">
        <f t="shared" si="2"/>
        <v>RONALD N WEST SCHP</v>
      </c>
      <c r="G132" s="471">
        <v>160803.44</v>
      </c>
      <c r="H132" s="472">
        <v>0</v>
      </c>
      <c r="I132" s="472">
        <v>-3093.31</v>
      </c>
      <c r="J132" s="472">
        <v>15662.72</v>
      </c>
      <c r="K132" s="472">
        <v>0</v>
      </c>
      <c r="L132" s="472">
        <v>0</v>
      </c>
      <c r="M132" s="472">
        <f t="shared" si="3"/>
        <v>173372.85</v>
      </c>
    </row>
    <row r="133" spans="1:13" ht="12.75" outlineLevel="1">
      <c r="A133" s="423" t="s">
        <v>677</v>
      </c>
      <c r="C133" s="469"/>
      <c r="D133" s="469"/>
      <c r="E133" s="459" t="s">
        <v>678</v>
      </c>
      <c r="F133" s="470" t="str">
        <f t="shared" si="2"/>
        <v>WESTERMANN SCHOLARS</v>
      </c>
      <c r="G133" s="471">
        <v>0</v>
      </c>
      <c r="H133" s="472">
        <v>0</v>
      </c>
      <c r="I133" s="472">
        <v>-3540.45</v>
      </c>
      <c r="J133" s="472">
        <v>17926.9</v>
      </c>
      <c r="K133" s="472">
        <v>0</v>
      </c>
      <c r="L133" s="472">
        <v>184048.7</v>
      </c>
      <c r="M133" s="472">
        <f t="shared" si="3"/>
        <v>198435.15000000002</v>
      </c>
    </row>
    <row r="134" spans="1:13" ht="12.75" outlineLevel="1">
      <c r="A134" s="423" t="s">
        <v>679</v>
      </c>
      <c r="C134" s="469"/>
      <c r="D134" s="469"/>
      <c r="E134" s="459" t="s">
        <v>680</v>
      </c>
      <c r="F134" s="470" t="str">
        <f t="shared" si="2"/>
        <v>PROF ENGINEERS AUX</v>
      </c>
      <c r="G134" s="471">
        <v>20681.09</v>
      </c>
      <c r="H134" s="472">
        <v>420</v>
      </c>
      <c r="I134" s="472">
        <v>-379.02</v>
      </c>
      <c r="J134" s="472">
        <v>2042.71</v>
      </c>
      <c r="K134" s="472">
        <v>0</v>
      </c>
      <c r="L134" s="472">
        <v>0</v>
      </c>
      <c r="M134" s="472">
        <f t="shared" si="3"/>
        <v>22764.78</v>
      </c>
    </row>
    <row r="135" spans="1:13" ht="12.75" outlineLevel="1">
      <c r="A135" s="423" t="s">
        <v>681</v>
      </c>
      <c r="C135" s="469"/>
      <c r="D135" s="469"/>
      <c r="E135" s="459" t="s">
        <v>682</v>
      </c>
      <c r="F135" s="470" t="str">
        <f t="shared" si="2"/>
        <v>WEST MO FRIENDS -MED</v>
      </c>
      <c r="G135" s="471">
        <v>16132.89</v>
      </c>
      <c r="H135" s="472">
        <v>6331.35</v>
      </c>
      <c r="I135" s="472">
        <v>-176.49</v>
      </c>
      <c r="J135" s="472">
        <v>1959.02</v>
      </c>
      <c r="K135" s="472">
        <v>-55</v>
      </c>
      <c r="L135" s="472">
        <v>0</v>
      </c>
      <c r="M135" s="472">
        <f t="shared" si="3"/>
        <v>24301.769999999997</v>
      </c>
    </row>
    <row r="136" spans="1:13" ht="12.75" outlineLevel="1">
      <c r="A136" s="423" t="s">
        <v>683</v>
      </c>
      <c r="C136" s="469"/>
      <c r="D136" s="469"/>
      <c r="E136" s="459" t="s">
        <v>684</v>
      </c>
      <c r="F136" s="470" t="str">
        <f t="shared" si="2"/>
        <v>WOMEN'S COMM CONSERV</v>
      </c>
      <c r="G136" s="471">
        <v>78989.07</v>
      </c>
      <c r="H136" s="472">
        <v>4339.12</v>
      </c>
      <c r="I136" s="472">
        <v>-1395.45</v>
      </c>
      <c r="J136" s="472">
        <v>7745.63</v>
      </c>
      <c r="K136" s="472">
        <v>0</v>
      </c>
      <c r="L136" s="472">
        <v>0</v>
      </c>
      <c r="M136" s="472">
        <f t="shared" si="3"/>
        <v>89678.37000000001</v>
      </c>
    </row>
    <row r="137" spans="1:13" ht="12.75" outlineLevel="1">
      <c r="A137" s="423" t="s">
        <v>685</v>
      </c>
      <c r="C137" s="469"/>
      <c r="D137" s="469"/>
      <c r="E137" s="459" t="s">
        <v>686</v>
      </c>
      <c r="F137" s="470" t="str">
        <f t="shared" si="2"/>
        <v>WHEELOCK SCHP</v>
      </c>
      <c r="G137" s="471">
        <v>17437.83</v>
      </c>
      <c r="H137" s="472">
        <v>0</v>
      </c>
      <c r="I137" s="472">
        <v>-335.44</v>
      </c>
      <c r="J137" s="472">
        <v>1698.5</v>
      </c>
      <c r="K137" s="472">
        <v>0</v>
      </c>
      <c r="L137" s="472">
        <v>0</v>
      </c>
      <c r="M137" s="472">
        <f t="shared" si="3"/>
        <v>18800.890000000003</v>
      </c>
    </row>
    <row r="138" spans="1:13" ht="12.75" outlineLevel="1">
      <c r="A138" s="423" t="s">
        <v>687</v>
      </c>
      <c r="C138" s="469"/>
      <c r="D138" s="469"/>
      <c r="E138" s="459" t="s">
        <v>688</v>
      </c>
      <c r="F138" s="470" t="str">
        <f t="shared" si="2"/>
        <v>HAZEL B WILLIAMS SCH</v>
      </c>
      <c r="G138" s="471">
        <v>28619.19</v>
      </c>
      <c r="H138" s="472">
        <v>0</v>
      </c>
      <c r="I138" s="472">
        <v>-550.52</v>
      </c>
      <c r="J138" s="472">
        <v>2787.57</v>
      </c>
      <c r="K138" s="472">
        <v>0</v>
      </c>
      <c r="L138" s="472">
        <v>0</v>
      </c>
      <c r="M138" s="472">
        <f t="shared" si="3"/>
        <v>30856.239999999998</v>
      </c>
    </row>
    <row r="139" spans="1:13" ht="12.75" outlineLevel="1">
      <c r="A139" s="423" t="s">
        <v>689</v>
      </c>
      <c r="C139" s="469"/>
      <c r="D139" s="469"/>
      <c r="E139" s="459" t="s">
        <v>690</v>
      </c>
      <c r="F139" s="470" t="str">
        <f aca="true" t="shared" si="4" ref="F139:F202">UPPER(E139)</f>
        <v>L &amp; H HILL SCHOL</v>
      </c>
      <c r="G139" s="471">
        <v>25031.08</v>
      </c>
      <c r="H139" s="472">
        <v>0</v>
      </c>
      <c r="I139" s="472">
        <v>-481.52</v>
      </c>
      <c r="J139" s="472">
        <v>2438.1</v>
      </c>
      <c r="K139" s="472">
        <v>0</v>
      </c>
      <c r="L139" s="472">
        <v>0</v>
      </c>
      <c r="M139" s="472">
        <f aca="true" t="shared" si="5" ref="M139:M202">G139+H139+I139+J139-K139+L139</f>
        <v>26987.66</v>
      </c>
    </row>
    <row r="140" spans="1:13" ht="12.75" outlineLevel="1">
      <c r="A140" s="423" t="s">
        <v>691</v>
      </c>
      <c r="C140" s="469"/>
      <c r="D140" s="469"/>
      <c r="E140" s="459" t="s">
        <v>692</v>
      </c>
      <c r="F140" s="470" t="str">
        <f t="shared" si="4"/>
        <v>C W ALLENDORFER-BANK</v>
      </c>
      <c r="G140" s="471">
        <v>93361.34</v>
      </c>
      <c r="H140" s="472">
        <v>0</v>
      </c>
      <c r="I140" s="472">
        <v>0</v>
      </c>
      <c r="J140" s="472">
        <v>-3920.7</v>
      </c>
      <c r="K140" s="472">
        <v>0</v>
      </c>
      <c r="L140" s="472">
        <v>0</v>
      </c>
      <c r="M140" s="472">
        <f t="shared" si="5"/>
        <v>89440.64</v>
      </c>
    </row>
    <row r="141" spans="1:13" ht="12.75" outlineLevel="1">
      <c r="A141" s="423" t="s">
        <v>693</v>
      </c>
      <c r="C141" s="469"/>
      <c r="D141" s="469"/>
      <c r="E141" s="459" t="s">
        <v>694</v>
      </c>
      <c r="F141" s="470" t="str">
        <f t="shared" si="4"/>
        <v>ALUMNI REUNION FELL</v>
      </c>
      <c r="G141" s="471">
        <v>80970.87</v>
      </c>
      <c r="H141" s="472">
        <v>0</v>
      </c>
      <c r="I141" s="472">
        <v>-861.01</v>
      </c>
      <c r="J141" s="472">
        <v>7892.03</v>
      </c>
      <c r="K141" s="472">
        <v>0</v>
      </c>
      <c r="L141" s="472">
        <v>0</v>
      </c>
      <c r="M141" s="472">
        <f t="shared" si="5"/>
        <v>88001.89</v>
      </c>
    </row>
    <row r="142" spans="1:13" ht="12.75" outlineLevel="1">
      <c r="A142" s="423" t="s">
        <v>695</v>
      </c>
      <c r="C142" s="469"/>
      <c r="D142" s="469"/>
      <c r="E142" s="459" t="s">
        <v>696</v>
      </c>
      <c r="F142" s="470" t="str">
        <f t="shared" si="4"/>
        <v>C BALDRIDGE ENDOW</v>
      </c>
      <c r="G142" s="471">
        <v>117620.75</v>
      </c>
      <c r="H142" s="472">
        <v>0</v>
      </c>
      <c r="I142" s="472">
        <v>-2262.63</v>
      </c>
      <c r="J142" s="472">
        <v>11456.6</v>
      </c>
      <c r="K142" s="472">
        <v>0</v>
      </c>
      <c r="L142" s="472">
        <v>0</v>
      </c>
      <c r="M142" s="472">
        <f t="shared" si="5"/>
        <v>126814.72</v>
      </c>
    </row>
    <row r="143" spans="1:13" ht="12.75" outlineLevel="1">
      <c r="A143" s="423" t="s">
        <v>697</v>
      </c>
      <c r="C143" s="469"/>
      <c r="D143" s="469"/>
      <c r="E143" s="459" t="s">
        <v>698</v>
      </c>
      <c r="F143" s="470" t="str">
        <f t="shared" si="4"/>
        <v>D BENJAMIN LIBR COLL</v>
      </c>
      <c r="G143" s="471">
        <v>11597.82</v>
      </c>
      <c r="H143" s="472">
        <v>0</v>
      </c>
      <c r="I143" s="472">
        <v>-222.14</v>
      </c>
      <c r="J143" s="472">
        <v>1129.76</v>
      </c>
      <c r="K143" s="472">
        <v>0</v>
      </c>
      <c r="L143" s="472">
        <v>0</v>
      </c>
      <c r="M143" s="472">
        <f t="shared" si="5"/>
        <v>12505.44</v>
      </c>
    </row>
    <row r="144" spans="1:13" ht="12.75" outlineLevel="1">
      <c r="A144" s="423" t="s">
        <v>699</v>
      </c>
      <c r="C144" s="469"/>
      <c r="D144" s="469"/>
      <c r="E144" s="459" t="s">
        <v>700</v>
      </c>
      <c r="F144" s="470" t="str">
        <f t="shared" si="4"/>
        <v>MO CHR KIMBALL MRI</v>
      </c>
      <c r="G144" s="471">
        <v>1571654.19</v>
      </c>
      <c r="H144" s="472">
        <v>0</v>
      </c>
      <c r="I144" s="472">
        <v>-30233.17</v>
      </c>
      <c r="J144" s="472">
        <v>153083.66</v>
      </c>
      <c r="K144" s="472">
        <v>0</v>
      </c>
      <c r="L144" s="472">
        <v>0</v>
      </c>
      <c r="M144" s="472">
        <f t="shared" si="5"/>
        <v>1694504.68</v>
      </c>
    </row>
    <row r="145" spans="1:13" ht="12.75" outlineLevel="1">
      <c r="A145" s="423" t="s">
        <v>701</v>
      </c>
      <c r="C145" s="469"/>
      <c r="D145" s="469"/>
      <c r="E145" s="459" t="s">
        <v>702</v>
      </c>
      <c r="F145" s="470" t="str">
        <f t="shared" si="4"/>
        <v>H BONFILS PROF CONSV</v>
      </c>
      <c r="G145" s="471">
        <v>289492.58</v>
      </c>
      <c r="H145" s="472">
        <v>0</v>
      </c>
      <c r="I145" s="472">
        <v>-5568.83</v>
      </c>
      <c r="J145" s="472">
        <v>28197.42</v>
      </c>
      <c r="K145" s="472">
        <v>0</v>
      </c>
      <c r="L145" s="472">
        <v>0</v>
      </c>
      <c r="M145" s="472">
        <f t="shared" si="5"/>
        <v>312121.17</v>
      </c>
    </row>
    <row r="146" spans="1:13" ht="12.75" outlineLevel="1">
      <c r="A146" s="423" t="s">
        <v>703</v>
      </c>
      <c r="C146" s="469"/>
      <c r="D146" s="469"/>
      <c r="E146" s="459" t="s">
        <v>704</v>
      </c>
      <c r="F146" s="470" t="str">
        <f t="shared" si="4"/>
        <v>BRENNER FAC AWD</v>
      </c>
      <c r="G146" s="471">
        <v>61743.86</v>
      </c>
      <c r="H146" s="472">
        <v>0</v>
      </c>
      <c r="I146" s="472">
        <v>-0.63</v>
      </c>
      <c r="J146" s="472">
        <v>-2592.92</v>
      </c>
      <c r="K146" s="472">
        <v>0</v>
      </c>
      <c r="L146" s="472">
        <v>0</v>
      </c>
      <c r="M146" s="472">
        <f t="shared" si="5"/>
        <v>59150.310000000005</v>
      </c>
    </row>
    <row r="147" spans="1:13" ht="12.75" outlineLevel="1">
      <c r="A147" s="423" t="s">
        <v>705</v>
      </c>
      <c r="C147" s="469"/>
      <c r="D147" s="469"/>
      <c r="E147" s="459" t="s">
        <v>706</v>
      </c>
      <c r="F147" s="470" t="str">
        <f t="shared" si="4"/>
        <v>BUTLER FDN FELLOW</v>
      </c>
      <c r="G147" s="471">
        <v>8522.38</v>
      </c>
      <c r="H147" s="472">
        <v>0</v>
      </c>
      <c r="I147" s="472">
        <v>0</v>
      </c>
      <c r="J147" s="472">
        <v>-357.9</v>
      </c>
      <c r="K147" s="472">
        <v>0</v>
      </c>
      <c r="L147" s="472">
        <v>0</v>
      </c>
      <c r="M147" s="472">
        <f t="shared" si="5"/>
        <v>8164.48</v>
      </c>
    </row>
    <row r="148" spans="1:13" ht="12.75" outlineLevel="1">
      <c r="A148" s="423" t="s">
        <v>707</v>
      </c>
      <c r="C148" s="469"/>
      <c r="D148" s="469"/>
      <c r="E148" s="459" t="s">
        <v>708</v>
      </c>
      <c r="F148" s="470" t="str">
        <f t="shared" si="4"/>
        <v>CHAPMAN ENDOWMENT</v>
      </c>
      <c r="G148" s="471">
        <v>1512916.11</v>
      </c>
      <c r="H148" s="472">
        <v>0</v>
      </c>
      <c r="I148" s="472">
        <v>-29103.24</v>
      </c>
      <c r="J148" s="472">
        <v>147362.42</v>
      </c>
      <c r="K148" s="472">
        <v>0</v>
      </c>
      <c r="L148" s="472">
        <v>0</v>
      </c>
      <c r="M148" s="472">
        <f t="shared" si="5"/>
        <v>1631175.29</v>
      </c>
    </row>
    <row r="149" spans="1:13" ht="12.75" outlineLevel="1">
      <c r="A149" s="423" t="s">
        <v>709</v>
      </c>
      <c r="C149" s="469"/>
      <c r="D149" s="469"/>
      <c r="E149" s="459" t="s">
        <v>710</v>
      </c>
      <c r="F149" s="470" t="str">
        <f t="shared" si="4"/>
        <v>C B COCKEFAIR CHAIR</v>
      </c>
      <c r="G149" s="471">
        <v>557115.42</v>
      </c>
      <c r="H149" s="472">
        <v>11751</v>
      </c>
      <c r="I149" s="472">
        <v>-10318.98</v>
      </c>
      <c r="J149" s="472">
        <v>55645.65</v>
      </c>
      <c r="K149" s="472">
        <v>0</v>
      </c>
      <c r="L149" s="472">
        <v>6510.33</v>
      </c>
      <c r="M149" s="472">
        <f t="shared" si="5"/>
        <v>620703.42</v>
      </c>
    </row>
    <row r="150" spans="1:13" ht="12.75" outlineLevel="1">
      <c r="A150" s="423" t="s">
        <v>711</v>
      </c>
      <c r="C150" s="469"/>
      <c r="D150" s="469"/>
      <c r="E150" s="459" t="s">
        <v>712</v>
      </c>
      <c r="F150" s="470" t="str">
        <f t="shared" si="4"/>
        <v>DALEE FUND</v>
      </c>
      <c r="G150" s="471">
        <v>21638.87</v>
      </c>
      <c r="H150" s="472">
        <v>0</v>
      </c>
      <c r="I150" s="472">
        <v>-416.26</v>
      </c>
      <c r="J150" s="472">
        <v>2107.69</v>
      </c>
      <c r="K150" s="472">
        <v>0</v>
      </c>
      <c r="L150" s="472">
        <v>0</v>
      </c>
      <c r="M150" s="472">
        <f t="shared" si="5"/>
        <v>23330.3</v>
      </c>
    </row>
    <row r="151" spans="1:13" ht="12.75" outlineLevel="1">
      <c r="A151" s="423" t="s">
        <v>713</v>
      </c>
      <c r="C151" s="469"/>
      <c r="D151" s="469"/>
      <c r="E151" s="459" t="s">
        <v>714</v>
      </c>
      <c r="F151" s="470" t="str">
        <f t="shared" si="4"/>
        <v>DEAN'S OPPORTUN FD</v>
      </c>
      <c r="G151" s="471">
        <v>625619.16</v>
      </c>
      <c r="H151" s="472">
        <v>180950</v>
      </c>
      <c r="I151" s="472">
        <v>-9635.98</v>
      </c>
      <c r="J151" s="472">
        <v>59859.05</v>
      </c>
      <c r="K151" s="472">
        <v>0</v>
      </c>
      <c r="L151" s="472">
        <v>0</v>
      </c>
      <c r="M151" s="472">
        <f t="shared" si="5"/>
        <v>856792.2300000001</v>
      </c>
    </row>
    <row r="152" spans="1:13" ht="12.75" outlineLevel="1">
      <c r="A152" s="423" t="s">
        <v>715</v>
      </c>
      <c r="C152" s="469"/>
      <c r="D152" s="469"/>
      <c r="E152" s="459" t="s">
        <v>716</v>
      </c>
      <c r="F152" s="444" t="str">
        <f t="shared" si="4"/>
        <v>ERNEST DICK LECT FD</v>
      </c>
      <c r="G152" s="519">
        <v>25176.57</v>
      </c>
      <c r="H152" s="472">
        <v>0</v>
      </c>
      <c r="I152" s="472">
        <v>-484.3</v>
      </c>
      <c r="J152" s="472">
        <v>2452.27</v>
      </c>
      <c r="K152" s="472">
        <v>0</v>
      </c>
      <c r="L152" s="472">
        <v>0</v>
      </c>
      <c r="M152" s="472">
        <f t="shared" si="5"/>
        <v>27144.54</v>
      </c>
    </row>
    <row r="153" spans="1:13" ht="12.75" outlineLevel="1">
      <c r="A153" s="423" t="s">
        <v>717</v>
      </c>
      <c r="C153" s="469"/>
      <c r="D153" s="469"/>
      <c r="E153" s="459" t="s">
        <v>718</v>
      </c>
      <c r="F153" s="470" t="str">
        <f t="shared" si="4"/>
        <v>DIMOND TAKE WING FND</v>
      </c>
      <c r="G153" s="471">
        <v>62663.06</v>
      </c>
      <c r="H153" s="472">
        <v>0</v>
      </c>
      <c r="I153" s="472">
        <v>-1205.42</v>
      </c>
      <c r="J153" s="472">
        <v>6103.58</v>
      </c>
      <c r="K153" s="472">
        <v>0</v>
      </c>
      <c r="L153" s="472">
        <v>0</v>
      </c>
      <c r="M153" s="472">
        <f t="shared" si="5"/>
        <v>67561.22</v>
      </c>
    </row>
    <row r="154" spans="1:13" ht="12.75" outlineLevel="1">
      <c r="A154" s="423" t="s">
        <v>719</v>
      </c>
      <c r="C154" s="469"/>
      <c r="D154" s="469"/>
      <c r="E154" s="459" t="s">
        <v>720</v>
      </c>
      <c r="F154" s="470" t="str">
        <f t="shared" si="4"/>
        <v>MED SCH ALUMNI BALL</v>
      </c>
      <c r="G154" s="471">
        <v>50667.66</v>
      </c>
      <c r="H154" s="472">
        <v>0</v>
      </c>
      <c r="I154" s="472">
        <v>-974.68</v>
      </c>
      <c r="J154" s="472">
        <v>4935.15</v>
      </c>
      <c r="K154" s="472">
        <v>0</v>
      </c>
      <c r="L154" s="472">
        <v>0</v>
      </c>
      <c r="M154" s="472">
        <f t="shared" si="5"/>
        <v>54628.130000000005</v>
      </c>
    </row>
    <row r="155" spans="1:13" ht="12.75" outlineLevel="1">
      <c r="A155" s="423" t="s">
        <v>721</v>
      </c>
      <c r="C155" s="469"/>
      <c r="D155" s="469"/>
      <c r="E155" s="459" t="s">
        <v>722</v>
      </c>
      <c r="F155" s="470" t="str">
        <f t="shared" si="4"/>
        <v>MO. CHAIR - DIVELEY</v>
      </c>
      <c r="G155" s="471">
        <v>2226129.16</v>
      </c>
      <c r="H155" s="472">
        <v>0</v>
      </c>
      <c r="I155" s="472">
        <v>-42822.99</v>
      </c>
      <c r="J155" s="472">
        <v>216831.44</v>
      </c>
      <c r="K155" s="472">
        <v>0</v>
      </c>
      <c r="L155" s="472">
        <v>0</v>
      </c>
      <c r="M155" s="472">
        <f t="shared" si="5"/>
        <v>2400137.61</v>
      </c>
    </row>
    <row r="156" spans="1:13" ht="12.75" outlineLevel="1">
      <c r="A156" s="423" t="s">
        <v>723</v>
      </c>
      <c r="C156" s="469"/>
      <c r="D156" s="469"/>
      <c r="E156" s="459" t="s">
        <v>724</v>
      </c>
      <c r="F156" s="470" t="str">
        <f t="shared" si="4"/>
        <v>ENG GOOD TEACH AWARD</v>
      </c>
      <c r="G156" s="471">
        <v>29922.48</v>
      </c>
      <c r="H156" s="472">
        <v>0</v>
      </c>
      <c r="I156" s="472">
        <v>-575.6</v>
      </c>
      <c r="J156" s="472">
        <v>2914.52</v>
      </c>
      <c r="K156" s="472">
        <v>0</v>
      </c>
      <c r="L156" s="472">
        <v>0</v>
      </c>
      <c r="M156" s="472">
        <f t="shared" si="5"/>
        <v>32261.4</v>
      </c>
    </row>
    <row r="157" spans="1:13" ht="12.75" outlineLevel="1">
      <c r="A157" s="423" t="s">
        <v>725</v>
      </c>
      <c r="C157" s="469"/>
      <c r="D157" s="469"/>
      <c r="E157" s="459" t="s">
        <v>726</v>
      </c>
      <c r="F157" s="470" t="str">
        <f t="shared" si="4"/>
        <v>MMD MO PROF ENTREPRE</v>
      </c>
      <c r="G157" s="471">
        <v>1437694.55</v>
      </c>
      <c r="H157" s="472">
        <v>0</v>
      </c>
      <c r="I157" s="472">
        <v>-27656.24</v>
      </c>
      <c r="J157" s="472">
        <v>140035.62</v>
      </c>
      <c r="K157" s="472">
        <v>0</v>
      </c>
      <c r="L157" s="472">
        <v>0</v>
      </c>
      <c r="M157" s="472">
        <f t="shared" si="5"/>
        <v>1550073.9300000002</v>
      </c>
    </row>
    <row r="158" spans="1:13" ht="12.75" outlineLevel="1">
      <c r="A158" s="423" t="s">
        <v>727</v>
      </c>
      <c r="C158" s="469"/>
      <c r="D158" s="469"/>
      <c r="E158" s="459" t="s">
        <v>728</v>
      </c>
      <c r="F158" s="470" t="str">
        <f t="shared" si="4"/>
        <v>MMD MO PROF BIOLOGY</v>
      </c>
      <c r="G158" s="471">
        <v>925759.97</v>
      </c>
      <c r="H158" s="472">
        <v>0</v>
      </c>
      <c r="I158" s="472">
        <v>-17808.42</v>
      </c>
      <c r="J158" s="472">
        <v>90171.69</v>
      </c>
      <c r="K158" s="472">
        <v>0</v>
      </c>
      <c r="L158" s="472">
        <v>0</v>
      </c>
      <c r="M158" s="472">
        <f t="shared" si="5"/>
        <v>998123.24</v>
      </c>
    </row>
    <row r="159" spans="1:13" ht="12.75" outlineLevel="1">
      <c r="A159" s="423" t="s">
        <v>729</v>
      </c>
      <c r="C159" s="469"/>
      <c r="D159" s="469"/>
      <c r="E159" s="459" t="s">
        <v>730</v>
      </c>
      <c r="F159" s="470" t="str">
        <f t="shared" si="4"/>
        <v>FELD END FOR LETTERS</v>
      </c>
      <c r="G159" s="471">
        <v>479327.84</v>
      </c>
      <c r="H159" s="472">
        <v>0</v>
      </c>
      <c r="I159" s="472">
        <v>11542.67</v>
      </c>
      <c r="J159" s="472">
        <v>13951.01</v>
      </c>
      <c r="K159" s="472">
        <v>0</v>
      </c>
      <c r="L159" s="472">
        <v>-16717.96</v>
      </c>
      <c r="M159" s="472">
        <f t="shared" si="5"/>
        <v>488103.56</v>
      </c>
    </row>
    <row r="160" spans="1:13" ht="12.75" outlineLevel="1">
      <c r="A160" s="423" t="s">
        <v>731</v>
      </c>
      <c r="C160" s="469"/>
      <c r="D160" s="469"/>
      <c r="E160" s="459" t="s">
        <v>732</v>
      </c>
      <c r="F160" s="470" t="str">
        <f t="shared" si="4"/>
        <v>GERSHON HADAS JUDACI</v>
      </c>
      <c r="G160" s="471">
        <v>11380.56</v>
      </c>
      <c r="H160" s="472">
        <v>0</v>
      </c>
      <c r="I160" s="472">
        <v>-218.92</v>
      </c>
      <c r="J160" s="472">
        <v>1108.51</v>
      </c>
      <c r="K160" s="472">
        <v>0</v>
      </c>
      <c r="L160" s="472">
        <v>0</v>
      </c>
      <c r="M160" s="472">
        <f t="shared" si="5"/>
        <v>12270.15</v>
      </c>
    </row>
    <row r="161" spans="1:13" ht="12.75" outlineLevel="1">
      <c r="A161" s="423" t="s">
        <v>733</v>
      </c>
      <c r="C161" s="469"/>
      <c r="D161" s="469"/>
      <c r="E161" s="459" t="s">
        <v>734</v>
      </c>
      <c r="F161" s="470" t="str">
        <f t="shared" si="4"/>
        <v>WILLIAM GRANT MO PRF</v>
      </c>
      <c r="G161" s="471">
        <v>609073.58</v>
      </c>
      <c r="H161" s="472">
        <v>0</v>
      </c>
      <c r="I161" s="472">
        <v>-11716.22</v>
      </c>
      <c r="J161" s="472">
        <v>59325.55</v>
      </c>
      <c r="K161" s="472">
        <v>0</v>
      </c>
      <c r="L161" s="472">
        <v>0</v>
      </c>
      <c r="M161" s="472">
        <f t="shared" si="5"/>
        <v>656682.91</v>
      </c>
    </row>
    <row r="162" spans="1:13" ht="12.75" outlineLevel="1">
      <c r="A162" s="423" t="s">
        <v>735</v>
      </c>
      <c r="C162" s="469"/>
      <c r="D162" s="469"/>
      <c r="E162" s="459" t="s">
        <v>736</v>
      </c>
      <c r="F162" s="470" t="str">
        <f t="shared" si="4"/>
        <v>HARZFELD CHAIR-BU AD</v>
      </c>
      <c r="G162" s="471">
        <v>456027.97</v>
      </c>
      <c r="H162" s="472">
        <v>0</v>
      </c>
      <c r="I162" s="472">
        <v>-8772.4</v>
      </c>
      <c r="J162" s="472">
        <v>44418.45</v>
      </c>
      <c r="K162" s="472">
        <v>0</v>
      </c>
      <c r="L162" s="472">
        <v>0</v>
      </c>
      <c r="M162" s="472">
        <f t="shared" si="5"/>
        <v>491674.01999999996</v>
      </c>
    </row>
    <row r="163" spans="1:13" ht="12.75" outlineLevel="1">
      <c r="A163" s="423" t="s">
        <v>737</v>
      </c>
      <c r="C163" s="469"/>
      <c r="D163" s="469"/>
      <c r="E163" s="459" t="s">
        <v>738</v>
      </c>
      <c r="F163" s="470" t="str">
        <f t="shared" si="4"/>
        <v>HASHINGER PROF-MED</v>
      </c>
      <c r="G163" s="471">
        <v>283113.5</v>
      </c>
      <c r="H163" s="472">
        <v>0</v>
      </c>
      <c r="I163" s="472">
        <v>-5446.11</v>
      </c>
      <c r="J163" s="472">
        <v>27576.07</v>
      </c>
      <c r="K163" s="472">
        <v>0</v>
      </c>
      <c r="L163" s="472">
        <v>0</v>
      </c>
      <c r="M163" s="472">
        <f t="shared" si="5"/>
        <v>305243.46</v>
      </c>
    </row>
    <row r="164" spans="1:13" ht="12.75" outlineLevel="1">
      <c r="A164" s="423" t="s">
        <v>739</v>
      </c>
      <c r="C164" s="469"/>
      <c r="D164" s="469"/>
      <c r="E164" s="459" t="s">
        <v>740</v>
      </c>
      <c r="F164" s="470" t="str">
        <f t="shared" si="4"/>
        <v>MO CHAIR - HICKLIN</v>
      </c>
      <c r="G164" s="471">
        <v>1954774.71</v>
      </c>
      <c r="H164" s="472">
        <v>0</v>
      </c>
      <c r="I164" s="472">
        <v>-37603.08</v>
      </c>
      <c r="J164" s="472">
        <v>190400.73</v>
      </c>
      <c r="K164" s="472">
        <v>0</v>
      </c>
      <c r="L164" s="472">
        <v>0</v>
      </c>
      <c r="M164" s="472">
        <f t="shared" si="5"/>
        <v>2107572.36</v>
      </c>
    </row>
    <row r="165" spans="1:13" ht="12.75" outlineLevel="1">
      <c r="A165" s="423" t="s">
        <v>741</v>
      </c>
      <c r="C165" s="469"/>
      <c r="D165" s="469"/>
      <c r="E165" s="459" t="s">
        <v>742</v>
      </c>
      <c r="F165" s="470" t="str">
        <f t="shared" si="4"/>
        <v>F HOFFMAN MEM</v>
      </c>
      <c r="G165" s="471">
        <v>21363.24</v>
      </c>
      <c r="H165" s="472">
        <v>0</v>
      </c>
      <c r="I165" s="472">
        <v>0</v>
      </c>
      <c r="J165" s="472">
        <v>-897.16</v>
      </c>
      <c r="K165" s="472">
        <v>0</v>
      </c>
      <c r="L165" s="472">
        <v>0</v>
      </c>
      <c r="M165" s="472">
        <f t="shared" si="5"/>
        <v>20466.08</v>
      </c>
    </row>
    <row r="166" spans="1:13" ht="12.75" outlineLevel="1">
      <c r="A166" s="423" t="s">
        <v>743</v>
      </c>
      <c r="C166" s="469"/>
      <c r="D166" s="469"/>
      <c r="E166" s="459" t="s">
        <v>744</v>
      </c>
      <c r="F166" s="470" t="str">
        <f t="shared" si="4"/>
        <v>R HULEN PROF-URB AFF</v>
      </c>
      <c r="G166" s="471">
        <v>879334.96</v>
      </c>
      <c r="H166" s="472">
        <v>0</v>
      </c>
      <c r="I166" s="472">
        <v>-16915.35</v>
      </c>
      <c r="J166" s="472">
        <v>85649.77</v>
      </c>
      <c r="K166" s="472">
        <v>0</v>
      </c>
      <c r="L166" s="472">
        <v>0</v>
      </c>
      <c r="M166" s="472">
        <f t="shared" si="5"/>
        <v>948069.38</v>
      </c>
    </row>
    <row r="167" spans="1:13" ht="12.75" outlineLevel="1">
      <c r="A167" s="423" t="s">
        <v>745</v>
      </c>
      <c r="C167" s="469"/>
      <c r="D167" s="469"/>
      <c r="E167" s="459" t="s">
        <v>746</v>
      </c>
      <c r="F167" s="470" t="str">
        <f t="shared" si="4"/>
        <v>J P KEM LIBRARY END</v>
      </c>
      <c r="G167" s="471">
        <v>12351.58</v>
      </c>
      <c r="H167" s="472">
        <v>0</v>
      </c>
      <c r="I167" s="472">
        <v>0</v>
      </c>
      <c r="J167" s="472">
        <v>-518.71</v>
      </c>
      <c r="K167" s="472">
        <v>0</v>
      </c>
      <c r="L167" s="472">
        <v>0</v>
      </c>
      <c r="M167" s="472">
        <f t="shared" si="5"/>
        <v>11832.869999999999</v>
      </c>
    </row>
    <row r="168" spans="1:13" ht="12.75" outlineLevel="1">
      <c r="A168" s="423" t="s">
        <v>747</v>
      </c>
      <c r="C168" s="469"/>
      <c r="D168" s="469"/>
      <c r="E168" s="459" t="s">
        <v>748</v>
      </c>
      <c r="F168" s="470" t="str">
        <f t="shared" si="4"/>
        <v>KAUFFMAN MO CHR EDU</v>
      </c>
      <c r="G168" s="471">
        <v>1504657.74</v>
      </c>
      <c r="H168" s="472">
        <v>0</v>
      </c>
      <c r="I168" s="472">
        <v>-28944.4</v>
      </c>
      <c r="J168" s="472">
        <v>146558.02</v>
      </c>
      <c r="K168" s="472">
        <v>0</v>
      </c>
      <c r="L168" s="472">
        <v>0</v>
      </c>
      <c r="M168" s="472">
        <f t="shared" si="5"/>
        <v>1622271.36</v>
      </c>
    </row>
    <row r="169" spans="1:13" ht="12.75" outlineLevel="1">
      <c r="A169" s="423" t="s">
        <v>749</v>
      </c>
      <c r="C169" s="469"/>
      <c r="D169" s="469"/>
      <c r="E169" s="459" t="s">
        <v>750</v>
      </c>
      <c r="F169" s="470" t="str">
        <f t="shared" si="4"/>
        <v>KAUFFMAN MO CHR INT</v>
      </c>
      <c r="G169" s="471">
        <v>1504293.9</v>
      </c>
      <c r="H169" s="472">
        <v>0</v>
      </c>
      <c r="I169" s="472">
        <v>-28937.39</v>
      </c>
      <c r="J169" s="472">
        <v>146522.58</v>
      </c>
      <c r="K169" s="472">
        <v>0</v>
      </c>
      <c r="L169" s="472">
        <v>0</v>
      </c>
      <c r="M169" s="472">
        <f t="shared" si="5"/>
        <v>1621879.09</v>
      </c>
    </row>
    <row r="170" spans="1:13" ht="12.75" outlineLevel="1">
      <c r="A170" s="423" t="s">
        <v>751</v>
      </c>
      <c r="C170" s="469"/>
      <c r="D170" s="469"/>
      <c r="E170" s="459" t="s">
        <v>752</v>
      </c>
      <c r="F170" s="470" t="str">
        <f t="shared" si="4"/>
        <v>KAUFFMAN MO CHR III</v>
      </c>
      <c r="G170" s="471">
        <v>1504293.89</v>
      </c>
      <c r="H170" s="472">
        <v>0</v>
      </c>
      <c r="I170" s="472">
        <v>-28937.39</v>
      </c>
      <c r="J170" s="472">
        <v>146522.58</v>
      </c>
      <c r="K170" s="472">
        <v>0</v>
      </c>
      <c r="L170" s="472">
        <v>0</v>
      </c>
      <c r="M170" s="472">
        <f t="shared" si="5"/>
        <v>1621879.08</v>
      </c>
    </row>
    <row r="171" spans="1:13" ht="12.75" outlineLevel="1">
      <c r="A171" s="423" t="s">
        <v>753</v>
      </c>
      <c r="C171" s="469"/>
      <c r="D171" s="469"/>
      <c r="E171" s="459" t="s">
        <v>754</v>
      </c>
      <c r="F171" s="470" t="str">
        <f t="shared" si="4"/>
        <v>CLARENCE KIVETT END</v>
      </c>
      <c r="G171" s="471">
        <v>19073.95</v>
      </c>
      <c r="H171" s="472">
        <v>0</v>
      </c>
      <c r="I171" s="472">
        <v>-370.84</v>
      </c>
      <c r="J171" s="472">
        <v>1857.5</v>
      </c>
      <c r="K171" s="472">
        <v>0</v>
      </c>
      <c r="L171" s="472">
        <v>0</v>
      </c>
      <c r="M171" s="472">
        <f t="shared" si="5"/>
        <v>20560.61</v>
      </c>
    </row>
    <row r="172" spans="1:13" ht="12.75" outlineLevel="1">
      <c r="A172" s="423" t="s">
        <v>755</v>
      </c>
      <c r="C172" s="469"/>
      <c r="D172" s="469"/>
      <c r="E172" s="459" t="s">
        <v>756</v>
      </c>
      <c r="F172" s="470" t="str">
        <f t="shared" si="4"/>
        <v>LABUDDE ENDOWMENT</v>
      </c>
      <c r="G172" s="471">
        <v>366506.53</v>
      </c>
      <c r="H172" s="472">
        <v>200</v>
      </c>
      <c r="I172" s="472">
        <v>0.51</v>
      </c>
      <c r="J172" s="472">
        <v>-15396.88</v>
      </c>
      <c r="K172" s="472">
        <v>0</v>
      </c>
      <c r="L172" s="472">
        <v>0</v>
      </c>
      <c r="M172" s="472">
        <f t="shared" si="5"/>
        <v>351310.16000000003</v>
      </c>
    </row>
    <row r="173" spans="1:13" ht="12.75" outlineLevel="1">
      <c r="A173" s="423" t="s">
        <v>757</v>
      </c>
      <c r="C173" s="469"/>
      <c r="D173" s="469"/>
      <c r="E173" s="459" t="s">
        <v>758</v>
      </c>
      <c r="F173" s="470" t="str">
        <f t="shared" si="4"/>
        <v>LEVITT PROF IN HUM</v>
      </c>
      <c r="G173" s="471">
        <v>416103.59</v>
      </c>
      <c r="H173" s="472">
        <v>0</v>
      </c>
      <c r="I173" s="472">
        <v>-8004.4</v>
      </c>
      <c r="J173" s="472">
        <v>40529.69</v>
      </c>
      <c r="K173" s="472">
        <v>0</v>
      </c>
      <c r="L173" s="472">
        <v>0</v>
      </c>
      <c r="M173" s="472">
        <f t="shared" si="5"/>
        <v>448628.88</v>
      </c>
    </row>
    <row r="174" spans="1:13" ht="12.75" outlineLevel="1">
      <c r="A174" s="423" t="s">
        <v>759</v>
      </c>
      <c r="C174" s="469"/>
      <c r="D174" s="469"/>
      <c r="E174" s="459" t="s">
        <v>760</v>
      </c>
      <c r="F174" s="470" t="str">
        <f t="shared" si="4"/>
        <v>M MARTINEZ-CARRION BIO SC LEC</v>
      </c>
      <c r="G174" s="471">
        <v>24030.31</v>
      </c>
      <c r="H174" s="472">
        <v>0</v>
      </c>
      <c r="I174" s="472">
        <v>-462.36</v>
      </c>
      <c r="J174" s="472">
        <v>2340.62</v>
      </c>
      <c r="K174" s="472">
        <v>0</v>
      </c>
      <c r="L174" s="472">
        <v>0</v>
      </c>
      <c r="M174" s="472">
        <f t="shared" si="5"/>
        <v>25908.57</v>
      </c>
    </row>
    <row r="175" spans="1:13" ht="12.75" outlineLevel="1">
      <c r="A175" s="423" t="s">
        <v>761</v>
      </c>
      <c r="C175" s="469"/>
      <c r="D175" s="469"/>
      <c r="E175" s="459" t="s">
        <v>762</v>
      </c>
      <c r="F175" s="470" t="str">
        <f t="shared" si="4"/>
        <v>SOL MARGOLIN EDUC FD</v>
      </c>
      <c r="G175" s="471">
        <v>13041.34</v>
      </c>
      <c r="H175" s="472">
        <v>0</v>
      </c>
      <c r="I175" s="472">
        <v>-250.86</v>
      </c>
      <c r="J175" s="472">
        <v>1270.23</v>
      </c>
      <c r="K175" s="472">
        <v>0</v>
      </c>
      <c r="L175" s="472">
        <v>0</v>
      </c>
      <c r="M175" s="472">
        <f t="shared" si="5"/>
        <v>14060.71</v>
      </c>
    </row>
    <row r="176" spans="1:13" ht="12.75" outlineLevel="1">
      <c r="A176" s="423" t="s">
        <v>763</v>
      </c>
      <c r="C176" s="469"/>
      <c r="D176" s="469"/>
      <c r="E176" s="459" t="s">
        <v>764</v>
      </c>
      <c r="F176" s="470" t="str">
        <f t="shared" si="4"/>
        <v>E W &amp; K R MARES LIB</v>
      </c>
      <c r="G176" s="471">
        <v>34045.44</v>
      </c>
      <c r="H176" s="472">
        <v>0</v>
      </c>
      <c r="I176" s="472">
        <v>-654.91</v>
      </c>
      <c r="J176" s="472">
        <v>3316.12</v>
      </c>
      <c r="K176" s="472">
        <v>0</v>
      </c>
      <c r="L176" s="472">
        <v>0</v>
      </c>
      <c r="M176" s="472">
        <f t="shared" si="5"/>
        <v>36706.65</v>
      </c>
    </row>
    <row r="177" spans="1:13" ht="12.75" outlineLevel="1">
      <c r="A177" s="423" t="s">
        <v>765</v>
      </c>
      <c r="C177" s="469"/>
      <c r="D177" s="469"/>
      <c r="E177" s="459" t="s">
        <v>766</v>
      </c>
      <c r="F177" s="470" t="str">
        <f t="shared" si="4"/>
        <v>L S C MILLSAP PROF</v>
      </c>
      <c r="G177" s="471">
        <v>628935.58</v>
      </c>
      <c r="H177" s="472">
        <v>0</v>
      </c>
      <c r="I177" s="472">
        <v>0</v>
      </c>
      <c r="J177" s="472">
        <v>-26411.95</v>
      </c>
      <c r="K177" s="472">
        <v>0</v>
      </c>
      <c r="L177" s="472">
        <v>0</v>
      </c>
      <c r="M177" s="472">
        <f t="shared" si="5"/>
        <v>602523.63</v>
      </c>
    </row>
    <row r="178" spans="1:13" ht="12.75" outlineLevel="1">
      <c r="A178" s="423" t="s">
        <v>767</v>
      </c>
      <c r="C178" s="469"/>
      <c r="D178" s="469"/>
      <c r="E178" s="459" t="s">
        <v>768</v>
      </c>
      <c r="F178" s="470" t="str">
        <f t="shared" si="4"/>
        <v>R A C MILLSAP PROF</v>
      </c>
      <c r="G178" s="471">
        <v>612800.88</v>
      </c>
      <c r="H178" s="472">
        <v>0</v>
      </c>
      <c r="I178" s="472">
        <v>0</v>
      </c>
      <c r="J178" s="472">
        <v>-25734.37</v>
      </c>
      <c r="K178" s="472">
        <v>0</v>
      </c>
      <c r="L178" s="472">
        <v>0</v>
      </c>
      <c r="M178" s="472">
        <f t="shared" si="5"/>
        <v>587066.51</v>
      </c>
    </row>
    <row r="179" spans="1:13" ht="12.75" outlineLevel="1">
      <c r="A179" s="423" t="s">
        <v>769</v>
      </c>
      <c r="C179" s="469"/>
      <c r="D179" s="469"/>
      <c r="E179" s="459" t="s">
        <v>770</v>
      </c>
      <c r="F179" s="470" t="str">
        <f t="shared" si="4"/>
        <v>MO CHAIR MMD BIO SCI</v>
      </c>
      <c r="G179" s="471">
        <v>2686159.79</v>
      </c>
      <c r="H179" s="472">
        <v>0</v>
      </c>
      <c r="I179" s="472">
        <v>-51672.37</v>
      </c>
      <c r="J179" s="472">
        <v>261639.78</v>
      </c>
      <c r="K179" s="472">
        <v>0</v>
      </c>
      <c r="L179" s="472">
        <v>0</v>
      </c>
      <c r="M179" s="472">
        <f t="shared" si="5"/>
        <v>2896127.1999999997</v>
      </c>
    </row>
    <row r="180" spans="1:13" ht="12.75" outlineLevel="1">
      <c r="A180" s="423" t="s">
        <v>771</v>
      </c>
      <c r="C180" s="469"/>
      <c r="D180" s="469"/>
      <c r="E180" s="459" t="s">
        <v>772</v>
      </c>
      <c r="F180" s="470" t="str">
        <f t="shared" si="4"/>
        <v>MED SCHOOL AWD SERV</v>
      </c>
      <c r="G180" s="471">
        <v>16714.92</v>
      </c>
      <c r="H180" s="472">
        <v>0</v>
      </c>
      <c r="I180" s="472">
        <v>0</v>
      </c>
      <c r="J180" s="472">
        <v>-701.85</v>
      </c>
      <c r="K180" s="472">
        <v>0</v>
      </c>
      <c r="L180" s="472">
        <v>0</v>
      </c>
      <c r="M180" s="472">
        <f t="shared" si="5"/>
        <v>16013.069999999998</v>
      </c>
    </row>
    <row r="181" spans="1:13" ht="12.75" outlineLevel="1">
      <c r="A181" s="423" t="s">
        <v>773</v>
      </c>
      <c r="C181" s="469"/>
      <c r="D181" s="469"/>
      <c r="E181" s="459" t="s">
        <v>774</v>
      </c>
      <c r="F181" s="470" t="str">
        <f t="shared" si="4"/>
        <v>MENN LIBRARY FUND</v>
      </c>
      <c r="G181" s="471">
        <v>6920.3</v>
      </c>
      <c r="H181" s="472">
        <v>0</v>
      </c>
      <c r="I181" s="472">
        <v>-133.12</v>
      </c>
      <c r="J181" s="472">
        <v>674.06</v>
      </c>
      <c r="K181" s="472">
        <v>0</v>
      </c>
      <c r="L181" s="472">
        <v>0</v>
      </c>
      <c r="M181" s="472">
        <f t="shared" si="5"/>
        <v>7461.24</v>
      </c>
    </row>
    <row r="182" spans="1:13" ht="12.75" outlineLevel="1">
      <c r="A182" s="423" t="s">
        <v>775</v>
      </c>
      <c r="C182" s="469"/>
      <c r="D182" s="469"/>
      <c r="E182" s="459" t="s">
        <v>776</v>
      </c>
      <c r="F182" s="470" t="str">
        <f t="shared" si="4"/>
        <v>MILLSAP DIST ARTIST</v>
      </c>
      <c r="G182" s="471">
        <v>505046.3</v>
      </c>
      <c r="H182" s="472">
        <v>0</v>
      </c>
      <c r="I182" s="472">
        <v>0</v>
      </c>
      <c r="J182" s="472">
        <v>-21209.26</v>
      </c>
      <c r="K182" s="472">
        <v>0</v>
      </c>
      <c r="L182" s="472">
        <v>0</v>
      </c>
      <c r="M182" s="472">
        <f t="shared" si="5"/>
        <v>483837.04</v>
      </c>
    </row>
    <row r="183" spans="1:13" ht="12.75" outlineLevel="1">
      <c r="A183" s="423" t="s">
        <v>777</v>
      </c>
      <c r="C183" s="469"/>
      <c r="D183" s="469"/>
      <c r="E183" s="459" t="s">
        <v>778</v>
      </c>
      <c r="F183" s="470" t="str">
        <f t="shared" si="4"/>
        <v>DONALD MOCKER ENDOW</v>
      </c>
      <c r="G183" s="471">
        <v>10411.07</v>
      </c>
      <c r="H183" s="472">
        <v>0</v>
      </c>
      <c r="I183" s="472">
        <v>-200.3</v>
      </c>
      <c r="J183" s="472">
        <v>1014.06</v>
      </c>
      <c r="K183" s="472">
        <v>0</v>
      </c>
      <c r="L183" s="472">
        <v>0</v>
      </c>
      <c r="M183" s="472">
        <f t="shared" si="5"/>
        <v>11224.83</v>
      </c>
    </row>
    <row r="184" spans="1:13" ht="12.75" outlineLevel="1">
      <c r="A184" s="423" t="s">
        <v>779</v>
      </c>
      <c r="C184" s="469"/>
      <c r="D184" s="469"/>
      <c r="E184" s="459" t="s">
        <v>780</v>
      </c>
      <c r="F184" s="470" t="str">
        <f t="shared" si="4"/>
        <v>ED NELSON PROF-DENT</v>
      </c>
      <c r="G184" s="471">
        <v>681187.31</v>
      </c>
      <c r="H184" s="472">
        <v>0</v>
      </c>
      <c r="I184" s="472">
        <v>-13103.7</v>
      </c>
      <c r="J184" s="472">
        <v>66349.62</v>
      </c>
      <c r="K184" s="472">
        <v>0</v>
      </c>
      <c r="L184" s="472">
        <v>0</v>
      </c>
      <c r="M184" s="472">
        <f t="shared" si="5"/>
        <v>734433.2300000001</v>
      </c>
    </row>
    <row r="185" spans="1:13" ht="12.75" outlineLevel="1">
      <c r="A185" s="423" t="s">
        <v>781</v>
      </c>
      <c r="C185" s="469"/>
      <c r="D185" s="469"/>
      <c r="E185" s="459" t="s">
        <v>782</v>
      </c>
      <c r="F185" s="470" t="str">
        <f t="shared" si="4"/>
        <v>NICHOLS LIBR ENDOW</v>
      </c>
      <c r="G185" s="471">
        <v>1158044.42</v>
      </c>
      <c r="H185" s="472">
        <v>0</v>
      </c>
      <c r="I185" s="472">
        <v>-22276.76</v>
      </c>
      <c r="J185" s="472">
        <v>112796.9</v>
      </c>
      <c r="K185" s="472">
        <v>0</v>
      </c>
      <c r="L185" s="472">
        <v>0</v>
      </c>
      <c r="M185" s="472">
        <f t="shared" si="5"/>
        <v>1248564.5599999998</v>
      </c>
    </row>
    <row r="186" spans="1:13" ht="12.75" outlineLevel="1">
      <c r="A186" s="423" t="s">
        <v>783</v>
      </c>
      <c r="C186" s="469"/>
      <c r="D186" s="469"/>
      <c r="E186" s="459" t="s">
        <v>784</v>
      </c>
      <c r="F186" s="470" t="str">
        <f t="shared" si="4"/>
        <v>OPPENSTEIN PROF</v>
      </c>
      <c r="G186" s="471">
        <v>103536.8</v>
      </c>
      <c r="H186" s="472">
        <v>0</v>
      </c>
      <c r="I186" s="472">
        <v>0</v>
      </c>
      <c r="J186" s="472">
        <v>-4347.98</v>
      </c>
      <c r="K186" s="472">
        <v>0</v>
      </c>
      <c r="L186" s="472">
        <v>0</v>
      </c>
      <c r="M186" s="472">
        <f t="shared" si="5"/>
        <v>99188.82</v>
      </c>
    </row>
    <row r="187" spans="1:13" ht="12.75" outlineLevel="1">
      <c r="A187" s="423" t="s">
        <v>785</v>
      </c>
      <c r="C187" s="469"/>
      <c r="D187" s="469"/>
      <c r="E187" s="459" t="s">
        <v>786</v>
      </c>
      <c r="F187" s="470" t="str">
        <f t="shared" si="4"/>
        <v>WELLER OVERSTREET FD</v>
      </c>
      <c r="G187" s="471">
        <v>48373.03</v>
      </c>
      <c r="H187" s="472">
        <v>0</v>
      </c>
      <c r="I187" s="472">
        <v>-930.51</v>
      </c>
      <c r="J187" s="472">
        <v>4711.69</v>
      </c>
      <c r="K187" s="472">
        <v>0</v>
      </c>
      <c r="L187" s="472">
        <v>0</v>
      </c>
      <c r="M187" s="472">
        <f t="shared" si="5"/>
        <v>52154.21</v>
      </c>
    </row>
    <row r="188" spans="1:13" ht="12.75" outlineLevel="1">
      <c r="A188" s="423" t="s">
        <v>787</v>
      </c>
      <c r="C188" s="469"/>
      <c r="D188" s="469"/>
      <c r="E188" s="459" t="s">
        <v>788</v>
      </c>
      <c r="F188" s="470" t="str">
        <f t="shared" si="4"/>
        <v>NON PROFIT MGMT</v>
      </c>
      <c r="G188" s="471">
        <v>1083939.66</v>
      </c>
      <c r="H188" s="472">
        <v>0</v>
      </c>
      <c r="I188" s="472">
        <v>0</v>
      </c>
      <c r="J188" s="472">
        <v>-45519.65</v>
      </c>
      <c r="K188" s="472">
        <v>0</v>
      </c>
      <c r="L188" s="472">
        <v>0</v>
      </c>
      <c r="M188" s="472">
        <f t="shared" si="5"/>
        <v>1038420.0099999999</v>
      </c>
    </row>
    <row r="189" spans="1:13" ht="12.75" outlineLevel="1">
      <c r="A189" s="423" t="s">
        <v>789</v>
      </c>
      <c r="C189" s="469"/>
      <c r="D189" s="469"/>
      <c r="E189" s="459" t="s">
        <v>790</v>
      </c>
      <c r="F189" s="470" t="str">
        <f t="shared" si="4"/>
        <v>E REISNER ENDOWMENT</v>
      </c>
      <c r="G189" s="471">
        <v>18716.91</v>
      </c>
      <c r="H189" s="472">
        <v>0</v>
      </c>
      <c r="I189" s="472">
        <v>-360.05</v>
      </c>
      <c r="J189" s="472">
        <v>1823.07</v>
      </c>
      <c r="K189" s="472">
        <v>0</v>
      </c>
      <c r="L189" s="472">
        <v>0</v>
      </c>
      <c r="M189" s="472">
        <f t="shared" si="5"/>
        <v>20179.93</v>
      </c>
    </row>
    <row r="190" spans="1:13" ht="12.75" outlineLevel="1">
      <c r="A190" s="423" t="s">
        <v>791</v>
      </c>
      <c r="C190" s="469"/>
      <c r="D190" s="469"/>
      <c r="E190" s="459" t="s">
        <v>792</v>
      </c>
      <c r="F190" s="470" t="str">
        <f t="shared" si="4"/>
        <v>DR LEO ROGERS PROF</v>
      </c>
      <c r="G190" s="471">
        <v>603286.4</v>
      </c>
      <c r="H190" s="472">
        <v>0</v>
      </c>
      <c r="I190" s="472">
        <v>-11605.15</v>
      </c>
      <c r="J190" s="472">
        <v>58761.84</v>
      </c>
      <c r="K190" s="472">
        <v>0</v>
      </c>
      <c r="L190" s="472">
        <v>0</v>
      </c>
      <c r="M190" s="472">
        <f t="shared" si="5"/>
        <v>650443.09</v>
      </c>
    </row>
    <row r="191" spans="1:13" ht="12.75" outlineLevel="1">
      <c r="A191" s="423" t="s">
        <v>793</v>
      </c>
      <c r="C191" s="469"/>
      <c r="D191" s="469"/>
      <c r="E191" s="459" t="s">
        <v>794</v>
      </c>
      <c r="F191" s="470" t="str">
        <f t="shared" si="4"/>
        <v>S ORLANDO SOMERS PR</v>
      </c>
      <c r="G191" s="471">
        <v>555929.27</v>
      </c>
      <c r="H191" s="472">
        <v>0</v>
      </c>
      <c r="I191" s="472">
        <v>-10694.15</v>
      </c>
      <c r="J191" s="472">
        <v>54149.12</v>
      </c>
      <c r="K191" s="472">
        <v>0</v>
      </c>
      <c r="L191" s="472">
        <v>0</v>
      </c>
      <c r="M191" s="472">
        <f t="shared" si="5"/>
        <v>599384.24</v>
      </c>
    </row>
    <row r="192" spans="1:13" ht="12.75" outlineLevel="1">
      <c r="A192" s="423" t="s">
        <v>795</v>
      </c>
      <c r="C192" s="469"/>
      <c r="D192" s="469"/>
      <c r="E192" s="459" t="s">
        <v>796</v>
      </c>
      <c r="F192" s="470" t="str">
        <f t="shared" si="4"/>
        <v>PHILLIPS PROFESSORSP</v>
      </c>
      <c r="G192" s="471">
        <v>583157.33</v>
      </c>
      <c r="H192" s="472">
        <v>0</v>
      </c>
      <c r="I192" s="472">
        <v>-11217.92</v>
      </c>
      <c r="J192" s="472">
        <v>56801.21</v>
      </c>
      <c r="K192" s="472">
        <v>0</v>
      </c>
      <c r="L192" s="472">
        <v>0</v>
      </c>
      <c r="M192" s="472">
        <f t="shared" si="5"/>
        <v>628740.6199999999</v>
      </c>
    </row>
    <row r="193" spans="1:13" ht="12.75" outlineLevel="1">
      <c r="A193" s="423" t="s">
        <v>797</v>
      </c>
      <c r="C193" s="469"/>
      <c r="D193" s="469"/>
      <c r="E193" s="459" t="s">
        <v>798</v>
      </c>
      <c r="F193" s="470" t="str">
        <f t="shared" si="4"/>
        <v>SECOND CENTURY DENTL</v>
      </c>
      <c r="G193" s="471">
        <v>177333.51</v>
      </c>
      <c r="H193" s="472">
        <v>0</v>
      </c>
      <c r="I193" s="472">
        <v>-3411.28</v>
      </c>
      <c r="J193" s="472">
        <v>17272.8</v>
      </c>
      <c r="K193" s="472">
        <v>0</v>
      </c>
      <c r="L193" s="472">
        <v>0</v>
      </c>
      <c r="M193" s="472">
        <f t="shared" si="5"/>
        <v>191195.03</v>
      </c>
    </row>
    <row r="194" spans="1:13" ht="12.75" outlineLevel="1">
      <c r="A194" s="423" t="s">
        <v>799</v>
      </c>
      <c r="C194" s="469"/>
      <c r="D194" s="469"/>
      <c r="E194" s="459" t="s">
        <v>800</v>
      </c>
      <c r="F194" s="470" t="str">
        <f t="shared" si="4"/>
        <v>MO PROF - SCHUTTE</v>
      </c>
      <c r="G194" s="471">
        <v>1141433.22</v>
      </c>
      <c r="H194" s="472">
        <v>0</v>
      </c>
      <c r="I194" s="472">
        <v>-21998.08</v>
      </c>
      <c r="J194" s="472">
        <v>111174.83</v>
      </c>
      <c r="K194" s="472">
        <v>0</v>
      </c>
      <c r="L194" s="472">
        <v>0</v>
      </c>
      <c r="M194" s="472">
        <f t="shared" si="5"/>
        <v>1230609.97</v>
      </c>
    </row>
    <row r="195" spans="1:13" ht="12.75" outlineLevel="1">
      <c r="A195" s="423" t="s">
        <v>801</v>
      </c>
      <c r="C195" s="469"/>
      <c r="D195" s="469"/>
      <c r="E195" s="459" t="s">
        <v>802</v>
      </c>
      <c r="F195" s="470" t="str">
        <f t="shared" si="4"/>
        <v>C F SCOFIELD BOOK FD</v>
      </c>
      <c r="G195" s="471">
        <v>26972.35</v>
      </c>
      <c r="H195" s="472">
        <v>0</v>
      </c>
      <c r="I195" s="472">
        <v>-518.86</v>
      </c>
      <c r="J195" s="472">
        <v>2627.19</v>
      </c>
      <c r="K195" s="472">
        <v>0</v>
      </c>
      <c r="L195" s="472">
        <v>0</v>
      </c>
      <c r="M195" s="472">
        <f t="shared" si="5"/>
        <v>29080.679999999997</v>
      </c>
    </row>
    <row r="196" spans="1:13" ht="12.75" outlineLevel="1">
      <c r="A196" s="423" t="s">
        <v>803</v>
      </c>
      <c r="C196" s="469"/>
      <c r="D196" s="469"/>
      <c r="E196" s="459" t="s">
        <v>804</v>
      </c>
      <c r="F196" s="470" t="str">
        <f t="shared" si="4"/>
        <v>H SILVERFORB FAC DEV</v>
      </c>
      <c r="G196" s="471">
        <v>61405.21</v>
      </c>
      <c r="H196" s="472">
        <v>0</v>
      </c>
      <c r="I196" s="472">
        <v>-1181.23</v>
      </c>
      <c r="J196" s="472">
        <v>5981.06</v>
      </c>
      <c r="K196" s="472">
        <v>0</v>
      </c>
      <c r="L196" s="472">
        <v>0</v>
      </c>
      <c r="M196" s="472">
        <f t="shared" si="5"/>
        <v>66205.04</v>
      </c>
    </row>
    <row r="197" spans="1:13" ht="12.75" outlineLevel="1">
      <c r="A197" s="423" t="s">
        <v>805</v>
      </c>
      <c r="C197" s="469"/>
      <c r="D197" s="469"/>
      <c r="E197" s="459" t="s">
        <v>806</v>
      </c>
      <c r="F197" s="470" t="str">
        <f t="shared" si="4"/>
        <v>SIRRIDGE LECTURE</v>
      </c>
      <c r="G197" s="471">
        <v>26822.07</v>
      </c>
      <c r="H197" s="472">
        <v>0</v>
      </c>
      <c r="I197" s="472">
        <v>-515.97</v>
      </c>
      <c r="J197" s="472">
        <v>2612.55</v>
      </c>
      <c r="K197" s="472">
        <v>0</v>
      </c>
      <c r="L197" s="472">
        <v>0</v>
      </c>
      <c r="M197" s="472">
        <f t="shared" si="5"/>
        <v>28918.649999999998</v>
      </c>
    </row>
    <row r="198" spans="1:13" ht="12.75" outlineLevel="1">
      <c r="A198" s="423" t="s">
        <v>807</v>
      </c>
      <c r="C198" s="469"/>
      <c r="D198" s="469"/>
      <c r="E198" s="459" t="s">
        <v>808</v>
      </c>
      <c r="F198" s="470" t="str">
        <f t="shared" si="4"/>
        <v>E A SMITH &amp; SM PGM</v>
      </c>
      <c r="G198" s="471">
        <v>103542.46</v>
      </c>
      <c r="H198" s="472">
        <v>0</v>
      </c>
      <c r="I198" s="472">
        <v>-1991.81</v>
      </c>
      <c r="J198" s="472">
        <v>10085.35</v>
      </c>
      <c r="K198" s="472">
        <v>0</v>
      </c>
      <c r="L198" s="472">
        <v>0</v>
      </c>
      <c r="M198" s="472">
        <f t="shared" si="5"/>
        <v>111636.00000000001</v>
      </c>
    </row>
    <row r="199" spans="1:13" ht="12.75" outlineLevel="1">
      <c r="A199" s="423" t="s">
        <v>809</v>
      </c>
      <c r="C199" s="469"/>
      <c r="D199" s="469"/>
      <c r="E199" s="459" t="s">
        <v>810</v>
      </c>
      <c r="F199" s="470" t="str">
        <f t="shared" si="4"/>
        <v>EDWARD A SMITH / MO CHAIR LAW</v>
      </c>
      <c r="G199" s="471">
        <v>597598.51</v>
      </c>
      <c r="H199" s="472">
        <v>0</v>
      </c>
      <c r="I199" s="472">
        <v>-11495.73</v>
      </c>
      <c r="J199" s="472">
        <v>58207.81</v>
      </c>
      <c r="K199" s="472">
        <v>0</v>
      </c>
      <c r="L199" s="472">
        <v>0</v>
      </c>
      <c r="M199" s="472">
        <f t="shared" si="5"/>
        <v>644310.5900000001</v>
      </c>
    </row>
    <row r="200" spans="1:13" ht="12.75" outlineLevel="1">
      <c r="A200" s="423" t="s">
        <v>811</v>
      </c>
      <c r="C200" s="469"/>
      <c r="D200" s="469"/>
      <c r="E200" s="459" t="s">
        <v>812</v>
      </c>
      <c r="F200" s="444" t="str">
        <f t="shared" si="4"/>
        <v>D &amp; D THOMPSON A&amp;S</v>
      </c>
      <c r="G200" s="519">
        <v>973391.35</v>
      </c>
      <c r="H200" s="472">
        <v>0</v>
      </c>
      <c r="I200" s="472">
        <v>-18724.64</v>
      </c>
      <c r="J200" s="472">
        <v>94811.14</v>
      </c>
      <c r="K200" s="472">
        <v>0</v>
      </c>
      <c r="L200" s="472">
        <v>0</v>
      </c>
      <c r="M200" s="472">
        <f t="shared" si="5"/>
        <v>1049477.8499999999</v>
      </c>
    </row>
    <row r="201" spans="1:13" ht="12.75" outlineLevel="1">
      <c r="A201" s="423" t="s">
        <v>813</v>
      </c>
      <c r="C201" s="469"/>
      <c r="D201" s="469"/>
      <c r="E201" s="459" t="s">
        <v>814</v>
      </c>
      <c r="F201" s="470" t="str">
        <f t="shared" si="4"/>
        <v>MO CHAIR STRANDBERG</v>
      </c>
      <c r="G201" s="471">
        <v>1594574.26</v>
      </c>
      <c r="H201" s="472">
        <v>0</v>
      </c>
      <c r="I201" s="472">
        <v>-30674.08</v>
      </c>
      <c r="J201" s="472">
        <v>155316.15</v>
      </c>
      <c r="K201" s="472">
        <v>0</v>
      </c>
      <c r="L201" s="472">
        <v>0</v>
      </c>
      <c r="M201" s="472">
        <f t="shared" si="5"/>
        <v>1719216.3299999998</v>
      </c>
    </row>
    <row r="202" spans="1:13" ht="12.75" outlineLevel="1">
      <c r="A202" s="423" t="s">
        <v>815</v>
      </c>
      <c r="C202" s="469"/>
      <c r="D202" s="469"/>
      <c r="E202" s="459" t="s">
        <v>816</v>
      </c>
      <c r="F202" s="470" t="str">
        <f t="shared" si="4"/>
        <v>D &amp; D THOMPSON NURS</v>
      </c>
      <c r="G202" s="471">
        <v>777399.74</v>
      </c>
      <c r="H202" s="472">
        <v>0</v>
      </c>
      <c r="I202" s="472">
        <v>-14954.47</v>
      </c>
      <c r="J202" s="472">
        <v>75720.98</v>
      </c>
      <c r="K202" s="472">
        <v>0</v>
      </c>
      <c r="L202" s="472">
        <v>0</v>
      </c>
      <c r="M202" s="472">
        <f t="shared" si="5"/>
        <v>838166.25</v>
      </c>
    </row>
    <row r="203" spans="1:13" ht="12.75" outlineLevel="1">
      <c r="A203" s="423" t="s">
        <v>817</v>
      </c>
      <c r="C203" s="469"/>
      <c r="D203" s="469"/>
      <c r="E203" s="459" t="s">
        <v>818</v>
      </c>
      <c r="F203" s="470" t="str">
        <f aca="true" t="shared" si="6" ref="F203:F266">UPPER(E203)</f>
        <v>STATLAND LIB ENDOW</v>
      </c>
      <c r="G203" s="471">
        <v>21497.45</v>
      </c>
      <c r="H203" s="472">
        <v>0</v>
      </c>
      <c r="I203" s="472">
        <v>-413.54</v>
      </c>
      <c r="J203" s="472">
        <v>2093.92</v>
      </c>
      <c r="K203" s="472">
        <v>0</v>
      </c>
      <c r="L203" s="472">
        <v>0</v>
      </c>
      <c r="M203" s="472">
        <f aca="true" t="shared" si="7" ref="M203:M266">G203+H203+I203+J203-K203+L203</f>
        <v>23177.83</v>
      </c>
    </row>
    <row r="204" spans="1:13" ht="12.75" outlineLevel="1">
      <c r="A204" s="423" t="s">
        <v>819</v>
      </c>
      <c r="C204" s="469"/>
      <c r="D204" s="469"/>
      <c r="E204" s="459" t="s">
        <v>820</v>
      </c>
      <c r="F204" s="470" t="str">
        <f t="shared" si="6"/>
        <v>HELEN STEVENS SCHOL</v>
      </c>
      <c r="G204" s="471">
        <v>19100.94</v>
      </c>
      <c r="H204" s="472">
        <v>30</v>
      </c>
      <c r="I204" s="472">
        <v>-366.08</v>
      </c>
      <c r="J204" s="472">
        <v>1861.57</v>
      </c>
      <c r="K204" s="472">
        <v>0</v>
      </c>
      <c r="L204" s="472">
        <v>0</v>
      </c>
      <c r="M204" s="472">
        <f t="shared" si="7"/>
        <v>20626.429999999997</v>
      </c>
    </row>
    <row r="205" spans="1:13" ht="12.75" outlineLevel="1">
      <c r="A205" s="423" t="s">
        <v>821</v>
      </c>
      <c r="C205" s="469"/>
      <c r="D205" s="469"/>
      <c r="E205" s="459" t="s">
        <v>822</v>
      </c>
      <c r="F205" s="470" t="str">
        <f t="shared" si="6"/>
        <v>MO CHAIR - STRIPP</v>
      </c>
      <c r="G205" s="471">
        <v>955192.16</v>
      </c>
      <c r="H205" s="472">
        <v>0</v>
      </c>
      <c r="I205" s="472">
        <v>-12849.28</v>
      </c>
      <c r="J205" s="472">
        <v>89239.76</v>
      </c>
      <c r="K205" s="472">
        <v>0</v>
      </c>
      <c r="L205" s="472">
        <v>0</v>
      </c>
      <c r="M205" s="472">
        <f t="shared" si="7"/>
        <v>1031582.64</v>
      </c>
    </row>
    <row r="206" spans="1:13" ht="12.75" outlineLevel="1">
      <c r="A206" s="423" t="s">
        <v>823</v>
      </c>
      <c r="C206" s="469"/>
      <c r="D206" s="469"/>
      <c r="E206" s="459" t="s">
        <v>824</v>
      </c>
      <c r="F206" s="470" t="str">
        <f t="shared" si="6"/>
        <v>UMKC GEN LIBRARY END</v>
      </c>
      <c r="G206" s="471">
        <v>886765.8</v>
      </c>
      <c r="H206" s="472">
        <v>0</v>
      </c>
      <c r="I206" s="472">
        <v>0</v>
      </c>
      <c r="J206" s="472">
        <v>-37239.43</v>
      </c>
      <c r="K206" s="472">
        <v>0</v>
      </c>
      <c r="L206" s="472">
        <v>0</v>
      </c>
      <c r="M206" s="472">
        <f t="shared" si="7"/>
        <v>849526.37</v>
      </c>
    </row>
    <row r="207" spans="1:13" ht="12.75" outlineLevel="1">
      <c r="A207" s="423" t="s">
        <v>825</v>
      </c>
      <c r="C207" s="469"/>
      <c r="D207" s="469"/>
      <c r="E207" s="459" t="s">
        <v>826</v>
      </c>
      <c r="F207" s="470" t="str">
        <f t="shared" si="6"/>
        <v>VEATCH ENDOWMENT</v>
      </c>
      <c r="G207" s="471">
        <v>20199.7</v>
      </c>
      <c r="H207" s="472">
        <v>0</v>
      </c>
      <c r="I207" s="472">
        <v>0</v>
      </c>
      <c r="J207" s="472">
        <v>-848.28</v>
      </c>
      <c r="K207" s="472">
        <v>0</v>
      </c>
      <c r="L207" s="472">
        <v>0</v>
      </c>
      <c r="M207" s="472">
        <f t="shared" si="7"/>
        <v>19351.420000000002</v>
      </c>
    </row>
    <row r="208" spans="1:13" ht="12.75" outlineLevel="1">
      <c r="A208" s="423" t="s">
        <v>827</v>
      </c>
      <c r="C208" s="469"/>
      <c r="D208" s="469"/>
      <c r="E208" s="459" t="s">
        <v>828</v>
      </c>
      <c r="F208" s="470" t="str">
        <f t="shared" si="6"/>
        <v>WASSERMAN MED SCH</v>
      </c>
      <c r="G208" s="471">
        <v>11412.94</v>
      </c>
      <c r="H208" s="472">
        <v>0</v>
      </c>
      <c r="I208" s="472">
        <v>290.03</v>
      </c>
      <c r="J208" s="472">
        <v>1144.19</v>
      </c>
      <c r="K208" s="472">
        <v>0</v>
      </c>
      <c r="L208" s="472">
        <v>0</v>
      </c>
      <c r="M208" s="472">
        <f t="shared" si="7"/>
        <v>12847.160000000002</v>
      </c>
    </row>
    <row r="209" spans="1:13" ht="12.75" outlineLevel="1">
      <c r="A209" s="423" t="s">
        <v>829</v>
      </c>
      <c r="C209" s="469"/>
      <c r="D209" s="469"/>
      <c r="E209" s="459" t="s">
        <v>830</v>
      </c>
      <c r="F209" s="470" t="str">
        <f t="shared" si="6"/>
        <v>ROCHE LAB/ WILKINSON</v>
      </c>
      <c r="G209" s="471">
        <v>21024.47</v>
      </c>
      <c r="H209" s="472">
        <v>150</v>
      </c>
      <c r="I209" s="472">
        <v>-398.99</v>
      </c>
      <c r="J209" s="472">
        <v>2045.43</v>
      </c>
      <c r="K209" s="472">
        <v>0</v>
      </c>
      <c r="L209" s="472">
        <v>0</v>
      </c>
      <c r="M209" s="472">
        <f t="shared" si="7"/>
        <v>22820.91</v>
      </c>
    </row>
    <row r="210" spans="1:13" ht="12.75" outlineLevel="1">
      <c r="A210" s="423" t="s">
        <v>831</v>
      </c>
      <c r="C210" s="469"/>
      <c r="D210" s="469"/>
      <c r="E210" s="459" t="s">
        <v>832</v>
      </c>
      <c r="F210" s="470" t="str">
        <f t="shared" si="6"/>
        <v>J &amp; E WOLFF COLLECT</v>
      </c>
      <c r="G210" s="471">
        <v>20541.35</v>
      </c>
      <c r="H210" s="472">
        <v>0</v>
      </c>
      <c r="I210" s="472">
        <v>0</v>
      </c>
      <c r="J210" s="472">
        <v>-862.64</v>
      </c>
      <c r="K210" s="472">
        <v>0</v>
      </c>
      <c r="L210" s="472">
        <v>0</v>
      </c>
      <c r="M210" s="472">
        <f t="shared" si="7"/>
        <v>19678.71</v>
      </c>
    </row>
    <row r="211" spans="1:13" ht="12.75" outlineLevel="1">
      <c r="A211" s="423" t="s">
        <v>833</v>
      </c>
      <c r="C211" s="469"/>
      <c r="D211" s="469"/>
      <c r="E211" s="459" t="s">
        <v>834</v>
      </c>
      <c r="F211" s="470" t="str">
        <f t="shared" si="6"/>
        <v>FOWLER &amp; ABRANZ SCHP</v>
      </c>
      <c r="G211" s="471">
        <v>4432.44</v>
      </c>
      <c r="H211" s="472">
        <v>0</v>
      </c>
      <c r="I211" s="472">
        <v>112.42</v>
      </c>
      <c r="J211" s="472">
        <v>447.8</v>
      </c>
      <c r="K211" s="472">
        <v>0</v>
      </c>
      <c r="L211" s="472">
        <v>0</v>
      </c>
      <c r="M211" s="472">
        <f t="shared" si="7"/>
        <v>4992.66</v>
      </c>
    </row>
    <row r="212" spans="1:13" ht="12.75" outlineLevel="1">
      <c r="A212" s="423" t="s">
        <v>835</v>
      </c>
      <c r="C212" s="469"/>
      <c r="D212" s="469"/>
      <c r="E212" s="459" t="s">
        <v>836</v>
      </c>
      <c r="F212" s="470" t="str">
        <f t="shared" si="6"/>
        <v>GURPREET S. PADDA, M.D. SCHP</v>
      </c>
      <c r="G212" s="471">
        <v>0</v>
      </c>
      <c r="H212" s="472">
        <v>15000</v>
      </c>
      <c r="I212" s="472">
        <v>308.59</v>
      </c>
      <c r="J212" s="472">
        <v>276.71</v>
      </c>
      <c r="K212" s="472">
        <v>0</v>
      </c>
      <c r="L212" s="472">
        <v>15000</v>
      </c>
      <c r="M212" s="472">
        <f t="shared" si="7"/>
        <v>30585.3</v>
      </c>
    </row>
    <row r="213" spans="1:13" ht="12.75" outlineLevel="1">
      <c r="A213" s="423" t="s">
        <v>837</v>
      </c>
      <c r="C213" s="469"/>
      <c r="D213" s="469"/>
      <c r="E213" s="459" t="s">
        <v>838</v>
      </c>
      <c r="F213" s="470" t="str">
        <f t="shared" si="6"/>
        <v>JOEL C*BROWN BK AWD</v>
      </c>
      <c r="G213" s="471">
        <v>12095.28</v>
      </c>
      <c r="H213" s="472">
        <v>190</v>
      </c>
      <c r="I213" s="472">
        <v>-226.2</v>
      </c>
      <c r="J213" s="472">
        <v>1178.09</v>
      </c>
      <c r="K213" s="472">
        <v>0</v>
      </c>
      <c r="L213" s="472">
        <v>0</v>
      </c>
      <c r="M213" s="472">
        <f t="shared" si="7"/>
        <v>13237.17</v>
      </c>
    </row>
    <row r="214" spans="1:13" ht="12.75" outlineLevel="1">
      <c r="A214" s="423" t="s">
        <v>839</v>
      </c>
      <c r="C214" s="469"/>
      <c r="D214" s="469"/>
      <c r="E214" s="459" t="s">
        <v>840</v>
      </c>
      <c r="F214" s="470" t="str">
        <f t="shared" si="6"/>
        <v>EUGENE*BUTLER SCSP</v>
      </c>
      <c r="G214" s="471">
        <v>12731.18</v>
      </c>
      <c r="H214" s="472">
        <v>0</v>
      </c>
      <c r="I214" s="472">
        <v>-244.91</v>
      </c>
      <c r="J214" s="472">
        <v>1240.05</v>
      </c>
      <c r="K214" s="472">
        <v>0</v>
      </c>
      <c r="L214" s="472">
        <v>0</v>
      </c>
      <c r="M214" s="472">
        <f t="shared" si="7"/>
        <v>13726.32</v>
      </c>
    </row>
    <row r="215" spans="1:13" ht="12.75" outlineLevel="1">
      <c r="A215" s="423" t="s">
        <v>841</v>
      </c>
      <c r="C215" s="469"/>
      <c r="D215" s="469"/>
      <c r="E215" s="459" t="s">
        <v>842</v>
      </c>
      <c r="F215" s="470" t="str">
        <f t="shared" si="6"/>
        <v>PATRICIA GIER SCSP</v>
      </c>
      <c r="G215" s="471">
        <v>14042.64</v>
      </c>
      <c r="H215" s="472">
        <v>0</v>
      </c>
      <c r="I215" s="472">
        <v>-270.11</v>
      </c>
      <c r="J215" s="472">
        <v>1367.8</v>
      </c>
      <c r="K215" s="472">
        <v>0</v>
      </c>
      <c r="L215" s="472">
        <v>0</v>
      </c>
      <c r="M215" s="472">
        <f t="shared" si="7"/>
        <v>15140.329999999998</v>
      </c>
    </row>
    <row r="216" spans="1:13" ht="12.75" outlineLevel="1">
      <c r="A216" s="423" t="s">
        <v>843</v>
      </c>
      <c r="C216" s="469"/>
      <c r="D216" s="469"/>
      <c r="E216" s="459" t="s">
        <v>844</v>
      </c>
      <c r="F216" s="470" t="str">
        <f t="shared" si="6"/>
        <v>HENSON LECTURE IN CS</v>
      </c>
      <c r="G216" s="471">
        <v>-806.62</v>
      </c>
      <c r="H216" s="472">
        <v>0</v>
      </c>
      <c r="I216" s="472">
        <v>0</v>
      </c>
      <c r="J216" s="472">
        <v>0</v>
      </c>
      <c r="K216" s="472">
        <v>0</v>
      </c>
      <c r="L216" s="472">
        <v>0</v>
      </c>
      <c r="M216" s="472">
        <f t="shared" si="7"/>
        <v>-806.62</v>
      </c>
    </row>
    <row r="217" spans="1:13" ht="12.75" outlineLevel="1">
      <c r="A217" s="423" t="s">
        <v>845</v>
      </c>
      <c r="C217" s="469"/>
      <c r="D217" s="469"/>
      <c r="E217" s="459" t="s">
        <v>846</v>
      </c>
      <c r="F217" s="470" t="str">
        <f t="shared" si="6"/>
        <v>H K BUETTNER EDUC FD</v>
      </c>
      <c r="G217" s="471">
        <v>942624.84</v>
      </c>
      <c r="H217" s="472">
        <v>0</v>
      </c>
      <c r="I217" s="472">
        <v>23948.82</v>
      </c>
      <c r="J217" s="472">
        <v>94519.5</v>
      </c>
      <c r="K217" s="472">
        <v>0</v>
      </c>
      <c r="L217" s="472">
        <v>0</v>
      </c>
      <c r="M217" s="472">
        <f t="shared" si="7"/>
        <v>1061093.16</v>
      </c>
    </row>
    <row r="218" spans="1:13" ht="12.75" outlineLevel="1">
      <c r="A218" s="423" t="s">
        <v>847</v>
      </c>
      <c r="C218" s="469"/>
      <c r="D218" s="469"/>
      <c r="E218" s="459" t="s">
        <v>848</v>
      </c>
      <c r="F218" s="470" t="str">
        <f t="shared" si="6"/>
        <v>LEFKOWITZ PROFESSORSHIP</v>
      </c>
      <c r="G218" s="471">
        <v>710822.84</v>
      </c>
      <c r="H218" s="472">
        <v>0</v>
      </c>
      <c r="I218" s="472">
        <v>-13673.77</v>
      </c>
      <c r="J218" s="472">
        <v>69236.21</v>
      </c>
      <c r="K218" s="472">
        <v>0</v>
      </c>
      <c r="L218" s="472">
        <v>0</v>
      </c>
      <c r="M218" s="472">
        <f t="shared" si="7"/>
        <v>766385.2799999999</v>
      </c>
    </row>
    <row r="219" spans="1:13" ht="12.75" outlineLevel="1">
      <c r="A219" s="423" t="s">
        <v>849</v>
      </c>
      <c r="C219" s="469"/>
      <c r="D219" s="469"/>
      <c r="E219" s="459" t="s">
        <v>850</v>
      </c>
      <c r="F219" s="470" t="str">
        <f t="shared" si="6"/>
        <v>LARRY*MAGNUSON SCHOL</v>
      </c>
      <c r="G219" s="471">
        <v>4663.02</v>
      </c>
      <c r="H219" s="472">
        <v>100</v>
      </c>
      <c r="I219" s="472">
        <v>120.84</v>
      </c>
      <c r="J219" s="472">
        <v>474.07</v>
      </c>
      <c r="K219" s="472">
        <v>0</v>
      </c>
      <c r="L219" s="472">
        <v>0</v>
      </c>
      <c r="M219" s="472">
        <f t="shared" si="7"/>
        <v>5357.93</v>
      </c>
    </row>
    <row r="220" spans="1:13" ht="12.75" outlineLevel="1">
      <c r="A220" s="423" t="s">
        <v>851</v>
      </c>
      <c r="C220" s="469"/>
      <c r="D220" s="469"/>
      <c r="E220" s="459" t="s">
        <v>852</v>
      </c>
      <c r="F220" s="470" t="str">
        <f t="shared" si="6"/>
        <v>WILLIAM C. LENGEL SCHOLARSHIP</v>
      </c>
      <c r="G220" s="471">
        <v>48404.95</v>
      </c>
      <c r="H220" s="472">
        <v>0</v>
      </c>
      <c r="I220" s="472">
        <v>1229.88</v>
      </c>
      <c r="J220" s="472">
        <v>4853.38</v>
      </c>
      <c r="K220" s="472">
        <v>0</v>
      </c>
      <c r="L220" s="472">
        <v>0</v>
      </c>
      <c r="M220" s="472">
        <f t="shared" si="7"/>
        <v>54488.20999999999</v>
      </c>
    </row>
    <row r="221" spans="1:13" ht="12.75" outlineLevel="1">
      <c r="A221" s="423" t="s">
        <v>853</v>
      </c>
      <c r="C221" s="469"/>
      <c r="D221" s="469"/>
      <c r="E221" s="459" t="s">
        <v>854</v>
      </c>
      <c r="F221" s="470" t="str">
        <f t="shared" si="6"/>
        <v>MED SC ALUMNI SCSP</v>
      </c>
      <c r="G221" s="471">
        <v>66317.24</v>
      </c>
      <c r="H221" s="472">
        <v>0</v>
      </c>
      <c r="I221" s="472">
        <v>-1217.46</v>
      </c>
      <c r="J221" s="472">
        <v>7308.17</v>
      </c>
      <c r="K221" s="472">
        <v>0</v>
      </c>
      <c r="L221" s="472">
        <v>-12750</v>
      </c>
      <c r="M221" s="472">
        <f t="shared" si="7"/>
        <v>59657.95000000001</v>
      </c>
    </row>
    <row r="222" spans="1:13" ht="12.75" outlineLevel="1">
      <c r="A222" s="423" t="s">
        <v>855</v>
      </c>
      <c r="C222" s="469"/>
      <c r="D222" s="469"/>
      <c r="E222" s="459" t="s">
        <v>856</v>
      </c>
      <c r="F222" s="470" t="str">
        <f t="shared" si="6"/>
        <v>JANICE*MEINRATH/COCK</v>
      </c>
      <c r="G222" s="471">
        <v>6510.33</v>
      </c>
      <c r="H222" s="472">
        <v>0</v>
      </c>
      <c r="I222" s="472">
        <v>0</v>
      </c>
      <c r="J222" s="472">
        <v>0</v>
      </c>
      <c r="K222" s="472">
        <v>0</v>
      </c>
      <c r="L222" s="472">
        <v>-6510.33</v>
      </c>
      <c r="M222" s="472">
        <f t="shared" si="7"/>
        <v>0</v>
      </c>
    </row>
    <row r="223" spans="1:13" ht="12.75" outlineLevel="1">
      <c r="A223" s="423" t="s">
        <v>857</v>
      </c>
      <c r="C223" s="469"/>
      <c r="D223" s="469"/>
      <c r="E223" s="459" t="s">
        <v>858</v>
      </c>
      <c r="F223" s="470" t="str">
        <f t="shared" si="6"/>
        <v>MNL TECH/PERSONNEL</v>
      </c>
      <c r="G223" s="471">
        <v>875351.92</v>
      </c>
      <c r="H223" s="472">
        <v>0</v>
      </c>
      <c r="I223" s="472">
        <v>-16838.73</v>
      </c>
      <c r="J223" s="472">
        <v>85261.82</v>
      </c>
      <c r="K223" s="472">
        <v>0</v>
      </c>
      <c r="L223" s="472">
        <v>0</v>
      </c>
      <c r="M223" s="472">
        <f t="shared" si="7"/>
        <v>943775.01</v>
      </c>
    </row>
    <row r="224" spans="1:13" ht="12.75" outlineLevel="1">
      <c r="A224" s="423" t="s">
        <v>859</v>
      </c>
      <c r="C224" s="469"/>
      <c r="D224" s="469"/>
      <c r="E224" s="459" t="s">
        <v>860</v>
      </c>
      <c r="F224" s="470" t="str">
        <f t="shared" si="6"/>
        <v>MNL EXPANSION FUND</v>
      </c>
      <c r="G224" s="471">
        <v>2646283.12</v>
      </c>
      <c r="H224" s="472">
        <v>99045</v>
      </c>
      <c r="I224" s="472">
        <v>61990.02</v>
      </c>
      <c r="J224" s="472">
        <v>256007.51</v>
      </c>
      <c r="K224" s="472">
        <v>0</v>
      </c>
      <c r="L224" s="472">
        <v>-297999.8</v>
      </c>
      <c r="M224" s="472">
        <f t="shared" si="7"/>
        <v>2765325.8500000006</v>
      </c>
    </row>
    <row r="225" spans="1:13" ht="12.75" outlineLevel="1">
      <c r="A225" s="423" t="s">
        <v>861</v>
      </c>
      <c r="C225" s="469"/>
      <c r="D225" s="469"/>
      <c r="E225" s="459" t="s">
        <v>862</v>
      </c>
      <c r="F225" s="470" t="str">
        <f t="shared" si="6"/>
        <v>PEMBERTON SCSP FD</v>
      </c>
      <c r="G225" s="471">
        <v>41889.23</v>
      </c>
      <c r="H225" s="472">
        <v>5000</v>
      </c>
      <c r="I225" s="472">
        <v>-707.87</v>
      </c>
      <c r="J225" s="472">
        <v>4246.64</v>
      </c>
      <c r="K225" s="472">
        <v>0</v>
      </c>
      <c r="L225" s="472">
        <v>0</v>
      </c>
      <c r="M225" s="472">
        <f t="shared" si="7"/>
        <v>50428</v>
      </c>
    </row>
    <row r="226" spans="1:13" ht="12.75" outlineLevel="1">
      <c r="A226" s="423" t="s">
        <v>863</v>
      </c>
      <c r="C226" s="469"/>
      <c r="D226" s="469"/>
      <c r="E226" s="459" t="s">
        <v>864</v>
      </c>
      <c r="F226" s="470" t="str">
        <f t="shared" si="6"/>
        <v>PASEO SCH SCSP</v>
      </c>
      <c r="G226" s="471">
        <v>0</v>
      </c>
      <c r="H226" s="472">
        <v>0</v>
      </c>
      <c r="I226" s="472">
        <v>25.87</v>
      </c>
      <c r="J226" s="472">
        <v>-18.58</v>
      </c>
      <c r="K226" s="472">
        <v>0</v>
      </c>
      <c r="L226" s="472">
        <v>2617.48</v>
      </c>
      <c r="M226" s="472">
        <f t="shared" si="7"/>
        <v>2624.77</v>
      </c>
    </row>
    <row r="227" spans="1:13" ht="12.75" outlineLevel="1">
      <c r="A227" s="423" t="s">
        <v>865</v>
      </c>
      <c r="C227" s="469"/>
      <c r="D227" s="469"/>
      <c r="E227" s="459" t="s">
        <v>866</v>
      </c>
      <c r="F227" s="470" t="str">
        <f t="shared" si="6"/>
        <v>M SIRRIDGE LECT FUND</v>
      </c>
      <c r="G227" s="471">
        <v>0</v>
      </c>
      <c r="H227" s="472">
        <v>0</v>
      </c>
      <c r="I227" s="472">
        <v>0</v>
      </c>
      <c r="J227" s="472">
        <v>0</v>
      </c>
      <c r="K227" s="472">
        <v>0</v>
      </c>
      <c r="L227" s="472">
        <v>0</v>
      </c>
      <c r="M227" s="472">
        <f t="shared" si="7"/>
        <v>0</v>
      </c>
    </row>
    <row r="228" spans="1:13" ht="12.75" outlineLevel="1">
      <c r="A228" s="423" t="s">
        <v>867</v>
      </c>
      <c r="C228" s="469"/>
      <c r="D228" s="469"/>
      <c r="E228" s="459" t="s">
        <v>868</v>
      </c>
      <c r="F228" s="470" t="str">
        <f t="shared" si="6"/>
        <v>SUTTER FUND</v>
      </c>
      <c r="G228" s="471">
        <v>20385.1</v>
      </c>
      <c r="H228" s="472">
        <v>0</v>
      </c>
      <c r="I228" s="472">
        <v>517.93</v>
      </c>
      <c r="J228" s="472">
        <v>2043.91</v>
      </c>
      <c r="K228" s="472">
        <v>0</v>
      </c>
      <c r="L228" s="472">
        <v>0</v>
      </c>
      <c r="M228" s="472">
        <f t="shared" si="7"/>
        <v>22946.94</v>
      </c>
    </row>
    <row r="229" spans="1:13" ht="12.75" outlineLevel="1">
      <c r="A229" s="423" t="s">
        <v>869</v>
      </c>
      <c r="C229" s="469"/>
      <c r="D229" s="469"/>
      <c r="E229" s="459" t="s">
        <v>870</v>
      </c>
      <c r="F229" s="470" t="str">
        <f t="shared" si="6"/>
        <v>JAMES S*MEISTER SCSP</v>
      </c>
      <c r="G229" s="471">
        <v>212772.37</v>
      </c>
      <c r="H229" s="472">
        <v>0</v>
      </c>
      <c r="I229" s="472">
        <v>4446.58</v>
      </c>
      <c r="J229" s="472">
        <v>31206.23</v>
      </c>
      <c r="K229" s="472">
        <v>0</v>
      </c>
      <c r="L229" s="472">
        <v>0</v>
      </c>
      <c r="M229" s="472">
        <f t="shared" si="7"/>
        <v>248425.18</v>
      </c>
    </row>
    <row r="230" spans="1:13" ht="12.75" outlineLevel="1">
      <c r="A230" s="423" t="s">
        <v>871</v>
      </c>
      <c r="C230" s="469"/>
      <c r="D230" s="469"/>
      <c r="E230" s="459" t="s">
        <v>678</v>
      </c>
      <c r="F230" s="470" t="str">
        <f t="shared" si="6"/>
        <v>WESTERMANN SCHOLARS</v>
      </c>
      <c r="G230" s="471">
        <v>184048.7</v>
      </c>
      <c r="H230" s="472">
        <v>0</v>
      </c>
      <c r="I230" s="472">
        <v>0</v>
      </c>
      <c r="J230" s="472">
        <v>0</v>
      </c>
      <c r="K230" s="472">
        <v>0</v>
      </c>
      <c r="L230" s="472">
        <v>-184048.7</v>
      </c>
      <c r="M230" s="472">
        <f t="shared" si="7"/>
        <v>0</v>
      </c>
    </row>
    <row r="231" spans="1:13" ht="12.75" outlineLevel="1">
      <c r="A231" s="423" t="s">
        <v>872</v>
      </c>
      <c r="C231" s="469"/>
      <c r="D231" s="469"/>
      <c r="E231" s="459" t="s">
        <v>873</v>
      </c>
      <c r="F231" s="470" t="str">
        <f t="shared" si="6"/>
        <v>VICTOR*WILSON SCHOL</v>
      </c>
      <c r="G231" s="471">
        <v>26958.33</v>
      </c>
      <c r="H231" s="472">
        <v>0</v>
      </c>
      <c r="I231" s="472">
        <v>1644.2</v>
      </c>
      <c r="J231" s="472">
        <v>-7168</v>
      </c>
      <c r="K231" s="472">
        <v>0</v>
      </c>
      <c r="L231" s="472">
        <v>0</v>
      </c>
      <c r="M231" s="472">
        <f t="shared" si="7"/>
        <v>21434.530000000002</v>
      </c>
    </row>
    <row r="232" spans="1:13" ht="12.75" outlineLevel="1">
      <c r="A232" s="423" t="s">
        <v>874</v>
      </c>
      <c r="C232" s="469"/>
      <c r="D232" s="469"/>
      <c r="E232" s="459" t="s">
        <v>875</v>
      </c>
      <c r="F232" s="470" t="str">
        <f t="shared" si="6"/>
        <v>MARJORIE ALLEN FELL</v>
      </c>
      <c r="G232" s="471">
        <v>173006.29</v>
      </c>
      <c r="H232" s="472">
        <v>0</v>
      </c>
      <c r="I232" s="472">
        <v>-3328.04</v>
      </c>
      <c r="J232" s="472">
        <v>16851.32</v>
      </c>
      <c r="K232" s="472">
        <v>0</v>
      </c>
      <c r="L232" s="472">
        <v>0</v>
      </c>
      <c r="M232" s="472">
        <f t="shared" si="7"/>
        <v>186529.57</v>
      </c>
    </row>
    <row r="233" spans="1:13" ht="12.75" outlineLevel="1">
      <c r="A233" s="423" t="s">
        <v>876</v>
      </c>
      <c r="C233" s="469"/>
      <c r="D233" s="469"/>
      <c r="E233" s="459" t="s">
        <v>877</v>
      </c>
      <c r="F233" s="470" t="str">
        <f t="shared" si="6"/>
        <v>SIRRIDGE FUND</v>
      </c>
      <c r="G233" s="471">
        <v>389326.57</v>
      </c>
      <c r="H233" s="472">
        <v>148550</v>
      </c>
      <c r="I233" s="472">
        <v>-4346.88</v>
      </c>
      <c r="J233" s="472">
        <v>38259.64</v>
      </c>
      <c r="K233" s="472">
        <v>0</v>
      </c>
      <c r="L233" s="472">
        <v>0</v>
      </c>
      <c r="M233" s="472">
        <f t="shared" si="7"/>
        <v>571789.3300000001</v>
      </c>
    </row>
    <row r="234" spans="1:13" ht="12.75" outlineLevel="1">
      <c r="A234" s="423" t="s">
        <v>878</v>
      </c>
      <c r="C234" s="469"/>
      <c r="D234" s="469"/>
      <c r="E234" s="459" t="s">
        <v>879</v>
      </c>
      <c r="F234" s="470" t="str">
        <f t="shared" si="6"/>
        <v>JAMES*FALLS END FUND</v>
      </c>
      <c r="G234" s="471">
        <v>-1.05</v>
      </c>
      <c r="H234" s="472">
        <v>0</v>
      </c>
      <c r="I234" s="472">
        <v>0</v>
      </c>
      <c r="J234" s="472">
        <v>0</v>
      </c>
      <c r="K234" s="472">
        <v>0</v>
      </c>
      <c r="L234" s="472">
        <v>0</v>
      </c>
      <c r="M234" s="472">
        <f t="shared" si="7"/>
        <v>-1.05</v>
      </c>
    </row>
    <row r="235" spans="1:13" ht="12.75" outlineLevel="1">
      <c r="A235" s="423" t="s">
        <v>880</v>
      </c>
      <c r="C235" s="469"/>
      <c r="D235" s="469"/>
      <c r="E235" s="459" t="s">
        <v>881</v>
      </c>
      <c r="F235" s="470" t="str">
        <f t="shared" si="6"/>
        <v>H*LYNN E*WHITE SCSP</v>
      </c>
      <c r="G235" s="471">
        <v>22993.63</v>
      </c>
      <c r="H235" s="472">
        <v>0</v>
      </c>
      <c r="I235" s="472">
        <v>-442.33</v>
      </c>
      <c r="J235" s="472">
        <v>2239.64</v>
      </c>
      <c r="K235" s="472">
        <v>0</v>
      </c>
      <c r="L235" s="472">
        <v>0</v>
      </c>
      <c r="M235" s="472">
        <f t="shared" si="7"/>
        <v>24790.94</v>
      </c>
    </row>
    <row r="236" spans="1:13" ht="12.75" outlineLevel="1">
      <c r="A236" s="423" t="s">
        <v>882</v>
      </c>
      <c r="C236" s="469"/>
      <c r="D236" s="469"/>
      <c r="E236" s="459" t="s">
        <v>883</v>
      </c>
      <c r="F236" s="470" t="str">
        <f t="shared" si="6"/>
        <v>RON GREENBAUM PROJECT</v>
      </c>
      <c r="G236" s="471">
        <v>-94.82</v>
      </c>
      <c r="H236" s="472">
        <v>0</v>
      </c>
      <c r="I236" s="472">
        <v>0</v>
      </c>
      <c r="J236" s="472">
        <v>0</v>
      </c>
      <c r="K236" s="472">
        <v>0</v>
      </c>
      <c r="L236" s="472">
        <v>94.82</v>
      </c>
      <c r="M236" s="472">
        <f t="shared" si="7"/>
        <v>0</v>
      </c>
    </row>
    <row r="237" spans="1:13" ht="12.75" outlineLevel="1">
      <c r="A237" s="423" t="s">
        <v>884</v>
      </c>
      <c r="C237" s="469"/>
      <c r="D237" s="469"/>
      <c r="E237" s="459" t="s">
        <v>885</v>
      </c>
      <c r="F237" s="470" t="str">
        <f t="shared" si="6"/>
        <v>NADINE LOUGH FUND</v>
      </c>
      <c r="G237" s="471">
        <v>43707.8</v>
      </c>
      <c r="H237" s="472">
        <v>0</v>
      </c>
      <c r="I237" s="472">
        <v>-840.78</v>
      </c>
      <c r="J237" s="472">
        <v>4257.25</v>
      </c>
      <c r="K237" s="472">
        <v>0</v>
      </c>
      <c r="L237" s="472">
        <v>0</v>
      </c>
      <c r="M237" s="472">
        <f t="shared" si="7"/>
        <v>47124.270000000004</v>
      </c>
    </row>
    <row r="238" spans="1:13" ht="12.75" outlineLevel="1">
      <c r="A238" s="423" t="s">
        <v>886</v>
      </c>
      <c r="C238" s="469"/>
      <c r="D238" s="469"/>
      <c r="E238" s="459" t="s">
        <v>887</v>
      </c>
      <c r="F238" s="470" t="str">
        <f t="shared" si="6"/>
        <v>MISSOURI PROF ACCOUTANCY</v>
      </c>
      <c r="G238" s="471">
        <v>157060</v>
      </c>
      <c r="H238" s="472">
        <v>0</v>
      </c>
      <c r="I238" s="472">
        <v>-3021.31</v>
      </c>
      <c r="J238" s="472">
        <v>15298.09</v>
      </c>
      <c r="K238" s="472">
        <v>0</v>
      </c>
      <c r="L238" s="472">
        <v>0</v>
      </c>
      <c r="M238" s="472">
        <f t="shared" si="7"/>
        <v>169336.78</v>
      </c>
    </row>
    <row r="239" spans="1:13" ht="12.75" outlineLevel="1">
      <c r="A239" s="423" t="s">
        <v>888</v>
      </c>
      <c r="C239" s="469"/>
      <c r="D239" s="469"/>
      <c r="E239" s="459" t="s">
        <v>889</v>
      </c>
      <c r="F239" s="470" t="str">
        <f t="shared" si="6"/>
        <v>FAYE KIRCHER PUBLIC SPEAK SCHP</v>
      </c>
      <c r="G239" s="471">
        <v>9700.04</v>
      </c>
      <c r="H239" s="472">
        <v>0</v>
      </c>
      <c r="I239" s="472">
        <v>-186.61</v>
      </c>
      <c r="J239" s="472">
        <v>944.81</v>
      </c>
      <c r="K239" s="472">
        <v>0</v>
      </c>
      <c r="L239" s="472">
        <v>0</v>
      </c>
      <c r="M239" s="472">
        <f t="shared" si="7"/>
        <v>10458.24</v>
      </c>
    </row>
    <row r="240" spans="1:13" ht="12.75" outlineLevel="1">
      <c r="A240" s="423" t="s">
        <v>890</v>
      </c>
      <c r="C240" s="469"/>
      <c r="D240" s="469"/>
      <c r="E240" s="459" t="s">
        <v>891</v>
      </c>
      <c r="F240" s="470" t="str">
        <f t="shared" si="6"/>
        <v>KCUR FM UNREST</v>
      </c>
      <c r="G240" s="471">
        <v>998141.68</v>
      </c>
      <c r="H240" s="472">
        <v>0</v>
      </c>
      <c r="I240" s="472">
        <v>4458.18</v>
      </c>
      <c r="J240" s="472">
        <v>23944.4</v>
      </c>
      <c r="K240" s="472">
        <v>0</v>
      </c>
      <c r="L240" s="472">
        <v>-998141.68</v>
      </c>
      <c r="M240" s="472">
        <f t="shared" si="7"/>
        <v>28402.580000000075</v>
      </c>
    </row>
    <row r="241" spans="1:13" ht="12.75" outlineLevel="1">
      <c r="A241" s="423" t="s">
        <v>892</v>
      </c>
      <c r="C241" s="469"/>
      <c r="D241" s="469"/>
      <c r="E241" s="459" t="s">
        <v>893</v>
      </c>
      <c r="F241" s="470" t="str">
        <f t="shared" si="6"/>
        <v>ABERNATHY TRUST</v>
      </c>
      <c r="G241" s="471">
        <v>71287.09</v>
      </c>
      <c r="H241" s="472">
        <v>0</v>
      </c>
      <c r="I241" s="472">
        <v>-1371.32</v>
      </c>
      <c r="J241" s="472">
        <v>6943.56</v>
      </c>
      <c r="K241" s="472">
        <v>0</v>
      </c>
      <c r="L241" s="472">
        <v>0</v>
      </c>
      <c r="M241" s="472">
        <f t="shared" si="7"/>
        <v>76859.32999999999</v>
      </c>
    </row>
    <row r="242" spans="1:13" ht="12.75" outlineLevel="1">
      <c r="A242" s="423" t="s">
        <v>894</v>
      </c>
      <c r="C242" s="469"/>
      <c r="D242" s="469"/>
      <c r="E242" s="459" t="s">
        <v>895</v>
      </c>
      <c r="F242" s="470" t="str">
        <f t="shared" si="6"/>
        <v>STANFORD SCHOLARSHIP</v>
      </c>
      <c r="G242" s="471">
        <v>38051.32</v>
      </c>
      <c r="H242" s="472">
        <v>0</v>
      </c>
      <c r="I242" s="472">
        <v>-731.96</v>
      </c>
      <c r="J242" s="472">
        <v>3706.3</v>
      </c>
      <c r="K242" s="472">
        <v>0</v>
      </c>
      <c r="L242" s="472">
        <v>0</v>
      </c>
      <c r="M242" s="472">
        <f t="shared" si="7"/>
        <v>41025.66</v>
      </c>
    </row>
    <row r="243" spans="1:13" ht="12.75" outlineLevel="1">
      <c r="A243" s="423" t="s">
        <v>896</v>
      </c>
      <c r="C243" s="469"/>
      <c r="D243" s="469"/>
      <c r="E243" s="459" t="s">
        <v>897</v>
      </c>
      <c r="F243" s="470" t="str">
        <f t="shared" si="6"/>
        <v>VIRGINIA MACKIE ENDOW</v>
      </c>
      <c r="G243" s="471">
        <v>12949.05</v>
      </c>
      <c r="H243" s="472">
        <v>10670</v>
      </c>
      <c r="I243" s="472">
        <v>21.73</v>
      </c>
      <c r="J243" s="472">
        <v>1779.49</v>
      </c>
      <c r="K243" s="472">
        <v>0</v>
      </c>
      <c r="L243" s="472">
        <v>0</v>
      </c>
      <c r="M243" s="472">
        <f t="shared" si="7"/>
        <v>25420.27</v>
      </c>
    </row>
    <row r="244" spans="1:13" ht="12.75" outlineLevel="1">
      <c r="A244" s="423" t="s">
        <v>898</v>
      </c>
      <c r="C244" s="469"/>
      <c r="D244" s="469"/>
      <c r="E244" s="459" t="s">
        <v>899</v>
      </c>
      <c r="F244" s="470" t="str">
        <f t="shared" si="6"/>
        <v>DR AND MRS STANLEY NIU ENG SCH</v>
      </c>
      <c r="G244" s="471">
        <v>18430.09</v>
      </c>
      <c r="H244" s="472">
        <v>1056.5</v>
      </c>
      <c r="I244" s="472">
        <v>-340.64</v>
      </c>
      <c r="J244" s="472">
        <v>1792.63</v>
      </c>
      <c r="K244" s="472">
        <v>0</v>
      </c>
      <c r="L244" s="472">
        <v>0</v>
      </c>
      <c r="M244" s="472">
        <f t="shared" si="7"/>
        <v>20938.58</v>
      </c>
    </row>
    <row r="245" spans="1:13" ht="12.75" outlineLevel="1">
      <c r="A245" s="423" t="s">
        <v>900</v>
      </c>
      <c r="C245" s="469"/>
      <c r="D245" s="469"/>
      <c r="E245" s="459" t="s">
        <v>901</v>
      </c>
      <c r="F245" s="470" t="str">
        <f t="shared" si="6"/>
        <v>MARTIN DANEMAN SCHOLARSHIP</v>
      </c>
      <c r="G245" s="471">
        <v>24020.3</v>
      </c>
      <c r="H245" s="472">
        <v>3200</v>
      </c>
      <c r="I245" s="472">
        <v>-339.8</v>
      </c>
      <c r="J245" s="472">
        <v>2354.02</v>
      </c>
      <c r="K245" s="472">
        <v>0</v>
      </c>
      <c r="L245" s="472">
        <v>0</v>
      </c>
      <c r="M245" s="472">
        <f t="shared" si="7"/>
        <v>29234.52</v>
      </c>
    </row>
    <row r="246" spans="1:13" ht="12.75" outlineLevel="1">
      <c r="A246" s="423" t="s">
        <v>902</v>
      </c>
      <c r="C246" s="469"/>
      <c r="D246" s="469"/>
      <c r="E246" s="459" t="s">
        <v>903</v>
      </c>
      <c r="F246" s="470" t="str">
        <f t="shared" si="6"/>
        <v>RICHARDSON K NOBACK AWARD</v>
      </c>
      <c r="G246" s="471">
        <v>34020.2</v>
      </c>
      <c r="H246" s="472">
        <v>1000</v>
      </c>
      <c r="I246" s="472">
        <v>-611.71</v>
      </c>
      <c r="J246" s="472">
        <v>3334.76</v>
      </c>
      <c r="K246" s="472">
        <v>0</v>
      </c>
      <c r="L246" s="472">
        <v>0</v>
      </c>
      <c r="M246" s="472">
        <f t="shared" si="7"/>
        <v>37743.25</v>
      </c>
    </row>
    <row r="247" spans="1:13" ht="12.75" outlineLevel="1">
      <c r="A247" s="423" t="s">
        <v>904</v>
      </c>
      <c r="C247" s="469"/>
      <c r="D247" s="469"/>
      <c r="E247" s="459" t="s">
        <v>905</v>
      </c>
      <c r="F247" s="470" t="str">
        <f t="shared" si="6"/>
        <v>SHAFFER AWARD FOR COMMNTY SERV</v>
      </c>
      <c r="G247" s="471">
        <v>17033.87</v>
      </c>
      <c r="H247" s="472">
        <v>0</v>
      </c>
      <c r="I247" s="472">
        <v>-327.67</v>
      </c>
      <c r="J247" s="472">
        <v>1659.15</v>
      </c>
      <c r="K247" s="472">
        <v>0</v>
      </c>
      <c r="L247" s="472">
        <v>0</v>
      </c>
      <c r="M247" s="472">
        <f t="shared" si="7"/>
        <v>18365.350000000002</v>
      </c>
    </row>
    <row r="248" spans="1:13" ht="12.75" outlineLevel="1">
      <c r="A248" s="423" t="s">
        <v>906</v>
      </c>
      <c r="C248" s="469"/>
      <c r="D248" s="469"/>
      <c r="E248" s="459" t="s">
        <v>907</v>
      </c>
      <c r="F248" s="444" t="str">
        <f t="shared" si="6"/>
        <v>LAURA L BACKUS AWD FOR PEDIATR</v>
      </c>
      <c r="G248" s="519">
        <v>10273.82</v>
      </c>
      <c r="H248" s="472">
        <v>325</v>
      </c>
      <c r="I248" s="472">
        <v>-186.25</v>
      </c>
      <c r="J248" s="472">
        <v>1010.1</v>
      </c>
      <c r="K248" s="472">
        <v>0</v>
      </c>
      <c r="L248" s="472">
        <v>0</v>
      </c>
      <c r="M248" s="472">
        <f t="shared" si="7"/>
        <v>11422.67</v>
      </c>
    </row>
    <row r="249" spans="1:13" ht="12.75" outlineLevel="1">
      <c r="A249" s="423" t="s">
        <v>908</v>
      </c>
      <c r="C249" s="469"/>
      <c r="D249" s="469"/>
      <c r="E249" s="459" t="s">
        <v>909</v>
      </c>
      <c r="F249" s="470" t="str">
        <f t="shared" si="6"/>
        <v>HELEN STRIFFLER RULLE SCHOL FD</v>
      </c>
      <c r="G249" s="471">
        <v>23634.38</v>
      </c>
      <c r="H249" s="472">
        <v>0</v>
      </c>
      <c r="I249" s="472">
        <v>-454.67</v>
      </c>
      <c r="J249" s="472">
        <v>2302.06</v>
      </c>
      <c r="K249" s="472">
        <v>0</v>
      </c>
      <c r="L249" s="472">
        <v>0</v>
      </c>
      <c r="M249" s="472">
        <f t="shared" si="7"/>
        <v>25481.770000000004</v>
      </c>
    </row>
    <row r="250" spans="1:13" ht="12.75" outlineLevel="1">
      <c r="A250" s="423" t="s">
        <v>910</v>
      </c>
      <c r="C250" s="469"/>
      <c r="D250" s="469"/>
      <c r="E250" s="459" t="s">
        <v>911</v>
      </c>
      <c r="F250" s="470" t="str">
        <f t="shared" si="6"/>
        <v>BRYAN ROSS BOLDEN MEMORIAL SCH</v>
      </c>
      <c r="G250" s="471">
        <v>11966.06</v>
      </c>
      <c r="H250" s="472">
        <v>370</v>
      </c>
      <c r="I250" s="472">
        <v>-224.83</v>
      </c>
      <c r="J250" s="472">
        <v>1165.83</v>
      </c>
      <c r="K250" s="472">
        <v>0</v>
      </c>
      <c r="L250" s="472">
        <v>0</v>
      </c>
      <c r="M250" s="472">
        <f t="shared" si="7"/>
        <v>13277.06</v>
      </c>
    </row>
    <row r="251" spans="1:13" ht="12.75" outlineLevel="1">
      <c r="A251" s="423" t="s">
        <v>912</v>
      </c>
      <c r="C251" s="469"/>
      <c r="D251" s="469"/>
      <c r="E251" s="459" t="s">
        <v>913</v>
      </c>
      <c r="F251" s="470" t="str">
        <f t="shared" si="6"/>
        <v>H WAYNE TWYMAN SCHOLARSHIP</v>
      </c>
      <c r="G251" s="471">
        <v>17049.19</v>
      </c>
      <c r="H251" s="472">
        <v>175</v>
      </c>
      <c r="I251" s="472">
        <v>-320.92</v>
      </c>
      <c r="J251" s="472">
        <v>1658.6</v>
      </c>
      <c r="K251" s="472">
        <v>0</v>
      </c>
      <c r="L251" s="472">
        <v>0</v>
      </c>
      <c r="M251" s="472">
        <f t="shared" si="7"/>
        <v>18561.87</v>
      </c>
    </row>
    <row r="252" spans="1:13" ht="12.75" outlineLevel="1">
      <c r="A252" s="423" t="s">
        <v>914</v>
      </c>
      <c r="C252" s="469"/>
      <c r="D252" s="469"/>
      <c r="E252" s="459" t="s">
        <v>915</v>
      </c>
      <c r="F252" s="470" t="str">
        <f t="shared" si="6"/>
        <v>PHYLLIS BERNSTEIN SCHOLARSHIP</v>
      </c>
      <c r="G252" s="471">
        <v>11470.29</v>
      </c>
      <c r="H252" s="472">
        <v>0</v>
      </c>
      <c r="I252" s="472">
        <v>-220.65</v>
      </c>
      <c r="J252" s="472">
        <v>1117.25</v>
      </c>
      <c r="K252" s="472">
        <v>0</v>
      </c>
      <c r="L252" s="472">
        <v>0</v>
      </c>
      <c r="M252" s="472">
        <f t="shared" si="7"/>
        <v>12366.890000000001</v>
      </c>
    </row>
    <row r="253" spans="1:13" ht="12.75" outlineLevel="1">
      <c r="A253" s="423" t="s">
        <v>916</v>
      </c>
      <c r="C253" s="469"/>
      <c r="D253" s="469"/>
      <c r="E253" s="459" t="s">
        <v>917</v>
      </c>
      <c r="F253" s="470" t="str">
        <f t="shared" si="6"/>
        <v>DENNIS SCHEMMEL ENDOW FD</v>
      </c>
      <c r="G253" s="471">
        <v>14115.6</v>
      </c>
      <c r="H253" s="472">
        <v>10</v>
      </c>
      <c r="I253" s="472">
        <v>358.77</v>
      </c>
      <c r="J253" s="472">
        <v>1415.17</v>
      </c>
      <c r="K253" s="472">
        <v>0</v>
      </c>
      <c r="L253" s="472">
        <v>0</v>
      </c>
      <c r="M253" s="472">
        <f t="shared" si="7"/>
        <v>15899.54</v>
      </c>
    </row>
    <row r="254" spans="1:13" ht="12.75" outlineLevel="1">
      <c r="A254" s="423" t="s">
        <v>918</v>
      </c>
      <c r="C254" s="469"/>
      <c r="D254" s="469"/>
      <c r="E254" s="459" t="s">
        <v>919</v>
      </c>
      <c r="F254" s="470" t="str">
        <f t="shared" si="6"/>
        <v>FREDERICK B JENKINS FAMILY SCH</v>
      </c>
      <c r="G254" s="471">
        <v>25569.06</v>
      </c>
      <c r="H254" s="472">
        <v>0</v>
      </c>
      <c r="I254" s="472">
        <v>-491.87</v>
      </c>
      <c r="J254" s="472">
        <v>2490.48</v>
      </c>
      <c r="K254" s="472">
        <v>0</v>
      </c>
      <c r="L254" s="472">
        <v>0</v>
      </c>
      <c r="M254" s="472">
        <f t="shared" si="7"/>
        <v>27567.670000000002</v>
      </c>
    </row>
    <row r="255" spans="1:13" ht="12.75" outlineLevel="1">
      <c r="A255" s="423" t="s">
        <v>920</v>
      </c>
      <c r="C255" s="469"/>
      <c r="D255" s="469"/>
      <c r="E255" s="459" t="s">
        <v>921</v>
      </c>
      <c r="F255" s="470" t="str">
        <f t="shared" si="6"/>
        <v>ALAN HINTZ BANKING SCHOLARSHIP</v>
      </c>
      <c r="G255" s="471">
        <v>10808.47</v>
      </c>
      <c r="H255" s="472">
        <v>0</v>
      </c>
      <c r="I255" s="472">
        <v>-207.93</v>
      </c>
      <c r="J255" s="472">
        <v>1052.75</v>
      </c>
      <c r="K255" s="472">
        <v>0</v>
      </c>
      <c r="L255" s="472">
        <v>0</v>
      </c>
      <c r="M255" s="472">
        <f t="shared" si="7"/>
        <v>11653.289999999999</v>
      </c>
    </row>
    <row r="256" spans="1:13" ht="12.75" outlineLevel="1">
      <c r="A256" s="423" t="s">
        <v>922</v>
      </c>
      <c r="C256" s="469"/>
      <c r="D256" s="469"/>
      <c r="E256" s="459" t="s">
        <v>923</v>
      </c>
      <c r="F256" s="470" t="str">
        <f t="shared" si="6"/>
        <v>CHARLENE BENTLEY SCH</v>
      </c>
      <c r="G256" s="471">
        <v>71711.6</v>
      </c>
      <c r="H256" s="472">
        <v>10000</v>
      </c>
      <c r="I256" s="472">
        <v>-868</v>
      </c>
      <c r="J256" s="472">
        <v>6953.79</v>
      </c>
      <c r="K256" s="472">
        <v>0</v>
      </c>
      <c r="L256" s="472">
        <v>0</v>
      </c>
      <c r="M256" s="472">
        <f t="shared" si="7"/>
        <v>87797.39</v>
      </c>
    </row>
    <row r="257" spans="1:13" ht="12.75" outlineLevel="1">
      <c r="A257" s="423" t="s">
        <v>924</v>
      </c>
      <c r="C257" s="469"/>
      <c r="D257" s="469"/>
      <c r="E257" s="459" t="s">
        <v>925</v>
      </c>
      <c r="F257" s="470" t="str">
        <f t="shared" si="6"/>
        <v>SHIRLEY BEAN SCHOLARSHIP</v>
      </c>
      <c r="G257" s="471">
        <v>11588.54</v>
      </c>
      <c r="H257" s="472">
        <v>225</v>
      </c>
      <c r="I257" s="472">
        <v>-219.75</v>
      </c>
      <c r="J257" s="472">
        <v>1124.18</v>
      </c>
      <c r="K257" s="472">
        <v>0</v>
      </c>
      <c r="L257" s="472">
        <v>0</v>
      </c>
      <c r="M257" s="472">
        <f t="shared" si="7"/>
        <v>12717.970000000001</v>
      </c>
    </row>
    <row r="258" spans="1:13" ht="12.75" outlineLevel="1">
      <c r="A258" s="423" t="s">
        <v>926</v>
      </c>
      <c r="C258" s="469"/>
      <c r="D258" s="469"/>
      <c r="E258" s="459" t="s">
        <v>927</v>
      </c>
      <c r="F258" s="470" t="str">
        <f t="shared" si="6"/>
        <v>RICHARD GENTILE SCHOLARSHIP</v>
      </c>
      <c r="G258" s="471">
        <v>226.59</v>
      </c>
      <c r="H258" s="472">
        <v>0</v>
      </c>
      <c r="I258" s="472">
        <v>-4.35</v>
      </c>
      <c r="J258" s="472">
        <v>22.07</v>
      </c>
      <c r="K258" s="472">
        <v>0</v>
      </c>
      <c r="L258" s="472">
        <v>0</v>
      </c>
      <c r="M258" s="472">
        <f t="shared" si="7"/>
        <v>244.31</v>
      </c>
    </row>
    <row r="259" spans="1:13" ht="12.75" outlineLevel="1">
      <c r="A259" s="423" t="s">
        <v>928</v>
      </c>
      <c r="C259" s="469"/>
      <c r="D259" s="469"/>
      <c r="E259" s="459" t="s">
        <v>929</v>
      </c>
      <c r="F259" s="470" t="str">
        <f t="shared" si="6"/>
        <v>UMKC STAFF ASSEMBLY</v>
      </c>
      <c r="G259" s="471">
        <v>12227.38</v>
      </c>
      <c r="H259" s="472">
        <v>1183.35</v>
      </c>
      <c r="I259" s="472">
        <v>313.38</v>
      </c>
      <c r="J259" s="472">
        <v>1210.4</v>
      </c>
      <c r="K259" s="472">
        <v>0</v>
      </c>
      <c r="L259" s="472">
        <v>0</v>
      </c>
      <c r="M259" s="472">
        <f t="shared" si="7"/>
        <v>14934.509999999998</v>
      </c>
    </row>
    <row r="260" spans="1:13" ht="12.75" outlineLevel="1">
      <c r="A260" s="423" t="s">
        <v>930</v>
      </c>
      <c r="C260" s="469"/>
      <c r="D260" s="469"/>
      <c r="E260" s="459" t="s">
        <v>931</v>
      </c>
      <c r="F260" s="470" t="str">
        <f t="shared" si="6"/>
        <v>EDWARD LYNCH MEMORIAL</v>
      </c>
      <c r="G260" s="471">
        <v>11854.02</v>
      </c>
      <c r="H260" s="472">
        <v>0</v>
      </c>
      <c r="I260" s="472">
        <v>-228.04</v>
      </c>
      <c r="J260" s="472">
        <v>1154.61</v>
      </c>
      <c r="K260" s="472">
        <v>0</v>
      </c>
      <c r="L260" s="472">
        <v>0</v>
      </c>
      <c r="M260" s="472">
        <f t="shared" si="7"/>
        <v>12780.59</v>
      </c>
    </row>
    <row r="261" spans="1:13" ht="12.75" outlineLevel="1">
      <c r="A261" s="423" t="s">
        <v>932</v>
      </c>
      <c r="C261" s="469"/>
      <c r="D261" s="469"/>
      <c r="E261" s="459" t="s">
        <v>933</v>
      </c>
      <c r="F261" s="470" t="str">
        <f t="shared" si="6"/>
        <v>NORMAN ROYAL PROF</v>
      </c>
      <c r="G261" s="471">
        <v>355135.91</v>
      </c>
      <c r="H261" s="472">
        <v>0</v>
      </c>
      <c r="I261" s="472">
        <v>19560.34</v>
      </c>
      <c r="J261" s="472">
        <v>-14981.6</v>
      </c>
      <c r="K261" s="472">
        <v>0</v>
      </c>
      <c r="L261" s="472">
        <v>0</v>
      </c>
      <c r="M261" s="472">
        <f t="shared" si="7"/>
        <v>359714.65</v>
      </c>
    </row>
    <row r="262" spans="1:13" ht="12.75" outlineLevel="1">
      <c r="A262" s="423" t="s">
        <v>934</v>
      </c>
      <c r="C262" s="469"/>
      <c r="D262" s="469"/>
      <c r="E262" s="459" t="s">
        <v>935</v>
      </c>
      <c r="F262" s="470" t="str">
        <f t="shared" si="6"/>
        <v>VAL RAD PROF</v>
      </c>
      <c r="G262" s="471">
        <v>594835.39</v>
      </c>
      <c r="H262" s="472">
        <v>0</v>
      </c>
      <c r="I262" s="472">
        <v>-11442.57</v>
      </c>
      <c r="J262" s="472">
        <v>57938.69</v>
      </c>
      <c r="K262" s="472">
        <v>0</v>
      </c>
      <c r="L262" s="472">
        <v>0</v>
      </c>
      <c r="M262" s="472">
        <f t="shared" si="7"/>
        <v>641331.51</v>
      </c>
    </row>
    <row r="263" spans="1:13" ht="12.75" outlineLevel="1">
      <c r="A263" s="423" t="s">
        <v>936</v>
      </c>
      <c r="C263" s="469"/>
      <c r="D263" s="469"/>
      <c r="E263" s="459" t="s">
        <v>937</v>
      </c>
      <c r="F263" s="470" t="str">
        <f t="shared" si="6"/>
        <v>RICHARD CASS PIANO SCHP</v>
      </c>
      <c r="G263" s="471">
        <v>26702.17</v>
      </c>
      <c r="H263" s="472">
        <v>800</v>
      </c>
      <c r="I263" s="472">
        <v>-476.88</v>
      </c>
      <c r="J263" s="472">
        <v>2609.13</v>
      </c>
      <c r="K263" s="472">
        <v>0</v>
      </c>
      <c r="L263" s="472">
        <v>0</v>
      </c>
      <c r="M263" s="472">
        <f t="shared" si="7"/>
        <v>29634.42</v>
      </c>
    </row>
    <row r="264" spans="1:13" ht="12.75" outlineLevel="1">
      <c r="A264" s="423" t="s">
        <v>938</v>
      </c>
      <c r="C264" s="469"/>
      <c r="D264" s="469"/>
      <c r="E264" s="459" t="s">
        <v>939</v>
      </c>
      <c r="F264" s="470" t="str">
        <f t="shared" si="6"/>
        <v>KENNETH &amp; EVA SMITH FNDTN FUND</v>
      </c>
      <c r="G264" s="471">
        <v>17174.19</v>
      </c>
      <c r="H264" s="472">
        <v>0</v>
      </c>
      <c r="I264" s="472">
        <v>0</v>
      </c>
      <c r="J264" s="472">
        <v>0</v>
      </c>
      <c r="K264" s="472">
        <v>0</v>
      </c>
      <c r="L264" s="472">
        <v>-17174.19</v>
      </c>
      <c r="M264" s="472">
        <f t="shared" si="7"/>
        <v>0</v>
      </c>
    </row>
    <row r="265" spans="1:13" ht="12.75" outlineLevel="1">
      <c r="A265" s="423" t="s">
        <v>940</v>
      </c>
      <c r="C265" s="469"/>
      <c r="D265" s="469"/>
      <c r="E265" s="459" t="s">
        <v>941</v>
      </c>
      <c r="F265" s="470" t="str">
        <f t="shared" si="6"/>
        <v>ADAM E ERICSSON ENDOW FUND</v>
      </c>
      <c r="G265" s="471">
        <v>135859.66</v>
      </c>
      <c r="H265" s="472">
        <v>0</v>
      </c>
      <c r="I265" s="472">
        <v>-2613.47</v>
      </c>
      <c r="J265" s="472">
        <v>13233.12</v>
      </c>
      <c r="K265" s="472">
        <v>0</v>
      </c>
      <c r="L265" s="472">
        <v>0</v>
      </c>
      <c r="M265" s="472">
        <f t="shared" si="7"/>
        <v>146479.31</v>
      </c>
    </row>
    <row r="266" spans="1:13" ht="12.75" outlineLevel="1">
      <c r="A266" s="423" t="s">
        <v>942</v>
      </c>
      <c r="C266" s="469"/>
      <c r="D266" s="469"/>
      <c r="E266" s="459" t="s">
        <v>943</v>
      </c>
      <c r="F266" s="470" t="str">
        <f t="shared" si="6"/>
        <v>BHARAT SHAH ACADEM SCSP ENDOW</v>
      </c>
      <c r="G266" s="471">
        <v>31031.21</v>
      </c>
      <c r="H266" s="472">
        <v>0</v>
      </c>
      <c r="I266" s="472">
        <v>-596.92</v>
      </c>
      <c r="J266" s="472">
        <v>3022.53</v>
      </c>
      <c r="K266" s="472">
        <v>0</v>
      </c>
      <c r="L266" s="472">
        <v>0</v>
      </c>
      <c r="M266" s="472">
        <f t="shared" si="7"/>
        <v>33456.82</v>
      </c>
    </row>
    <row r="267" spans="1:13" ht="12.75" outlineLevel="1">
      <c r="A267" s="423" t="s">
        <v>944</v>
      </c>
      <c r="C267" s="469"/>
      <c r="D267" s="469"/>
      <c r="E267" s="459" t="s">
        <v>945</v>
      </c>
      <c r="F267" s="470" t="str">
        <f aca="true" t="shared" si="8" ref="F267:F330">UPPER(E267)</f>
        <v>MW &amp; SS FELD</v>
      </c>
      <c r="G267" s="471">
        <v>320631.82</v>
      </c>
      <c r="H267" s="472">
        <v>0</v>
      </c>
      <c r="I267" s="472">
        <v>-6167.83</v>
      </c>
      <c r="J267" s="472">
        <v>31230.49</v>
      </c>
      <c r="K267" s="472">
        <v>0</v>
      </c>
      <c r="L267" s="472">
        <v>0</v>
      </c>
      <c r="M267" s="472">
        <f aca="true" t="shared" si="9" ref="M267:M330">G267+H267+I267+J267-K267+L267</f>
        <v>345694.48</v>
      </c>
    </row>
    <row r="268" spans="1:13" ht="12.75" outlineLevel="1">
      <c r="A268" s="423" t="s">
        <v>946</v>
      </c>
      <c r="C268" s="469"/>
      <c r="D268" s="469"/>
      <c r="E268" s="459" t="s">
        <v>947</v>
      </c>
      <c r="F268" s="470" t="str">
        <f t="shared" si="8"/>
        <v>LOEFFELHOLZ SCHP ENGINEERING</v>
      </c>
      <c r="G268" s="471">
        <v>16469.12</v>
      </c>
      <c r="H268" s="472">
        <v>0</v>
      </c>
      <c r="I268" s="472">
        <v>-316.81</v>
      </c>
      <c r="J268" s="472">
        <v>1604.11</v>
      </c>
      <c r="K268" s="472">
        <v>0</v>
      </c>
      <c r="L268" s="472">
        <v>0</v>
      </c>
      <c r="M268" s="472">
        <f t="shared" si="9"/>
        <v>17756.42</v>
      </c>
    </row>
    <row r="269" spans="1:13" ht="12.75" outlineLevel="1">
      <c r="A269" s="423" t="s">
        <v>948</v>
      </c>
      <c r="C269" s="469"/>
      <c r="D269" s="469"/>
      <c r="E269" s="459" t="s">
        <v>949</v>
      </c>
      <c r="F269" s="470" t="str">
        <f t="shared" si="8"/>
        <v>SUZANNE CRISPIN WILLIAMS FUND</v>
      </c>
      <c r="G269" s="471">
        <v>23226.85</v>
      </c>
      <c r="H269" s="472">
        <v>0</v>
      </c>
      <c r="I269" s="472">
        <v>-440.02</v>
      </c>
      <c r="J269" s="472">
        <v>2263.04</v>
      </c>
      <c r="K269" s="472">
        <v>0</v>
      </c>
      <c r="L269" s="472">
        <v>0</v>
      </c>
      <c r="M269" s="472">
        <f t="shared" si="9"/>
        <v>25049.87</v>
      </c>
    </row>
    <row r="270" spans="1:13" ht="12.75" outlineLevel="1">
      <c r="A270" s="423" t="s">
        <v>950</v>
      </c>
      <c r="C270" s="469"/>
      <c r="D270" s="469"/>
      <c r="E270" s="459" t="s">
        <v>951</v>
      </c>
      <c r="F270" s="470" t="str">
        <f t="shared" si="8"/>
        <v>DIV ACCOUNTANCY RESOURCE ENDW</v>
      </c>
      <c r="G270" s="471">
        <v>1292.95</v>
      </c>
      <c r="H270" s="472">
        <v>0</v>
      </c>
      <c r="I270" s="472">
        <v>54.43</v>
      </c>
      <c r="J270" s="472">
        <v>0</v>
      </c>
      <c r="K270" s="472">
        <v>0</v>
      </c>
      <c r="L270" s="472">
        <v>0</v>
      </c>
      <c r="M270" s="472">
        <f t="shared" si="9"/>
        <v>1347.38</v>
      </c>
    </row>
    <row r="271" spans="1:13" ht="12.75" outlineLevel="1">
      <c r="A271" s="423" t="s">
        <v>952</v>
      </c>
      <c r="C271" s="469"/>
      <c r="D271" s="469"/>
      <c r="E271" s="459" t="s">
        <v>953</v>
      </c>
      <c r="F271" s="470" t="str">
        <f t="shared" si="8"/>
        <v>EISENMAN SCHOLARSHIP</v>
      </c>
      <c r="G271" s="471">
        <v>171664.17</v>
      </c>
      <c r="H271" s="472">
        <v>0</v>
      </c>
      <c r="I271" s="472">
        <v>-3302.24</v>
      </c>
      <c r="J271" s="472">
        <v>16720.58</v>
      </c>
      <c r="K271" s="472">
        <v>0</v>
      </c>
      <c r="L271" s="472">
        <v>0</v>
      </c>
      <c r="M271" s="472">
        <f t="shared" si="9"/>
        <v>185082.51</v>
      </c>
    </row>
    <row r="272" spans="1:13" ht="12.75" outlineLevel="1">
      <c r="A272" s="423" t="s">
        <v>954</v>
      </c>
      <c r="C272" s="469"/>
      <c r="D272" s="469"/>
      <c r="E272" s="459" t="s">
        <v>955</v>
      </c>
      <c r="F272" s="470" t="str">
        <f t="shared" si="8"/>
        <v>KS DENT STUDENT SILVER LINING</v>
      </c>
      <c r="G272" s="471">
        <v>113735.11</v>
      </c>
      <c r="H272" s="472">
        <v>0</v>
      </c>
      <c r="I272" s="472">
        <v>-2187.88</v>
      </c>
      <c r="J272" s="472">
        <v>11078.11</v>
      </c>
      <c r="K272" s="472">
        <v>0</v>
      </c>
      <c r="L272" s="472">
        <v>0</v>
      </c>
      <c r="M272" s="472">
        <f t="shared" si="9"/>
        <v>122625.34</v>
      </c>
    </row>
    <row r="273" spans="1:13" ht="12.75" outlineLevel="1">
      <c r="A273" s="423" t="s">
        <v>956</v>
      </c>
      <c r="C273" s="469"/>
      <c r="D273" s="469"/>
      <c r="E273" s="459" t="s">
        <v>957</v>
      </c>
      <c r="F273" s="470" t="str">
        <f t="shared" si="8"/>
        <v>M.B. RICKARD MENTOR PROGRAM</v>
      </c>
      <c r="G273" s="471">
        <v>11537.15</v>
      </c>
      <c r="H273" s="472">
        <v>0</v>
      </c>
      <c r="I273" s="472">
        <v>-221.94</v>
      </c>
      <c r="J273" s="472">
        <v>1123.74</v>
      </c>
      <c r="K273" s="472">
        <v>0</v>
      </c>
      <c r="L273" s="472">
        <v>0</v>
      </c>
      <c r="M273" s="472">
        <f t="shared" si="9"/>
        <v>12438.949999999999</v>
      </c>
    </row>
    <row r="274" spans="1:13" ht="12.75" outlineLevel="1">
      <c r="A274" s="423" t="s">
        <v>958</v>
      </c>
      <c r="C274" s="469"/>
      <c r="D274" s="469"/>
      <c r="E274" s="459" t="s">
        <v>959</v>
      </c>
      <c r="F274" s="470" t="str">
        <f t="shared" si="8"/>
        <v>HERBERT&amp;MAXINE CHRISTENSEN SCH</v>
      </c>
      <c r="G274" s="471">
        <v>291633.88</v>
      </c>
      <c r="H274" s="472">
        <v>0</v>
      </c>
      <c r="I274" s="472">
        <v>-5610.04</v>
      </c>
      <c r="J274" s="472">
        <v>28405.97</v>
      </c>
      <c r="K274" s="472">
        <v>0</v>
      </c>
      <c r="L274" s="472">
        <v>0</v>
      </c>
      <c r="M274" s="472">
        <f t="shared" si="9"/>
        <v>314429.81000000006</v>
      </c>
    </row>
    <row r="275" spans="1:13" ht="12.75" outlineLevel="1">
      <c r="A275" s="423" t="s">
        <v>960</v>
      </c>
      <c r="C275" s="469"/>
      <c r="D275" s="469"/>
      <c r="E275" s="459" t="s">
        <v>961</v>
      </c>
      <c r="F275" s="470" t="str">
        <f t="shared" si="8"/>
        <v>TRUMAN STAUFFER SCHOLARSHIP</v>
      </c>
      <c r="G275" s="471">
        <v>60663.58</v>
      </c>
      <c r="H275" s="472">
        <v>0</v>
      </c>
      <c r="I275" s="472">
        <v>-1166.97</v>
      </c>
      <c r="J275" s="472">
        <v>5908.8</v>
      </c>
      <c r="K275" s="472">
        <v>0</v>
      </c>
      <c r="L275" s="472">
        <v>0</v>
      </c>
      <c r="M275" s="472">
        <f t="shared" si="9"/>
        <v>65405.41</v>
      </c>
    </row>
    <row r="276" spans="1:13" ht="12.75" outlineLevel="1">
      <c r="A276" s="423" t="s">
        <v>962</v>
      </c>
      <c r="C276" s="469"/>
      <c r="D276" s="469"/>
      <c r="E276" s="459" t="s">
        <v>963</v>
      </c>
      <c r="F276" s="470" t="str">
        <f t="shared" si="8"/>
        <v>RAYMOND NEEVEL MO PROFESSOR</v>
      </c>
      <c r="G276" s="471">
        <v>634182.07</v>
      </c>
      <c r="H276" s="472">
        <v>0</v>
      </c>
      <c r="I276" s="472">
        <v>-12199.45</v>
      </c>
      <c r="J276" s="472">
        <v>61771.19</v>
      </c>
      <c r="K276" s="472">
        <v>0</v>
      </c>
      <c r="L276" s="472">
        <v>0</v>
      </c>
      <c r="M276" s="472">
        <f t="shared" si="9"/>
        <v>683753.81</v>
      </c>
    </row>
    <row r="277" spans="1:13" ht="12.75" outlineLevel="1">
      <c r="A277" s="423" t="s">
        <v>964</v>
      </c>
      <c r="C277" s="469"/>
      <c r="D277" s="469"/>
      <c r="E277" s="459" t="s">
        <v>965</v>
      </c>
      <c r="F277" s="470" t="str">
        <f t="shared" si="8"/>
        <v>JOHN SCOTT SHEPHERD ENDOWMENT</v>
      </c>
      <c r="G277" s="471">
        <v>10911.94</v>
      </c>
      <c r="H277" s="472">
        <v>0</v>
      </c>
      <c r="I277" s="472">
        <v>277.2</v>
      </c>
      <c r="J277" s="472">
        <v>1094.91</v>
      </c>
      <c r="K277" s="472">
        <v>0</v>
      </c>
      <c r="L277" s="472">
        <v>0</v>
      </c>
      <c r="M277" s="472">
        <f t="shared" si="9"/>
        <v>12284.050000000001</v>
      </c>
    </row>
    <row r="278" spans="1:13" ht="12.75" outlineLevel="1">
      <c r="A278" s="423" t="s">
        <v>966</v>
      </c>
      <c r="C278" s="469"/>
      <c r="D278" s="469"/>
      <c r="E278" s="459" t="s">
        <v>967</v>
      </c>
      <c r="F278" s="470" t="str">
        <f t="shared" si="8"/>
        <v>GERALD KEMNER COMPOSITION ENDO</v>
      </c>
      <c r="G278" s="471">
        <v>17909.01</v>
      </c>
      <c r="H278" s="472">
        <v>762.5</v>
      </c>
      <c r="I278" s="472">
        <v>-314.94</v>
      </c>
      <c r="J278" s="472">
        <v>1741.69</v>
      </c>
      <c r="K278" s="472">
        <v>0</v>
      </c>
      <c r="L278" s="472">
        <v>0</v>
      </c>
      <c r="M278" s="472">
        <f t="shared" si="9"/>
        <v>20098.26</v>
      </c>
    </row>
    <row r="279" spans="1:13" ht="12.75" outlineLevel="1">
      <c r="A279" s="423" t="s">
        <v>968</v>
      </c>
      <c r="C279" s="469"/>
      <c r="D279" s="469"/>
      <c r="E279" s="459" t="s">
        <v>969</v>
      </c>
      <c r="F279" s="470" t="str">
        <f t="shared" si="8"/>
        <v>W&amp;M PERRY MED REF COLLCTION FD</v>
      </c>
      <c r="G279" s="471">
        <v>1434911.57</v>
      </c>
      <c r="H279" s="472">
        <v>0</v>
      </c>
      <c r="I279" s="472">
        <v>-27602.71</v>
      </c>
      <c r="J279" s="472">
        <v>139764.55</v>
      </c>
      <c r="K279" s="472">
        <v>0</v>
      </c>
      <c r="L279" s="472">
        <v>0</v>
      </c>
      <c r="M279" s="472">
        <f t="shared" si="9"/>
        <v>1547073.4100000001</v>
      </c>
    </row>
    <row r="280" spans="1:13" ht="12.75" outlineLevel="1">
      <c r="A280" s="423" t="s">
        <v>970</v>
      </c>
      <c r="C280" s="469"/>
      <c r="D280" s="469"/>
      <c r="E280" s="459" t="s">
        <v>971</v>
      </c>
      <c r="F280" s="470" t="str">
        <f t="shared" si="8"/>
        <v>JOHN KANDER SCHOLARSHIP ENDOW</v>
      </c>
      <c r="G280" s="471">
        <v>63333.29</v>
      </c>
      <c r="H280" s="472">
        <v>0</v>
      </c>
      <c r="I280" s="472">
        <v>-1218.32</v>
      </c>
      <c r="J280" s="472">
        <v>6168.86</v>
      </c>
      <c r="K280" s="472">
        <v>0</v>
      </c>
      <c r="L280" s="472">
        <v>0</v>
      </c>
      <c r="M280" s="472">
        <f t="shared" si="9"/>
        <v>68283.83</v>
      </c>
    </row>
    <row r="281" spans="1:13" ht="12.75" outlineLevel="1">
      <c r="A281" s="423" t="s">
        <v>972</v>
      </c>
      <c r="C281" s="469"/>
      <c r="D281" s="469"/>
      <c r="E281" s="459" t="s">
        <v>973</v>
      </c>
      <c r="F281" s="470" t="str">
        <f t="shared" si="8"/>
        <v>JOHN GUTOWSKI FUND</v>
      </c>
      <c r="G281" s="471">
        <v>15088.45</v>
      </c>
      <c r="H281" s="472">
        <v>0</v>
      </c>
      <c r="I281" s="472">
        <v>383.4</v>
      </c>
      <c r="J281" s="472">
        <v>1512.85</v>
      </c>
      <c r="K281" s="472">
        <v>0</v>
      </c>
      <c r="L281" s="472">
        <v>0</v>
      </c>
      <c r="M281" s="472">
        <f t="shared" si="9"/>
        <v>16984.7</v>
      </c>
    </row>
    <row r="282" spans="1:13" ht="12.75" outlineLevel="1">
      <c r="A282" s="423" t="s">
        <v>974</v>
      </c>
      <c r="C282" s="469"/>
      <c r="D282" s="469"/>
      <c r="E282" s="459" t="s">
        <v>975</v>
      </c>
      <c r="F282" s="470" t="str">
        <f t="shared" si="8"/>
        <v>RUTH MARGOLIN LEADERSHIP ENDOW</v>
      </c>
      <c r="G282" s="471">
        <v>15923.55</v>
      </c>
      <c r="H282" s="472">
        <v>0</v>
      </c>
      <c r="I282" s="472">
        <v>-293.97</v>
      </c>
      <c r="J282" s="472">
        <v>1552.18</v>
      </c>
      <c r="K282" s="472">
        <v>0</v>
      </c>
      <c r="L282" s="472">
        <v>0</v>
      </c>
      <c r="M282" s="472">
        <f t="shared" si="9"/>
        <v>17181.76</v>
      </c>
    </row>
    <row r="283" spans="1:13" ht="12.75" outlineLevel="1">
      <c r="A283" s="423" t="s">
        <v>976</v>
      </c>
      <c r="C283" s="469"/>
      <c r="D283" s="469"/>
      <c r="E283" s="459" t="s">
        <v>977</v>
      </c>
      <c r="F283" s="470" t="str">
        <f t="shared" si="8"/>
        <v>WOMEN'S CENTER ENDOWMENT</v>
      </c>
      <c r="G283" s="471">
        <v>259.19</v>
      </c>
      <c r="H283" s="472">
        <v>0</v>
      </c>
      <c r="I283" s="472">
        <v>6.59</v>
      </c>
      <c r="J283" s="472">
        <v>25.99</v>
      </c>
      <c r="K283" s="472">
        <v>0</v>
      </c>
      <c r="L283" s="472">
        <v>0</v>
      </c>
      <c r="M283" s="472">
        <f t="shared" si="9"/>
        <v>291.77</v>
      </c>
    </row>
    <row r="284" spans="1:13" ht="12.75" outlineLevel="1">
      <c r="A284" s="423" t="s">
        <v>978</v>
      </c>
      <c r="C284" s="469"/>
      <c r="D284" s="469"/>
      <c r="E284" s="459" t="s">
        <v>979</v>
      </c>
      <c r="F284" s="470" t="str">
        <f t="shared" si="8"/>
        <v>CHARMAINE ASHER-WILEY SCHOLARS</v>
      </c>
      <c r="G284" s="471">
        <v>380.93</v>
      </c>
      <c r="H284" s="472">
        <v>10</v>
      </c>
      <c r="I284" s="472">
        <v>9.78</v>
      </c>
      <c r="J284" s="472">
        <v>37.96</v>
      </c>
      <c r="K284" s="472">
        <v>0</v>
      </c>
      <c r="L284" s="472">
        <v>0</v>
      </c>
      <c r="M284" s="472">
        <f t="shared" si="9"/>
        <v>438.66999999999996</v>
      </c>
    </row>
    <row r="285" spans="1:13" ht="12.75" outlineLevel="1">
      <c r="A285" s="423" t="s">
        <v>980</v>
      </c>
      <c r="C285" s="469"/>
      <c r="D285" s="469"/>
      <c r="E285" s="459" t="s">
        <v>3948</v>
      </c>
      <c r="F285" s="470" t="str">
        <f t="shared" si="8"/>
        <v>RALPH I.PARISH JR. MEMOR SCHOL</v>
      </c>
      <c r="G285" s="471">
        <v>13714.58</v>
      </c>
      <c r="H285" s="472">
        <v>600</v>
      </c>
      <c r="I285" s="472">
        <v>-249.32</v>
      </c>
      <c r="J285" s="472">
        <v>1324.45</v>
      </c>
      <c r="K285" s="472">
        <v>0</v>
      </c>
      <c r="L285" s="472">
        <v>0</v>
      </c>
      <c r="M285" s="472">
        <f t="shared" si="9"/>
        <v>15389.710000000001</v>
      </c>
    </row>
    <row r="286" spans="1:13" ht="12.75" outlineLevel="1">
      <c r="A286" s="423" t="s">
        <v>3949</v>
      </c>
      <c r="C286" s="469"/>
      <c r="D286" s="469"/>
      <c r="E286" s="459" t="s">
        <v>3950</v>
      </c>
      <c r="F286" s="470" t="str">
        <f t="shared" si="8"/>
        <v>RUTH TULEY SCHOLARSHIP</v>
      </c>
      <c r="G286" s="471">
        <v>68862.53</v>
      </c>
      <c r="H286" s="472">
        <v>0</v>
      </c>
      <c r="I286" s="472">
        <v>-1324.67</v>
      </c>
      <c r="J286" s="472">
        <v>6707.41</v>
      </c>
      <c r="K286" s="472">
        <v>0</v>
      </c>
      <c r="L286" s="472">
        <v>0</v>
      </c>
      <c r="M286" s="472">
        <f t="shared" si="9"/>
        <v>74245.27</v>
      </c>
    </row>
    <row r="287" spans="1:13" ht="12.75" outlineLevel="1">
      <c r="A287" s="423" t="s">
        <v>3951</v>
      </c>
      <c r="C287" s="469"/>
      <c r="D287" s="469"/>
      <c r="E287" s="459" t="s">
        <v>3952</v>
      </c>
      <c r="F287" s="470" t="str">
        <f t="shared" si="8"/>
        <v>EVERETT TROST SCHOLARSHIP</v>
      </c>
      <c r="G287" s="471">
        <v>250360.9</v>
      </c>
      <c r="H287" s="472">
        <v>0</v>
      </c>
      <c r="I287" s="472">
        <v>-4816.07</v>
      </c>
      <c r="J287" s="472">
        <v>24385.89</v>
      </c>
      <c r="K287" s="472">
        <v>0</v>
      </c>
      <c r="L287" s="472">
        <v>0</v>
      </c>
      <c r="M287" s="472">
        <f t="shared" si="9"/>
        <v>269930.72</v>
      </c>
    </row>
    <row r="288" spans="1:13" ht="12.75" outlineLevel="1">
      <c r="A288" s="423" t="s">
        <v>3953</v>
      </c>
      <c r="C288" s="469"/>
      <c r="D288" s="469"/>
      <c r="E288" s="459" t="s">
        <v>3954</v>
      </c>
      <c r="F288" s="470" t="str">
        <f t="shared" si="8"/>
        <v>DICKSON CHAIR</v>
      </c>
      <c r="G288" s="471">
        <v>1401987.49</v>
      </c>
      <c r="H288" s="472">
        <v>0</v>
      </c>
      <c r="I288" s="472">
        <v>-26969.36</v>
      </c>
      <c r="J288" s="472">
        <v>136557.66</v>
      </c>
      <c r="K288" s="472">
        <v>0</v>
      </c>
      <c r="L288" s="472">
        <v>0</v>
      </c>
      <c r="M288" s="472">
        <f t="shared" si="9"/>
        <v>1511575.7899999998</v>
      </c>
    </row>
    <row r="289" spans="1:13" ht="12.75" outlineLevel="1">
      <c r="A289" s="423" t="s">
        <v>3955</v>
      </c>
      <c r="C289" s="469"/>
      <c r="D289" s="469"/>
      <c r="E289" s="459" t="s">
        <v>3956</v>
      </c>
      <c r="F289" s="470" t="str">
        <f t="shared" si="8"/>
        <v>WILLIAM &amp; FAY SOLLNER SCHP</v>
      </c>
      <c r="G289" s="471">
        <v>20417.97</v>
      </c>
      <c r="H289" s="472">
        <v>5000</v>
      </c>
      <c r="I289" s="472">
        <v>-200.46</v>
      </c>
      <c r="J289" s="472">
        <v>2164.68</v>
      </c>
      <c r="K289" s="472">
        <v>0</v>
      </c>
      <c r="L289" s="472">
        <v>5000</v>
      </c>
      <c r="M289" s="472">
        <f t="shared" si="9"/>
        <v>32382.190000000002</v>
      </c>
    </row>
    <row r="290" spans="1:13" ht="12.75" outlineLevel="1">
      <c r="A290" s="423" t="s">
        <v>3957</v>
      </c>
      <c r="C290" s="469"/>
      <c r="D290" s="469"/>
      <c r="E290" s="459" t="s">
        <v>3958</v>
      </c>
      <c r="F290" s="470" t="str">
        <f t="shared" si="8"/>
        <v>LEE MARTS SCHOLARSHIP</v>
      </c>
      <c r="G290" s="471">
        <v>13046.59</v>
      </c>
      <c r="H290" s="472">
        <v>0</v>
      </c>
      <c r="I290" s="472">
        <v>-250.97</v>
      </c>
      <c r="J290" s="472">
        <v>1270.78</v>
      </c>
      <c r="K290" s="472">
        <v>0</v>
      </c>
      <c r="L290" s="472">
        <v>0</v>
      </c>
      <c r="M290" s="472">
        <f t="shared" si="9"/>
        <v>14066.400000000001</v>
      </c>
    </row>
    <row r="291" spans="1:13" ht="12.75" outlineLevel="1">
      <c r="A291" s="423" t="s">
        <v>3959</v>
      </c>
      <c r="C291" s="469"/>
      <c r="D291" s="469"/>
      <c r="E291" s="459" t="s">
        <v>981</v>
      </c>
      <c r="F291" s="470" t="str">
        <f t="shared" si="8"/>
        <v>ELMER F. PIERSON TEACHNG AWARD</v>
      </c>
      <c r="G291" s="471">
        <v>0</v>
      </c>
      <c r="H291" s="472">
        <v>0</v>
      </c>
      <c r="I291" s="472">
        <v>-1011.62</v>
      </c>
      <c r="J291" s="472">
        <v>5122.27</v>
      </c>
      <c r="K291" s="472">
        <v>0</v>
      </c>
      <c r="L291" s="472">
        <v>52588.35</v>
      </c>
      <c r="M291" s="472">
        <f t="shared" si="9"/>
        <v>56699</v>
      </c>
    </row>
    <row r="292" spans="1:13" ht="12.75" outlineLevel="1">
      <c r="A292" s="423" t="s">
        <v>982</v>
      </c>
      <c r="C292" s="469"/>
      <c r="D292" s="469"/>
      <c r="E292" s="459" t="s">
        <v>983</v>
      </c>
      <c r="F292" s="470" t="str">
        <f t="shared" si="8"/>
        <v>HUBERT J. CHARTRAND PIANS SCHP</v>
      </c>
      <c r="G292" s="471">
        <v>86107.01</v>
      </c>
      <c r="H292" s="472">
        <v>0</v>
      </c>
      <c r="I292" s="472">
        <v>-1656.4</v>
      </c>
      <c r="J292" s="472">
        <v>8387.06</v>
      </c>
      <c r="K292" s="472">
        <v>0</v>
      </c>
      <c r="L292" s="472">
        <v>0</v>
      </c>
      <c r="M292" s="472">
        <f t="shared" si="9"/>
        <v>92837.67</v>
      </c>
    </row>
    <row r="293" spans="1:13" ht="12.75" outlineLevel="1">
      <c r="A293" s="423" t="s">
        <v>984</v>
      </c>
      <c r="C293" s="469"/>
      <c r="D293" s="469"/>
      <c r="E293" s="459" t="s">
        <v>985</v>
      </c>
      <c r="F293" s="470" t="str">
        <f t="shared" si="8"/>
        <v>BUD PERSONS MEMORIAL SCHP</v>
      </c>
      <c r="G293" s="471">
        <v>5585.32</v>
      </c>
      <c r="H293" s="472">
        <v>5000</v>
      </c>
      <c r="I293" s="472">
        <v>-44.46</v>
      </c>
      <c r="J293" s="472">
        <v>451.47</v>
      </c>
      <c r="K293" s="472">
        <v>0</v>
      </c>
      <c r="L293" s="472">
        <v>5000</v>
      </c>
      <c r="M293" s="472">
        <f t="shared" si="9"/>
        <v>15992.33</v>
      </c>
    </row>
    <row r="294" spans="1:13" ht="12.75" outlineLevel="1">
      <c r="A294" s="423" t="s">
        <v>986</v>
      </c>
      <c r="C294" s="469"/>
      <c r="D294" s="469"/>
      <c r="E294" s="459" t="s">
        <v>987</v>
      </c>
      <c r="F294" s="470" t="str">
        <f t="shared" si="8"/>
        <v>LEE A TAKATS SCHOLARSHIP FUND</v>
      </c>
      <c r="G294" s="471">
        <v>24479.87</v>
      </c>
      <c r="H294" s="472">
        <v>5000</v>
      </c>
      <c r="I294" s="472">
        <v>-299.99</v>
      </c>
      <c r="J294" s="472">
        <v>2378.43</v>
      </c>
      <c r="K294" s="472">
        <v>0</v>
      </c>
      <c r="L294" s="472">
        <v>413.37</v>
      </c>
      <c r="M294" s="472">
        <f t="shared" si="9"/>
        <v>31971.679999999997</v>
      </c>
    </row>
    <row r="295" spans="1:13" ht="12.75" outlineLevel="1">
      <c r="A295" s="423" t="s">
        <v>988</v>
      </c>
      <c r="C295" s="469"/>
      <c r="D295" s="469"/>
      <c r="E295" s="459" t="s">
        <v>989</v>
      </c>
      <c r="F295" s="470" t="str">
        <f t="shared" si="8"/>
        <v>EPH EHLY CHORAL CONDUCTING SCH</v>
      </c>
      <c r="G295" s="471">
        <v>17043.31</v>
      </c>
      <c r="H295" s="472">
        <v>820</v>
      </c>
      <c r="I295" s="472">
        <v>-275.93</v>
      </c>
      <c r="J295" s="472">
        <v>1663.74</v>
      </c>
      <c r="K295" s="472">
        <v>0</v>
      </c>
      <c r="L295" s="472">
        <v>0</v>
      </c>
      <c r="M295" s="472">
        <f t="shared" si="9"/>
        <v>19251.120000000003</v>
      </c>
    </row>
    <row r="296" spans="1:13" ht="12.75" outlineLevel="1">
      <c r="A296" s="423" t="s">
        <v>990</v>
      </c>
      <c r="C296" s="469"/>
      <c r="D296" s="469"/>
      <c r="E296" s="459" t="s">
        <v>991</v>
      </c>
      <c r="F296" s="444" t="str">
        <f t="shared" si="8"/>
        <v>EUGENE W J PEARCE AWARD FOR EX</v>
      </c>
      <c r="G296" s="519">
        <v>23112.05</v>
      </c>
      <c r="H296" s="472">
        <v>0</v>
      </c>
      <c r="I296" s="472">
        <v>-444.58</v>
      </c>
      <c r="J296" s="472">
        <v>2251.16</v>
      </c>
      <c r="K296" s="472">
        <v>0</v>
      </c>
      <c r="L296" s="472">
        <v>0</v>
      </c>
      <c r="M296" s="472">
        <f t="shared" si="9"/>
        <v>24918.629999999997</v>
      </c>
    </row>
    <row r="297" spans="1:13" ht="12.75" outlineLevel="1">
      <c r="A297" s="423" t="s">
        <v>992</v>
      </c>
      <c r="C297" s="469"/>
      <c r="D297" s="469"/>
      <c r="E297" s="459" t="s">
        <v>993</v>
      </c>
      <c r="F297" s="470" t="str">
        <f t="shared" si="8"/>
        <v>JAMES &amp; KATHERYN TAYLOR SCHLP</v>
      </c>
      <c r="G297" s="471">
        <v>20321.27</v>
      </c>
      <c r="H297" s="472">
        <v>0</v>
      </c>
      <c r="I297" s="472">
        <v>-390.92</v>
      </c>
      <c r="J297" s="472">
        <v>1979.34</v>
      </c>
      <c r="K297" s="472">
        <v>0</v>
      </c>
      <c r="L297" s="472">
        <v>0</v>
      </c>
      <c r="M297" s="472">
        <f t="shared" si="9"/>
        <v>21909.690000000002</v>
      </c>
    </row>
    <row r="298" spans="1:13" ht="12.75" outlineLevel="1">
      <c r="A298" s="423" t="s">
        <v>994</v>
      </c>
      <c r="C298" s="469"/>
      <c r="D298" s="469"/>
      <c r="E298" s="459" t="s">
        <v>995</v>
      </c>
      <c r="F298" s="470" t="str">
        <f t="shared" si="8"/>
        <v>TERRY &amp; KATHLEEN MYERS SCHLP</v>
      </c>
      <c r="G298" s="471">
        <v>7607.6</v>
      </c>
      <c r="H298" s="472">
        <v>0</v>
      </c>
      <c r="I298" s="472">
        <v>193.27</v>
      </c>
      <c r="J298" s="472">
        <v>762.7</v>
      </c>
      <c r="K298" s="472">
        <v>0</v>
      </c>
      <c r="L298" s="472">
        <v>0</v>
      </c>
      <c r="M298" s="472">
        <f t="shared" si="9"/>
        <v>8563.570000000002</v>
      </c>
    </row>
    <row r="299" spans="1:13" ht="12.75" outlineLevel="1">
      <c r="A299" s="423" t="s">
        <v>996</v>
      </c>
      <c r="C299" s="469"/>
      <c r="D299" s="469"/>
      <c r="E299" s="459" t="s">
        <v>997</v>
      </c>
      <c r="F299" s="470" t="str">
        <f t="shared" si="8"/>
        <v>LIBRARIAN AWARD</v>
      </c>
      <c r="G299" s="471">
        <v>1224.81</v>
      </c>
      <c r="H299" s="472">
        <v>0</v>
      </c>
      <c r="I299" s="472">
        <v>31.1</v>
      </c>
      <c r="J299" s="472">
        <v>122.87</v>
      </c>
      <c r="K299" s="472">
        <v>0</v>
      </c>
      <c r="L299" s="472">
        <v>0</v>
      </c>
      <c r="M299" s="472">
        <f t="shared" si="9"/>
        <v>1378.7799999999997</v>
      </c>
    </row>
    <row r="300" spans="1:13" ht="12.75" outlineLevel="1">
      <c r="A300" s="423" t="s">
        <v>998</v>
      </c>
      <c r="C300" s="469"/>
      <c r="D300" s="469"/>
      <c r="E300" s="459" t="s">
        <v>999</v>
      </c>
      <c r="F300" s="470" t="str">
        <f t="shared" si="8"/>
        <v>FARNSWORTH SCHOLARSHIP</v>
      </c>
      <c r="G300" s="471">
        <v>5986.3</v>
      </c>
      <c r="H300" s="472">
        <v>1501</v>
      </c>
      <c r="I300" s="472">
        <v>174.44</v>
      </c>
      <c r="J300" s="472">
        <v>592.56</v>
      </c>
      <c r="K300" s="472">
        <v>0</v>
      </c>
      <c r="L300" s="472">
        <v>0</v>
      </c>
      <c r="M300" s="472">
        <f t="shared" si="9"/>
        <v>8254.3</v>
      </c>
    </row>
    <row r="301" spans="1:13" ht="12.75" outlineLevel="1">
      <c r="A301" s="423" t="s">
        <v>1000</v>
      </c>
      <c r="C301" s="469"/>
      <c r="D301" s="469"/>
      <c r="E301" s="459" t="s">
        <v>1001</v>
      </c>
      <c r="F301" s="470" t="str">
        <f t="shared" si="8"/>
        <v>GREAT PLAINS DSTNGUISH FELLOWS</v>
      </c>
      <c r="G301" s="471">
        <v>28216.62</v>
      </c>
      <c r="H301" s="472">
        <v>39</v>
      </c>
      <c r="I301" s="472">
        <v>717.85</v>
      </c>
      <c r="J301" s="472">
        <v>2831.79</v>
      </c>
      <c r="K301" s="472">
        <v>0</v>
      </c>
      <c r="L301" s="472">
        <v>0</v>
      </c>
      <c r="M301" s="472">
        <f t="shared" si="9"/>
        <v>31805.26</v>
      </c>
    </row>
    <row r="302" spans="1:13" ht="12.75" outlineLevel="1">
      <c r="A302" s="423" t="s">
        <v>1002</v>
      </c>
      <c r="C302" s="469"/>
      <c r="D302" s="469"/>
      <c r="E302" s="459" t="s">
        <v>1003</v>
      </c>
      <c r="F302" s="470" t="str">
        <f t="shared" si="8"/>
        <v>F. CULLINAN &amp; B. SMITH SCHLP</v>
      </c>
      <c r="G302" s="471">
        <v>13147.09</v>
      </c>
      <c r="H302" s="472">
        <v>0</v>
      </c>
      <c r="I302" s="472">
        <v>-252.91</v>
      </c>
      <c r="J302" s="472">
        <v>1280.58</v>
      </c>
      <c r="K302" s="472">
        <v>0</v>
      </c>
      <c r="L302" s="472">
        <v>0</v>
      </c>
      <c r="M302" s="472">
        <f t="shared" si="9"/>
        <v>14174.76</v>
      </c>
    </row>
    <row r="303" spans="1:13" ht="12.75" outlineLevel="1">
      <c r="A303" s="423" t="s">
        <v>1004</v>
      </c>
      <c r="C303" s="469"/>
      <c r="D303" s="469"/>
      <c r="E303" s="459" t="s">
        <v>1005</v>
      </c>
      <c r="F303" s="470" t="str">
        <f t="shared" si="8"/>
        <v>MAIER PIANO SCHOLARSHIP FUND</v>
      </c>
      <c r="G303" s="471">
        <v>128837.41</v>
      </c>
      <c r="H303" s="472">
        <v>0</v>
      </c>
      <c r="I303" s="472">
        <v>-2479.96</v>
      </c>
      <c r="J303" s="472">
        <v>12549.14</v>
      </c>
      <c r="K303" s="472">
        <v>379</v>
      </c>
      <c r="L303" s="472">
        <v>0</v>
      </c>
      <c r="M303" s="472">
        <f t="shared" si="9"/>
        <v>138527.59</v>
      </c>
    </row>
    <row r="304" spans="1:13" ht="12.75" outlineLevel="1">
      <c r="A304" s="423" t="s">
        <v>1006</v>
      </c>
      <c r="C304" s="469"/>
      <c r="D304" s="469"/>
      <c r="E304" s="459" t="s">
        <v>1007</v>
      </c>
      <c r="F304" s="470" t="str">
        <f t="shared" si="8"/>
        <v>BIERMAN/WAMPLER SCHP</v>
      </c>
      <c r="G304" s="471">
        <v>3839.21</v>
      </c>
      <c r="H304" s="472">
        <v>1000</v>
      </c>
      <c r="I304" s="472">
        <v>111.67</v>
      </c>
      <c r="J304" s="472">
        <v>362.12</v>
      </c>
      <c r="K304" s="472">
        <v>0</v>
      </c>
      <c r="L304" s="472">
        <v>0</v>
      </c>
      <c r="M304" s="472">
        <f t="shared" si="9"/>
        <v>5313</v>
      </c>
    </row>
    <row r="305" spans="1:13" ht="12.75" outlineLevel="1">
      <c r="A305" s="423" t="s">
        <v>1008</v>
      </c>
      <c r="C305" s="469"/>
      <c r="D305" s="469"/>
      <c r="E305" s="459" t="s">
        <v>1009</v>
      </c>
      <c r="F305" s="470" t="str">
        <f t="shared" si="8"/>
        <v>DR. AGAPITO MENDOZA SCHLP</v>
      </c>
      <c r="G305" s="471">
        <v>10259.61</v>
      </c>
      <c r="H305" s="472">
        <v>21864.96</v>
      </c>
      <c r="I305" s="472">
        <v>678.98</v>
      </c>
      <c r="J305" s="472">
        <v>1928.77</v>
      </c>
      <c r="K305" s="472">
        <v>0</v>
      </c>
      <c r="L305" s="472">
        <v>0</v>
      </c>
      <c r="M305" s="472">
        <f t="shared" si="9"/>
        <v>34732.32</v>
      </c>
    </row>
    <row r="306" spans="1:13" ht="12.75" outlineLevel="1">
      <c r="A306" s="423" t="s">
        <v>1010</v>
      </c>
      <c r="C306" s="469"/>
      <c r="D306" s="469"/>
      <c r="E306" s="459" t="s">
        <v>1011</v>
      </c>
      <c r="F306" s="470" t="str">
        <f t="shared" si="8"/>
        <v>WANDA LATHOM-RADOCY MUSIC SCHL</v>
      </c>
      <c r="G306" s="471">
        <v>225.27</v>
      </c>
      <c r="H306" s="472">
        <v>10920</v>
      </c>
      <c r="I306" s="472">
        <v>82.79</v>
      </c>
      <c r="J306" s="472">
        <v>-53.32</v>
      </c>
      <c r="K306" s="472">
        <v>0</v>
      </c>
      <c r="L306" s="472">
        <v>0</v>
      </c>
      <c r="M306" s="472">
        <f t="shared" si="9"/>
        <v>11174.740000000002</v>
      </c>
    </row>
    <row r="307" spans="1:13" ht="12.75" outlineLevel="1">
      <c r="A307" s="423" t="s">
        <v>1012</v>
      </c>
      <c r="C307" s="469"/>
      <c r="D307" s="469"/>
      <c r="E307" s="459" t="s">
        <v>1013</v>
      </c>
      <c r="F307" s="470" t="str">
        <f t="shared" si="8"/>
        <v>SUZANNE ZUBER SCHOLARSHIP</v>
      </c>
      <c r="G307" s="471">
        <v>32960.95</v>
      </c>
      <c r="H307" s="472">
        <v>0</v>
      </c>
      <c r="I307" s="472">
        <v>-648.57</v>
      </c>
      <c r="J307" s="472">
        <v>3209.05</v>
      </c>
      <c r="K307" s="472">
        <v>0</v>
      </c>
      <c r="L307" s="472">
        <v>0</v>
      </c>
      <c r="M307" s="472">
        <f t="shared" si="9"/>
        <v>35521.43</v>
      </c>
    </row>
    <row r="308" spans="1:13" ht="12.75" outlineLevel="1">
      <c r="A308" s="423" t="s">
        <v>1014</v>
      </c>
      <c r="C308" s="469"/>
      <c r="D308" s="469"/>
      <c r="E308" s="459" t="s">
        <v>1015</v>
      </c>
      <c r="F308" s="470" t="str">
        <f t="shared" si="8"/>
        <v>AMANDA HARMAN SCHOLARSHIP</v>
      </c>
      <c r="G308" s="471">
        <v>13488.9</v>
      </c>
      <c r="H308" s="472">
        <v>0</v>
      </c>
      <c r="I308" s="472">
        <v>-259.49</v>
      </c>
      <c r="J308" s="472">
        <v>1313.86</v>
      </c>
      <c r="K308" s="472">
        <v>0</v>
      </c>
      <c r="L308" s="472">
        <v>0</v>
      </c>
      <c r="M308" s="472">
        <f t="shared" si="9"/>
        <v>14543.27</v>
      </c>
    </row>
    <row r="309" spans="1:13" ht="12.75" outlineLevel="1">
      <c r="A309" s="423" t="s">
        <v>1016</v>
      </c>
      <c r="C309" s="469"/>
      <c r="D309" s="469"/>
      <c r="E309" s="459" t="s">
        <v>1017</v>
      </c>
      <c r="F309" s="470" t="str">
        <f t="shared" si="8"/>
        <v>LEROY POGEMILLER SCHOLARSHIP</v>
      </c>
      <c r="G309" s="471">
        <v>14396.22</v>
      </c>
      <c r="H309" s="472">
        <v>762.5</v>
      </c>
      <c r="I309" s="472">
        <v>376.41</v>
      </c>
      <c r="J309" s="472">
        <v>1444</v>
      </c>
      <c r="K309" s="472">
        <v>0</v>
      </c>
      <c r="L309" s="472">
        <v>0</v>
      </c>
      <c r="M309" s="472">
        <f t="shared" si="9"/>
        <v>16979.129999999997</v>
      </c>
    </row>
    <row r="310" spans="1:13" ht="12.75" outlineLevel="1">
      <c r="A310" s="423" t="s">
        <v>1018</v>
      </c>
      <c r="C310" s="469"/>
      <c r="D310" s="469"/>
      <c r="E310" s="459" t="s">
        <v>1019</v>
      </c>
      <c r="F310" s="470" t="str">
        <f t="shared" si="8"/>
        <v>JOANNE BAKER SCHOLARSHIP</v>
      </c>
      <c r="G310" s="471">
        <v>28181.56</v>
      </c>
      <c r="H310" s="472">
        <v>15975</v>
      </c>
      <c r="I310" s="472">
        <v>-46.43</v>
      </c>
      <c r="J310" s="472">
        <v>2480.77</v>
      </c>
      <c r="K310" s="472">
        <v>0</v>
      </c>
      <c r="L310" s="472">
        <v>7500</v>
      </c>
      <c r="M310" s="472">
        <f t="shared" si="9"/>
        <v>54090.899999999994</v>
      </c>
    </row>
    <row r="311" spans="1:13" ht="12.75" outlineLevel="1">
      <c r="A311" s="423" t="s">
        <v>1020</v>
      </c>
      <c r="C311" s="469"/>
      <c r="D311" s="469"/>
      <c r="E311" s="459" t="s">
        <v>1021</v>
      </c>
      <c r="F311" s="470" t="str">
        <f t="shared" si="8"/>
        <v>DR. DOWGRAY MEMORIAL FUND</v>
      </c>
      <c r="G311" s="471">
        <v>413.37</v>
      </c>
      <c r="H311" s="472">
        <v>0</v>
      </c>
      <c r="I311" s="472">
        <v>0</v>
      </c>
      <c r="J311" s="472">
        <v>0</v>
      </c>
      <c r="K311" s="472">
        <v>0</v>
      </c>
      <c r="L311" s="472">
        <v>-413.37</v>
      </c>
      <c r="M311" s="472">
        <f t="shared" si="9"/>
        <v>0</v>
      </c>
    </row>
    <row r="312" spans="1:13" ht="12.75" outlineLevel="1">
      <c r="A312" s="423" t="s">
        <v>1022</v>
      </c>
      <c r="C312" s="469"/>
      <c r="D312" s="469"/>
      <c r="E312" s="459" t="s">
        <v>1023</v>
      </c>
      <c r="F312" s="470" t="str">
        <f t="shared" si="8"/>
        <v>FRANCIS J SCHINDLER PIANO SCHL</v>
      </c>
      <c r="G312" s="471">
        <v>16308.42</v>
      </c>
      <c r="H312" s="472">
        <v>50</v>
      </c>
      <c r="I312" s="472">
        <v>-310.64</v>
      </c>
      <c r="J312" s="472">
        <v>1589.63</v>
      </c>
      <c r="K312" s="472">
        <v>0</v>
      </c>
      <c r="L312" s="472">
        <v>0</v>
      </c>
      <c r="M312" s="472">
        <f t="shared" si="9"/>
        <v>17637.41</v>
      </c>
    </row>
    <row r="313" spans="1:13" ht="12.75" outlineLevel="1">
      <c r="A313" s="423" t="s">
        <v>1024</v>
      </c>
      <c r="C313" s="469"/>
      <c r="D313" s="469"/>
      <c r="E313" s="459" t="s">
        <v>1025</v>
      </c>
      <c r="F313" s="470" t="str">
        <f t="shared" si="8"/>
        <v>TIBERIUS KLAUSNER SCHOLARSHIP</v>
      </c>
      <c r="G313" s="471">
        <v>62878.57</v>
      </c>
      <c r="H313" s="472">
        <v>400</v>
      </c>
      <c r="I313" s="472">
        <v>-1199.07</v>
      </c>
      <c r="J313" s="472">
        <v>6137.19</v>
      </c>
      <c r="K313" s="472">
        <v>0</v>
      </c>
      <c r="L313" s="472">
        <v>0</v>
      </c>
      <c r="M313" s="472">
        <f t="shared" si="9"/>
        <v>68216.69</v>
      </c>
    </row>
    <row r="314" spans="1:13" ht="12.75" outlineLevel="1">
      <c r="A314" s="423" t="s">
        <v>1026</v>
      </c>
      <c r="C314" s="469"/>
      <c r="D314" s="469"/>
      <c r="E314" s="459" t="s">
        <v>1027</v>
      </c>
      <c r="F314" s="470" t="str">
        <f t="shared" si="8"/>
        <v>GOPPERT FOUNDATION</v>
      </c>
      <c r="G314" s="471">
        <v>321463.4</v>
      </c>
      <c r="H314" s="472">
        <v>0</v>
      </c>
      <c r="I314" s="472">
        <v>-332.61</v>
      </c>
      <c r="J314" s="472">
        <v>31892.17</v>
      </c>
      <c r="K314" s="472">
        <v>0</v>
      </c>
      <c r="L314" s="472">
        <v>0</v>
      </c>
      <c r="M314" s="472">
        <f t="shared" si="9"/>
        <v>353022.96</v>
      </c>
    </row>
    <row r="315" spans="1:13" ht="12.75" outlineLevel="1">
      <c r="A315" s="423" t="s">
        <v>1028</v>
      </c>
      <c r="C315" s="469"/>
      <c r="D315" s="469"/>
      <c r="E315" s="459" t="s">
        <v>1029</v>
      </c>
      <c r="F315" s="470" t="str">
        <f t="shared" si="8"/>
        <v>ALUMNI ASSURING FUTURE SCHLP</v>
      </c>
      <c r="G315" s="471">
        <v>24089.61</v>
      </c>
      <c r="H315" s="472">
        <v>900</v>
      </c>
      <c r="I315" s="472">
        <v>-121.27</v>
      </c>
      <c r="J315" s="472">
        <v>2450.76</v>
      </c>
      <c r="K315" s="472">
        <v>0</v>
      </c>
      <c r="L315" s="472">
        <v>1700</v>
      </c>
      <c r="M315" s="472">
        <f t="shared" si="9"/>
        <v>29019.1</v>
      </c>
    </row>
    <row r="316" spans="1:13" ht="12.75" outlineLevel="1">
      <c r="A316" s="423" t="s">
        <v>1030</v>
      </c>
      <c r="C316" s="469"/>
      <c r="D316" s="469"/>
      <c r="E316" s="459" t="s">
        <v>1031</v>
      </c>
      <c r="F316" s="470" t="str">
        <f t="shared" si="8"/>
        <v>FERNE WELLS NATIVE AMER ENDOW</v>
      </c>
      <c r="G316" s="471">
        <v>18740.53</v>
      </c>
      <c r="H316" s="472">
        <v>0</v>
      </c>
      <c r="I316" s="472">
        <v>-360.5</v>
      </c>
      <c r="J316" s="472">
        <v>1825.37</v>
      </c>
      <c r="K316" s="472">
        <v>0</v>
      </c>
      <c r="L316" s="472">
        <v>0</v>
      </c>
      <c r="M316" s="472">
        <f t="shared" si="9"/>
        <v>20205.399999999998</v>
      </c>
    </row>
    <row r="317" spans="1:13" ht="12.75" outlineLevel="1">
      <c r="A317" s="423" t="s">
        <v>1032</v>
      </c>
      <c r="C317" s="469"/>
      <c r="D317" s="469"/>
      <c r="E317" s="459" t="s">
        <v>1033</v>
      </c>
      <c r="F317" s="470" t="str">
        <f t="shared" si="8"/>
        <v>NANCY MILLS HONORARY FUND</v>
      </c>
      <c r="G317" s="471">
        <v>11458.41</v>
      </c>
      <c r="H317" s="472">
        <v>4386.62</v>
      </c>
      <c r="I317" s="472">
        <v>376.82</v>
      </c>
      <c r="J317" s="472">
        <v>1215.23</v>
      </c>
      <c r="K317" s="472">
        <v>0</v>
      </c>
      <c r="L317" s="472">
        <v>0</v>
      </c>
      <c r="M317" s="472">
        <f t="shared" si="9"/>
        <v>17437.079999999998</v>
      </c>
    </row>
    <row r="318" spans="1:13" ht="12.75" outlineLevel="1">
      <c r="A318" s="423" t="s">
        <v>1034</v>
      </c>
      <c r="C318" s="469"/>
      <c r="D318" s="469"/>
      <c r="E318" s="459" t="s">
        <v>1035</v>
      </c>
      <c r="F318" s="470" t="str">
        <f t="shared" si="8"/>
        <v>HUIZENGA STDNT LEADERSHP FUND</v>
      </c>
      <c r="G318" s="471">
        <v>56657.33</v>
      </c>
      <c r="H318" s="472">
        <v>0</v>
      </c>
      <c r="I318" s="472">
        <v>-1045.09</v>
      </c>
      <c r="J318" s="472">
        <v>5635.15</v>
      </c>
      <c r="K318" s="472">
        <v>0</v>
      </c>
      <c r="L318" s="472">
        <v>0</v>
      </c>
      <c r="M318" s="472">
        <f t="shared" si="9"/>
        <v>61247.39000000001</v>
      </c>
    </row>
    <row r="319" spans="1:13" ht="12.75" outlineLevel="1">
      <c r="A319" s="423" t="s">
        <v>1036</v>
      </c>
      <c r="C319" s="469"/>
      <c r="D319" s="469"/>
      <c r="E319" s="459" t="s">
        <v>1037</v>
      </c>
      <c r="F319" s="470" t="str">
        <f t="shared" si="8"/>
        <v>KPMG ACCOUNTING SCHOLARSHIP</v>
      </c>
      <c r="G319" s="471">
        <v>2480.08</v>
      </c>
      <c r="H319" s="472">
        <v>0</v>
      </c>
      <c r="I319" s="472">
        <v>63.01</v>
      </c>
      <c r="J319" s="472">
        <v>248.68</v>
      </c>
      <c r="K319" s="472">
        <v>0</v>
      </c>
      <c r="L319" s="472">
        <v>0</v>
      </c>
      <c r="M319" s="472">
        <f t="shared" si="9"/>
        <v>2791.77</v>
      </c>
    </row>
    <row r="320" spans="1:13" ht="12.75" outlineLevel="1">
      <c r="A320" s="423" t="s">
        <v>1038</v>
      </c>
      <c r="C320" s="469"/>
      <c r="D320" s="469"/>
      <c r="E320" s="459" t="s">
        <v>1039</v>
      </c>
      <c r="F320" s="470" t="str">
        <f t="shared" si="8"/>
        <v>WILLIAM B. EDDY/EMBA FUND</v>
      </c>
      <c r="G320" s="471">
        <v>12338.63</v>
      </c>
      <c r="H320" s="472">
        <v>0</v>
      </c>
      <c r="I320" s="472">
        <v>313.52</v>
      </c>
      <c r="J320" s="472">
        <v>1237.08</v>
      </c>
      <c r="K320" s="472">
        <v>0</v>
      </c>
      <c r="L320" s="472">
        <v>0</v>
      </c>
      <c r="M320" s="472">
        <f t="shared" si="9"/>
        <v>13889.23</v>
      </c>
    </row>
    <row r="321" spans="1:13" ht="12.75" outlineLevel="1">
      <c r="A321" s="423" t="s">
        <v>1040</v>
      </c>
      <c r="C321" s="469"/>
      <c r="D321" s="469"/>
      <c r="E321" s="459" t="s">
        <v>1041</v>
      </c>
      <c r="F321" s="470" t="str">
        <f t="shared" si="8"/>
        <v>FOUNDERS' SCHOLARSHIP ENDOW</v>
      </c>
      <c r="G321" s="471">
        <v>28322.21</v>
      </c>
      <c r="H321" s="472">
        <v>0</v>
      </c>
      <c r="I321" s="472">
        <v>-544.82</v>
      </c>
      <c r="J321" s="472">
        <v>2758.65</v>
      </c>
      <c r="K321" s="472">
        <v>0</v>
      </c>
      <c r="L321" s="472">
        <v>0</v>
      </c>
      <c r="M321" s="472">
        <f t="shared" si="9"/>
        <v>30536.04</v>
      </c>
    </row>
    <row r="322" spans="1:13" ht="12.75" outlineLevel="1">
      <c r="A322" s="423" t="s">
        <v>1042</v>
      </c>
      <c r="C322" s="469"/>
      <c r="D322" s="469"/>
      <c r="E322" s="459" t="s">
        <v>1043</v>
      </c>
      <c r="F322" s="470" t="str">
        <f t="shared" si="8"/>
        <v>TATIANA DOKOUDOVSKA DANCE SCH</v>
      </c>
      <c r="G322" s="471">
        <v>13049.89</v>
      </c>
      <c r="H322" s="472">
        <v>505</v>
      </c>
      <c r="I322" s="472">
        <v>337.07</v>
      </c>
      <c r="J322" s="472">
        <v>1311.06</v>
      </c>
      <c r="K322" s="472">
        <v>0</v>
      </c>
      <c r="L322" s="472">
        <v>0</v>
      </c>
      <c r="M322" s="472">
        <f t="shared" si="9"/>
        <v>15203.019999999999</v>
      </c>
    </row>
    <row r="323" spans="1:13" ht="12.75" outlineLevel="1">
      <c r="A323" s="423" t="s">
        <v>1044</v>
      </c>
      <c r="C323" s="469"/>
      <c r="D323" s="469"/>
      <c r="E323" s="459" t="s">
        <v>1045</v>
      </c>
      <c r="F323" s="470" t="str">
        <f t="shared" si="8"/>
        <v>EDWARD A. SMITH URBAN LDRSHP</v>
      </c>
      <c r="G323" s="471">
        <v>282997.25</v>
      </c>
      <c r="H323" s="472">
        <v>0</v>
      </c>
      <c r="I323" s="472">
        <v>-5400.34</v>
      </c>
      <c r="J323" s="472">
        <v>27569.07</v>
      </c>
      <c r="K323" s="472">
        <v>0</v>
      </c>
      <c r="L323" s="472">
        <v>0</v>
      </c>
      <c r="M323" s="472">
        <f t="shared" si="9"/>
        <v>305165.98</v>
      </c>
    </row>
    <row r="324" spans="1:13" ht="12.75" outlineLevel="1">
      <c r="A324" s="423" t="s">
        <v>1046</v>
      </c>
      <c r="C324" s="469"/>
      <c r="D324" s="469"/>
      <c r="E324" s="459" t="s">
        <v>1047</v>
      </c>
      <c r="F324" s="470" t="str">
        <f t="shared" si="8"/>
        <v>BILL ROSS SCHOLARSHIP</v>
      </c>
      <c r="G324" s="471">
        <v>5378.09</v>
      </c>
      <c r="H324" s="472">
        <v>0</v>
      </c>
      <c r="I324" s="472">
        <v>136.64</v>
      </c>
      <c r="J324" s="472">
        <v>539.22</v>
      </c>
      <c r="K324" s="472">
        <v>0</v>
      </c>
      <c r="L324" s="472">
        <v>0</v>
      </c>
      <c r="M324" s="472">
        <f t="shared" si="9"/>
        <v>6053.950000000001</v>
      </c>
    </row>
    <row r="325" spans="1:13" ht="12.75" outlineLevel="1">
      <c r="A325" s="423" t="s">
        <v>1048</v>
      </c>
      <c r="C325" s="469"/>
      <c r="D325" s="469"/>
      <c r="E325" s="459" t="s">
        <v>1049</v>
      </c>
      <c r="F325" s="470" t="str">
        <f t="shared" si="8"/>
        <v>CAMPUS FAC MANAGEMENT SCHP</v>
      </c>
      <c r="G325" s="471">
        <v>10913.97</v>
      </c>
      <c r="H325" s="472">
        <v>0</v>
      </c>
      <c r="I325" s="472">
        <v>277.3</v>
      </c>
      <c r="J325" s="472">
        <v>1095.3</v>
      </c>
      <c r="K325" s="472">
        <v>0</v>
      </c>
      <c r="L325" s="472">
        <v>0</v>
      </c>
      <c r="M325" s="472">
        <f t="shared" si="9"/>
        <v>12286.569999999998</v>
      </c>
    </row>
    <row r="326" spans="1:13" ht="12.75" outlineLevel="1">
      <c r="A326" s="423" t="s">
        <v>1050</v>
      </c>
      <c r="C326" s="469"/>
      <c r="D326" s="469"/>
      <c r="E326" s="459" t="s">
        <v>1051</v>
      </c>
      <c r="F326" s="470" t="str">
        <f t="shared" si="8"/>
        <v>RICHARD HETHERINGTON SCHP</v>
      </c>
      <c r="G326" s="471">
        <v>13719.42</v>
      </c>
      <c r="H326" s="472">
        <v>1360</v>
      </c>
      <c r="I326" s="472">
        <v>373.45</v>
      </c>
      <c r="J326" s="472">
        <v>1410.4</v>
      </c>
      <c r="K326" s="472">
        <v>0</v>
      </c>
      <c r="L326" s="472">
        <v>0</v>
      </c>
      <c r="M326" s="472">
        <f t="shared" si="9"/>
        <v>16863.27</v>
      </c>
    </row>
    <row r="327" spans="1:13" ht="12.75" outlineLevel="1">
      <c r="A327" s="423" t="s">
        <v>1052</v>
      </c>
      <c r="C327" s="469"/>
      <c r="D327" s="469"/>
      <c r="E327" s="459" t="s">
        <v>1053</v>
      </c>
      <c r="F327" s="470" t="str">
        <f t="shared" si="8"/>
        <v>NEAL WILLIS MEMORIAL FUND</v>
      </c>
      <c r="G327" s="471">
        <v>11897.13</v>
      </c>
      <c r="H327" s="472">
        <v>600</v>
      </c>
      <c r="I327" s="472">
        <v>317.13</v>
      </c>
      <c r="J327" s="472">
        <v>1223.64</v>
      </c>
      <c r="K327" s="472">
        <v>0</v>
      </c>
      <c r="L327" s="472">
        <v>0</v>
      </c>
      <c r="M327" s="472">
        <f t="shared" si="9"/>
        <v>14037.899999999998</v>
      </c>
    </row>
    <row r="328" spans="1:13" ht="12.75" outlineLevel="1">
      <c r="A328" s="423" t="s">
        <v>1054</v>
      </c>
      <c r="C328" s="469"/>
      <c r="D328" s="469"/>
      <c r="E328" s="459" t="s">
        <v>1055</v>
      </c>
      <c r="F328" s="470" t="str">
        <f t="shared" si="8"/>
        <v>ROBERT B. VAUGHAN SCHOLARSHIP</v>
      </c>
      <c r="G328" s="471">
        <v>10959.03</v>
      </c>
      <c r="H328" s="472">
        <v>0</v>
      </c>
      <c r="I328" s="472">
        <v>278.45</v>
      </c>
      <c r="J328" s="472">
        <v>1098.76</v>
      </c>
      <c r="K328" s="472">
        <v>0</v>
      </c>
      <c r="L328" s="472">
        <v>0</v>
      </c>
      <c r="M328" s="472">
        <f t="shared" si="9"/>
        <v>12336.240000000002</v>
      </c>
    </row>
    <row r="329" spans="1:13" ht="12.75" outlineLevel="1">
      <c r="A329" s="423" t="s">
        <v>1056</v>
      </c>
      <c r="C329" s="469"/>
      <c r="D329" s="469"/>
      <c r="E329" s="459" t="s">
        <v>1057</v>
      </c>
      <c r="F329" s="470" t="str">
        <f t="shared" si="8"/>
        <v>THOMAS &amp; TERESA SULLIVAN SCHP</v>
      </c>
      <c r="G329" s="471">
        <v>10928.4</v>
      </c>
      <c r="H329" s="472">
        <v>0</v>
      </c>
      <c r="I329" s="472">
        <v>277.67</v>
      </c>
      <c r="J329" s="472">
        <v>1095.66</v>
      </c>
      <c r="K329" s="472">
        <v>0</v>
      </c>
      <c r="L329" s="472">
        <v>0</v>
      </c>
      <c r="M329" s="472">
        <f t="shared" si="9"/>
        <v>12301.73</v>
      </c>
    </row>
    <row r="330" spans="1:13" ht="12.75" outlineLevel="1">
      <c r="A330" s="423" t="s">
        <v>1058</v>
      </c>
      <c r="C330" s="469"/>
      <c r="D330" s="469"/>
      <c r="E330" s="459" t="s">
        <v>1059</v>
      </c>
      <c r="F330" s="470" t="str">
        <f t="shared" si="8"/>
        <v>DANIEL L. BRENNER JUDAIC COLL</v>
      </c>
      <c r="G330" s="471">
        <v>34504.49</v>
      </c>
      <c r="H330" s="472">
        <v>0</v>
      </c>
      <c r="I330" s="472">
        <v>876.65</v>
      </c>
      <c r="J330" s="472">
        <v>3459.4</v>
      </c>
      <c r="K330" s="472">
        <v>0</v>
      </c>
      <c r="L330" s="472">
        <v>0</v>
      </c>
      <c r="M330" s="472">
        <f t="shared" si="9"/>
        <v>38840.54</v>
      </c>
    </row>
    <row r="331" spans="1:13" ht="12.75" outlineLevel="1">
      <c r="A331" s="423" t="s">
        <v>1060</v>
      </c>
      <c r="C331" s="469"/>
      <c r="D331" s="469"/>
      <c r="E331" s="459" t="s">
        <v>1061</v>
      </c>
      <c r="F331" s="470" t="str">
        <f aca="true" t="shared" si="10" ref="F331:F394">UPPER(E331)</f>
        <v>MARTHA LONGMIRE WOMEN'S SCHP</v>
      </c>
      <c r="G331" s="471">
        <v>16830.68</v>
      </c>
      <c r="H331" s="472">
        <v>437.5</v>
      </c>
      <c r="I331" s="472">
        <v>434.77</v>
      </c>
      <c r="J331" s="472">
        <v>1690.39</v>
      </c>
      <c r="K331" s="472">
        <v>0</v>
      </c>
      <c r="L331" s="472">
        <v>0</v>
      </c>
      <c r="M331" s="472">
        <f aca="true" t="shared" si="11" ref="M331:M394">G331+H331+I331+J331-K331+L331</f>
        <v>19393.34</v>
      </c>
    </row>
    <row r="332" spans="1:13" ht="12.75" outlineLevel="1">
      <c r="A332" s="423" t="s">
        <v>1062</v>
      </c>
      <c r="C332" s="469"/>
      <c r="D332" s="469"/>
      <c r="E332" s="459" t="s">
        <v>1063</v>
      </c>
      <c r="F332" s="470" t="str">
        <f t="shared" si="10"/>
        <v>PATRICIA Z THOMPSON LIBR ENDOW</v>
      </c>
      <c r="G332" s="471">
        <v>10897.8</v>
      </c>
      <c r="H332" s="472">
        <v>0</v>
      </c>
      <c r="I332" s="472">
        <v>276.9</v>
      </c>
      <c r="J332" s="472">
        <v>1092.6</v>
      </c>
      <c r="K332" s="472">
        <v>0</v>
      </c>
      <c r="L332" s="472">
        <v>0</v>
      </c>
      <c r="M332" s="472">
        <f t="shared" si="11"/>
        <v>12267.3</v>
      </c>
    </row>
    <row r="333" spans="1:13" ht="12.75" outlineLevel="1">
      <c r="A333" s="423" t="s">
        <v>1064</v>
      </c>
      <c r="C333" s="469"/>
      <c r="D333" s="469"/>
      <c r="E333" s="459" t="s">
        <v>1065</v>
      </c>
      <c r="F333" s="470" t="str">
        <f t="shared" si="10"/>
        <v>GOODALE SCHOLARSHIP</v>
      </c>
      <c r="G333" s="471">
        <v>119061.03</v>
      </c>
      <c r="H333" s="472">
        <v>0</v>
      </c>
      <c r="I333" s="472">
        <v>3024.96</v>
      </c>
      <c r="J333" s="472">
        <v>11937.7</v>
      </c>
      <c r="K333" s="472">
        <v>0</v>
      </c>
      <c r="L333" s="472">
        <v>0</v>
      </c>
      <c r="M333" s="472">
        <f t="shared" si="11"/>
        <v>134023.69</v>
      </c>
    </row>
    <row r="334" spans="1:13" ht="12.75" outlineLevel="1">
      <c r="A334" s="423" t="s">
        <v>1066</v>
      </c>
      <c r="C334" s="469"/>
      <c r="D334" s="469"/>
      <c r="E334" s="459" t="s">
        <v>1067</v>
      </c>
      <c r="F334" s="470" t="str">
        <f t="shared" si="10"/>
        <v>ORENE V CROCKETT SCHP FUND</v>
      </c>
      <c r="G334" s="471">
        <v>11066.71</v>
      </c>
      <c r="H334" s="472">
        <v>0</v>
      </c>
      <c r="I334" s="472">
        <v>281.17</v>
      </c>
      <c r="J334" s="472">
        <v>1109.64</v>
      </c>
      <c r="K334" s="472">
        <v>0</v>
      </c>
      <c r="L334" s="472">
        <v>0</v>
      </c>
      <c r="M334" s="472">
        <f t="shared" si="11"/>
        <v>12457.519999999999</v>
      </c>
    </row>
    <row r="335" spans="1:13" ht="12.75" outlineLevel="1">
      <c r="A335" s="423" t="s">
        <v>1068</v>
      </c>
      <c r="C335" s="469"/>
      <c r="D335" s="469"/>
      <c r="E335" s="459" t="s">
        <v>1069</v>
      </c>
      <c r="F335" s="470" t="str">
        <f t="shared" si="10"/>
        <v>CATHERINE C MACKAY SCHOLARSHIP</v>
      </c>
      <c r="G335" s="471">
        <v>238760.28</v>
      </c>
      <c r="H335" s="472">
        <v>0</v>
      </c>
      <c r="I335" s="472">
        <v>6069.78</v>
      </c>
      <c r="J335" s="472">
        <v>23849.78</v>
      </c>
      <c r="K335" s="472">
        <v>0</v>
      </c>
      <c r="L335" s="472">
        <v>0</v>
      </c>
      <c r="M335" s="472">
        <f t="shared" si="11"/>
        <v>268679.83999999997</v>
      </c>
    </row>
    <row r="336" spans="1:13" ht="12.75" outlineLevel="1">
      <c r="A336" s="423" t="s">
        <v>1070</v>
      </c>
      <c r="C336" s="469"/>
      <c r="D336" s="469"/>
      <c r="E336" s="459" t="s">
        <v>1071</v>
      </c>
      <c r="F336" s="470" t="str">
        <f t="shared" si="10"/>
        <v>LGBT SCHOLARSHIP</v>
      </c>
      <c r="G336" s="471">
        <v>4068.66</v>
      </c>
      <c r="H336" s="472">
        <v>80</v>
      </c>
      <c r="I336" s="472">
        <v>104.34</v>
      </c>
      <c r="J336" s="472">
        <v>409.8</v>
      </c>
      <c r="K336" s="472">
        <v>0</v>
      </c>
      <c r="L336" s="472">
        <v>0</v>
      </c>
      <c r="M336" s="472">
        <f t="shared" si="11"/>
        <v>4662.8</v>
      </c>
    </row>
    <row r="337" spans="1:13" ht="12.75" outlineLevel="1">
      <c r="A337" s="423" t="s">
        <v>1072</v>
      </c>
      <c r="C337" s="469"/>
      <c r="D337" s="469"/>
      <c r="E337" s="459" t="s">
        <v>1073</v>
      </c>
      <c r="F337" s="470" t="str">
        <f t="shared" si="10"/>
        <v>CALLISON LIBRARY ENDOWMENT</v>
      </c>
      <c r="G337" s="471">
        <v>23347.92</v>
      </c>
      <c r="H337" s="472">
        <v>9885.75</v>
      </c>
      <c r="I337" s="472">
        <v>630.74</v>
      </c>
      <c r="J337" s="472">
        <v>1963.72</v>
      </c>
      <c r="K337" s="472">
        <v>0</v>
      </c>
      <c r="L337" s="472">
        <v>0</v>
      </c>
      <c r="M337" s="472">
        <f t="shared" si="11"/>
        <v>35828.13</v>
      </c>
    </row>
    <row r="338" spans="1:13" ht="12.75" outlineLevel="1">
      <c r="A338" s="423" t="s">
        <v>1074</v>
      </c>
      <c r="C338" s="469"/>
      <c r="D338" s="469"/>
      <c r="E338" s="459" t="s">
        <v>1075</v>
      </c>
      <c r="F338" s="470" t="str">
        <f t="shared" si="10"/>
        <v>HERMAN JOHNSON MEMORIAL SCSP</v>
      </c>
      <c r="G338" s="471">
        <v>4398.06</v>
      </c>
      <c r="H338" s="472">
        <v>0</v>
      </c>
      <c r="I338" s="472">
        <v>0</v>
      </c>
      <c r="J338" s="472">
        <v>0</v>
      </c>
      <c r="K338" s="472">
        <v>0</v>
      </c>
      <c r="L338" s="472">
        <v>-4398.06</v>
      </c>
      <c r="M338" s="472">
        <f t="shared" si="11"/>
        <v>0</v>
      </c>
    </row>
    <row r="339" spans="1:13" ht="12.75" outlineLevel="1">
      <c r="A339" s="423" t="s">
        <v>1076</v>
      </c>
      <c r="C339" s="469"/>
      <c r="D339" s="469"/>
      <c r="E339" s="459" t="s">
        <v>1077</v>
      </c>
      <c r="F339" s="470" t="str">
        <f t="shared" si="10"/>
        <v>JIM WHITE FUND</v>
      </c>
      <c r="G339" s="471">
        <v>3343.7</v>
      </c>
      <c r="H339" s="472">
        <v>0</v>
      </c>
      <c r="I339" s="472">
        <v>0</v>
      </c>
      <c r="J339" s="472">
        <v>0</v>
      </c>
      <c r="K339" s="472">
        <v>0</v>
      </c>
      <c r="L339" s="472">
        <v>-3343.7</v>
      </c>
      <c r="M339" s="472">
        <f t="shared" si="11"/>
        <v>0</v>
      </c>
    </row>
    <row r="340" spans="1:13" ht="12.75" outlineLevel="1">
      <c r="A340" s="423" t="s">
        <v>1078</v>
      </c>
      <c r="C340" s="469"/>
      <c r="D340" s="469"/>
      <c r="E340" s="459" t="s">
        <v>1079</v>
      </c>
      <c r="F340" s="470" t="str">
        <f t="shared" si="10"/>
        <v>ASCE GEOTECHNICAL GROUP SCSP</v>
      </c>
      <c r="G340" s="471">
        <v>14435.79</v>
      </c>
      <c r="H340" s="472">
        <v>0</v>
      </c>
      <c r="I340" s="472">
        <v>0</v>
      </c>
      <c r="J340" s="472">
        <v>0</v>
      </c>
      <c r="K340" s="472">
        <v>0</v>
      </c>
      <c r="L340" s="472">
        <v>-14435.79</v>
      </c>
      <c r="M340" s="472">
        <f t="shared" si="11"/>
        <v>0</v>
      </c>
    </row>
    <row r="341" spans="1:13" ht="12.75" outlineLevel="1">
      <c r="A341" s="423" t="s">
        <v>1080</v>
      </c>
      <c r="C341" s="469"/>
      <c r="D341" s="469"/>
      <c r="E341" s="459" t="s">
        <v>1081</v>
      </c>
      <c r="F341" s="470" t="str">
        <f t="shared" si="10"/>
        <v>BARBARA KAMEL MEMORIAL FUND</v>
      </c>
      <c r="G341" s="471">
        <v>726.09</v>
      </c>
      <c r="H341" s="472">
        <v>0</v>
      </c>
      <c r="I341" s="472">
        <v>27.99</v>
      </c>
      <c r="J341" s="472">
        <v>20.2</v>
      </c>
      <c r="K341" s="472">
        <v>0</v>
      </c>
      <c r="L341" s="472">
        <v>-21.79</v>
      </c>
      <c r="M341" s="472">
        <f t="shared" si="11"/>
        <v>752.4900000000001</v>
      </c>
    </row>
    <row r="342" spans="1:13" ht="12.75" outlineLevel="1">
      <c r="A342" s="423" t="s">
        <v>1082</v>
      </c>
      <c r="C342" s="469"/>
      <c r="D342" s="469"/>
      <c r="E342" s="459" t="s">
        <v>1083</v>
      </c>
      <c r="F342" s="470" t="str">
        <f t="shared" si="10"/>
        <v>CAMPUS FAC/LINCOLN PREP SCHOLA</v>
      </c>
      <c r="G342" s="471">
        <v>0</v>
      </c>
      <c r="H342" s="472">
        <v>2108.76</v>
      </c>
      <c r="I342" s="472">
        <v>65.97</v>
      </c>
      <c r="J342" s="472">
        <v>50.17</v>
      </c>
      <c r="K342" s="472">
        <v>708.76</v>
      </c>
      <c r="L342" s="472">
        <v>2354.63</v>
      </c>
      <c r="M342" s="472">
        <f t="shared" si="11"/>
        <v>3870.7700000000004</v>
      </c>
    </row>
    <row r="343" spans="1:13" ht="12.75" outlineLevel="1">
      <c r="A343" s="423" t="s">
        <v>1084</v>
      </c>
      <c r="C343" s="469"/>
      <c r="D343" s="469"/>
      <c r="E343" s="459" t="s">
        <v>1085</v>
      </c>
      <c r="F343" s="470" t="str">
        <f t="shared" si="10"/>
        <v>COUNSELING AND PSYCHOLOGY</v>
      </c>
      <c r="G343" s="471">
        <v>75510.66</v>
      </c>
      <c r="H343" s="472">
        <v>0</v>
      </c>
      <c r="I343" s="472">
        <v>1917.47</v>
      </c>
      <c r="J343" s="472">
        <v>7598.42</v>
      </c>
      <c r="K343" s="472">
        <v>0</v>
      </c>
      <c r="L343" s="472">
        <v>0</v>
      </c>
      <c r="M343" s="472">
        <f t="shared" si="11"/>
        <v>85026.55</v>
      </c>
    </row>
    <row r="344" spans="1:13" ht="12.75" outlineLevel="1">
      <c r="A344" s="423" t="s">
        <v>1086</v>
      </c>
      <c r="C344" s="469"/>
      <c r="D344" s="469"/>
      <c r="E344" s="459" t="s">
        <v>1087</v>
      </c>
      <c r="F344" s="444" t="str">
        <f t="shared" si="10"/>
        <v>DAVID PARSONS SCHOLARSHIP</v>
      </c>
      <c r="G344" s="519">
        <v>13909.62</v>
      </c>
      <c r="H344" s="472">
        <v>0</v>
      </c>
      <c r="I344" s="472">
        <v>353.2</v>
      </c>
      <c r="J344" s="472">
        <v>1400.67</v>
      </c>
      <c r="K344" s="472">
        <v>0</v>
      </c>
      <c r="L344" s="472">
        <v>0</v>
      </c>
      <c r="M344" s="472">
        <f t="shared" si="11"/>
        <v>15663.490000000002</v>
      </c>
    </row>
    <row r="345" spans="1:13" ht="12.75" outlineLevel="1">
      <c r="A345" s="423" t="s">
        <v>1088</v>
      </c>
      <c r="C345" s="469"/>
      <c r="D345" s="469"/>
      <c r="E345" s="459" t="s">
        <v>1089</v>
      </c>
      <c r="F345" s="470" t="str">
        <f t="shared" si="10"/>
        <v>HENRY  W BLOCH CHAIR OF FIN</v>
      </c>
      <c r="G345" s="471">
        <v>1659395.45</v>
      </c>
      <c r="H345" s="472">
        <v>0</v>
      </c>
      <c r="I345" s="472">
        <v>-13414.22</v>
      </c>
      <c r="J345" s="472">
        <v>163276.13</v>
      </c>
      <c r="K345" s="472">
        <v>0</v>
      </c>
      <c r="L345" s="472">
        <v>0</v>
      </c>
      <c r="M345" s="472">
        <f t="shared" si="11"/>
        <v>1809257.3599999999</v>
      </c>
    </row>
    <row r="346" spans="1:13" ht="12.75" outlineLevel="1">
      <c r="A346" s="423" t="s">
        <v>1090</v>
      </c>
      <c r="C346" s="469"/>
      <c r="D346" s="469"/>
      <c r="E346" s="459" t="s">
        <v>1091</v>
      </c>
      <c r="F346" s="470" t="str">
        <f t="shared" si="10"/>
        <v>HENRY BLOCH CHAIR-ENTREPRENEUR</v>
      </c>
      <c r="G346" s="471">
        <v>1659395.45</v>
      </c>
      <c r="H346" s="472">
        <v>0</v>
      </c>
      <c r="I346" s="472">
        <v>-13414.22</v>
      </c>
      <c r="J346" s="472">
        <v>163276.13</v>
      </c>
      <c r="K346" s="472">
        <v>0</v>
      </c>
      <c r="L346" s="472">
        <v>0</v>
      </c>
      <c r="M346" s="472">
        <f t="shared" si="11"/>
        <v>1809257.3599999999</v>
      </c>
    </row>
    <row r="347" spans="1:13" ht="12.75" outlineLevel="1">
      <c r="A347" s="423" t="s">
        <v>1092</v>
      </c>
      <c r="C347" s="469"/>
      <c r="D347" s="469"/>
      <c r="E347" s="459" t="s">
        <v>1093</v>
      </c>
      <c r="F347" s="470" t="str">
        <f t="shared" si="10"/>
        <v>TERRENCE &amp; LINDA WARD SCHOR</v>
      </c>
      <c r="G347" s="471">
        <v>32096.48</v>
      </c>
      <c r="H347" s="472">
        <v>0</v>
      </c>
      <c r="I347" s="472">
        <v>14.32</v>
      </c>
      <c r="J347" s="472">
        <v>3189.04</v>
      </c>
      <c r="K347" s="472">
        <v>0</v>
      </c>
      <c r="L347" s="472">
        <v>0</v>
      </c>
      <c r="M347" s="472">
        <f t="shared" si="11"/>
        <v>35299.84</v>
      </c>
    </row>
    <row r="348" spans="1:13" ht="12.75" outlineLevel="1">
      <c r="A348" s="423" t="s">
        <v>1094</v>
      </c>
      <c r="C348" s="469"/>
      <c r="D348" s="469"/>
      <c r="E348" s="459" t="s">
        <v>1095</v>
      </c>
      <c r="F348" s="470" t="str">
        <f t="shared" si="10"/>
        <v>RODNEY COVER PIANO SCHOLARSHIP</v>
      </c>
      <c r="G348" s="471">
        <v>10836.05</v>
      </c>
      <c r="H348" s="472">
        <v>0</v>
      </c>
      <c r="I348" s="472">
        <v>275.1</v>
      </c>
      <c r="J348" s="472">
        <v>1091.92</v>
      </c>
      <c r="K348" s="472">
        <v>0</v>
      </c>
      <c r="L348" s="472">
        <v>0</v>
      </c>
      <c r="M348" s="472">
        <f t="shared" si="11"/>
        <v>12203.07</v>
      </c>
    </row>
    <row r="349" spans="1:13" ht="12.75" outlineLevel="1">
      <c r="A349" s="423" t="s">
        <v>1096</v>
      </c>
      <c r="C349" s="469"/>
      <c r="D349" s="469"/>
      <c r="E349" s="459" t="s">
        <v>1097</v>
      </c>
      <c r="F349" s="470" t="str">
        <f t="shared" si="10"/>
        <v>DST SYSTEMS COMPUTER SCI SCHP</v>
      </c>
      <c r="G349" s="471">
        <v>63015.11</v>
      </c>
      <c r="H349" s="472">
        <v>0</v>
      </c>
      <c r="I349" s="472">
        <v>-20.47</v>
      </c>
      <c r="J349" s="472">
        <v>7127.05</v>
      </c>
      <c r="K349" s="472">
        <v>0</v>
      </c>
      <c r="L349" s="472">
        <v>0</v>
      </c>
      <c r="M349" s="472">
        <f t="shared" si="11"/>
        <v>70121.69</v>
      </c>
    </row>
    <row r="350" spans="1:13" ht="12.75" outlineLevel="1">
      <c r="A350" s="423" t="s">
        <v>1098</v>
      </c>
      <c r="C350" s="469"/>
      <c r="D350" s="469"/>
      <c r="E350" s="459" t="s">
        <v>1099</v>
      </c>
      <c r="F350" s="470" t="str">
        <f t="shared" si="10"/>
        <v>UMKC DENTAL ALUMNI ASSOC SCHP</v>
      </c>
      <c r="G350" s="471">
        <v>30956.87</v>
      </c>
      <c r="H350" s="472">
        <v>0</v>
      </c>
      <c r="I350" s="472">
        <v>195.06</v>
      </c>
      <c r="J350" s="472">
        <v>3093.8</v>
      </c>
      <c r="K350" s="472">
        <v>0</v>
      </c>
      <c r="L350" s="472">
        <v>0</v>
      </c>
      <c r="M350" s="472">
        <f t="shared" si="11"/>
        <v>34245.73</v>
      </c>
    </row>
    <row r="351" spans="1:13" ht="12.75" outlineLevel="1">
      <c r="A351" s="423" t="s">
        <v>1100</v>
      </c>
      <c r="C351" s="469"/>
      <c r="D351" s="469"/>
      <c r="E351" s="459" t="s">
        <v>1101</v>
      </c>
      <c r="F351" s="470" t="str">
        <f t="shared" si="10"/>
        <v>DENTAL ALUMNI ASSOC SCHOLARSHP</v>
      </c>
      <c r="G351" s="471">
        <v>30956.87</v>
      </c>
      <c r="H351" s="472">
        <v>0</v>
      </c>
      <c r="I351" s="472">
        <v>195.06</v>
      </c>
      <c r="J351" s="472">
        <v>3093.8</v>
      </c>
      <c r="K351" s="472">
        <v>0</v>
      </c>
      <c r="L351" s="472">
        <v>0</v>
      </c>
      <c r="M351" s="472">
        <f t="shared" si="11"/>
        <v>34245.73</v>
      </c>
    </row>
    <row r="352" spans="1:13" ht="12.75" outlineLevel="1">
      <c r="A352" s="423" t="s">
        <v>1102</v>
      </c>
      <c r="C352" s="469"/>
      <c r="D352" s="469"/>
      <c r="E352" s="459" t="s">
        <v>1103</v>
      </c>
      <c r="F352" s="470" t="str">
        <f t="shared" si="10"/>
        <v>PAMELA OVERMAN SCHOLARSHIP</v>
      </c>
      <c r="G352" s="471">
        <v>30956.87</v>
      </c>
      <c r="H352" s="472">
        <v>0</v>
      </c>
      <c r="I352" s="472">
        <v>195.04</v>
      </c>
      <c r="J352" s="472">
        <v>3093.8</v>
      </c>
      <c r="K352" s="472">
        <v>0</v>
      </c>
      <c r="L352" s="472">
        <v>0</v>
      </c>
      <c r="M352" s="472">
        <f t="shared" si="11"/>
        <v>34245.71</v>
      </c>
    </row>
    <row r="353" spans="1:13" ht="12.75" outlineLevel="1">
      <c r="A353" s="423" t="s">
        <v>1104</v>
      </c>
      <c r="C353" s="469"/>
      <c r="D353" s="469"/>
      <c r="E353" s="459" t="s">
        <v>1105</v>
      </c>
      <c r="F353" s="470" t="str">
        <f t="shared" si="10"/>
        <v>UMKC DENTAL HYGIENISTS ALUMNI</v>
      </c>
      <c r="G353" s="471">
        <v>30956.87</v>
      </c>
      <c r="H353" s="472">
        <v>0</v>
      </c>
      <c r="I353" s="472">
        <v>195.06</v>
      </c>
      <c r="J353" s="472">
        <v>3093.8</v>
      </c>
      <c r="K353" s="472">
        <v>0</v>
      </c>
      <c r="L353" s="472">
        <v>0</v>
      </c>
      <c r="M353" s="472">
        <f t="shared" si="11"/>
        <v>34245.73</v>
      </c>
    </row>
    <row r="354" spans="1:13" ht="12.75" outlineLevel="1">
      <c r="A354" s="423" t="s">
        <v>1106</v>
      </c>
      <c r="C354" s="469"/>
      <c r="D354" s="469"/>
      <c r="E354" s="459" t="s">
        <v>1107</v>
      </c>
      <c r="F354" s="470" t="str">
        <f t="shared" si="10"/>
        <v>SPA RUTH LOIS SCOTT MEM SCHLR</v>
      </c>
      <c r="G354" s="471">
        <v>15193.84</v>
      </c>
      <c r="H354" s="472">
        <v>0</v>
      </c>
      <c r="I354" s="472">
        <v>652.68</v>
      </c>
      <c r="J354" s="472">
        <v>1282.17</v>
      </c>
      <c r="K354" s="472">
        <v>0</v>
      </c>
      <c r="L354" s="472">
        <v>15000</v>
      </c>
      <c r="M354" s="472">
        <f t="shared" si="11"/>
        <v>32128.690000000002</v>
      </c>
    </row>
    <row r="355" spans="1:13" ht="12.75" outlineLevel="1">
      <c r="A355" s="423" t="s">
        <v>1108</v>
      </c>
      <c r="C355" s="469"/>
      <c r="D355" s="469"/>
      <c r="E355" s="459" t="s">
        <v>1109</v>
      </c>
      <c r="F355" s="470" t="str">
        <f t="shared" si="10"/>
        <v>DR VERE &amp; MRS MAE LANE SCHLR</v>
      </c>
      <c r="G355" s="471">
        <v>30924.17</v>
      </c>
      <c r="H355" s="472">
        <v>0</v>
      </c>
      <c r="I355" s="472">
        <v>1251.32</v>
      </c>
      <c r="J355" s="472">
        <v>3652.72</v>
      </c>
      <c r="K355" s="472">
        <v>0</v>
      </c>
      <c r="L355" s="472">
        <v>28500</v>
      </c>
      <c r="M355" s="472">
        <f t="shared" si="11"/>
        <v>64328.21</v>
      </c>
    </row>
    <row r="356" spans="1:13" ht="12.75" outlineLevel="1">
      <c r="A356" s="423" t="s">
        <v>1110</v>
      </c>
      <c r="C356" s="469"/>
      <c r="D356" s="469"/>
      <c r="E356" s="459" t="s">
        <v>1111</v>
      </c>
      <c r="F356" s="470" t="str">
        <f t="shared" si="10"/>
        <v>DR EUGENE BEERS SCHOLARSHIP</v>
      </c>
      <c r="G356" s="471">
        <v>16432.02</v>
      </c>
      <c r="H356" s="472">
        <v>0</v>
      </c>
      <c r="I356" s="472">
        <v>654.36</v>
      </c>
      <c r="J356" s="472">
        <v>1929.68</v>
      </c>
      <c r="K356" s="472">
        <v>0</v>
      </c>
      <c r="L356" s="472">
        <v>14500</v>
      </c>
      <c r="M356" s="472">
        <f t="shared" si="11"/>
        <v>33516.06</v>
      </c>
    </row>
    <row r="357" spans="1:13" ht="12.75" outlineLevel="1">
      <c r="A357" s="423" t="s">
        <v>1112</v>
      </c>
      <c r="C357" s="469"/>
      <c r="D357" s="469"/>
      <c r="E357" s="459" t="s">
        <v>1113</v>
      </c>
      <c r="F357" s="470" t="str">
        <f t="shared" si="10"/>
        <v>A&amp;S NEED SCHOLARSHIP</v>
      </c>
      <c r="G357" s="471">
        <v>104.19</v>
      </c>
      <c r="H357" s="472">
        <v>0</v>
      </c>
      <c r="I357" s="472">
        <v>0</v>
      </c>
      <c r="J357" s="472">
        <v>0</v>
      </c>
      <c r="K357" s="472">
        <v>0</v>
      </c>
      <c r="L357" s="472">
        <v>43.02</v>
      </c>
      <c r="M357" s="472">
        <f t="shared" si="11"/>
        <v>147.21</v>
      </c>
    </row>
    <row r="358" spans="1:13" ht="12.75" outlineLevel="1">
      <c r="A358" s="423" t="s">
        <v>1114</v>
      </c>
      <c r="C358" s="469"/>
      <c r="D358" s="469"/>
      <c r="E358" s="459" t="s">
        <v>1115</v>
      </c>
      <c r="F358" s="470" t="str">
        <f t="shared" si="10"/>
        <v>JERROLD F STACH MEMORIAL SCHLR</v>
      </c>
      <c r="G358" s="471">
        <v>12798.21</v>
      </c>
      <c r="H358" s="472">
        <v>60</v>
      </c>
      <c r="I358" s="472">
        <v>328.49</v>
      </c>
      <c r="J358" s="472">
        <v>1285.21</v>
      </c>
      <c r="K358" s="472">
        <v>0</v>
      </c>
      <c r="L358" s="472">
        <v>1680</v>
      </c>
      <c r="M358" s="472">
        <f t="shared" si="11"/>
        <v>16151.91</v>
      </c>
    </row>
    <row r="359" spans="1:13" ht="12.75" outlineLevel="1">
      <c r="A359" s="423" t="s">
        <v>1116</v>
      </c>
      <c r="C359" s="469"/>
      <c r="D359" s="469"/>
      <c r="E359" s="459" t="s">
        <v>1117</v>
      </c>
      <c r="F359" s="470" t="str">
        <f t="shared" si="10"/>
        <v>HENRY BLOCH SCHOLARSHIP</v>
      </c>
      <c r="G359" s="471">
        <v>216698.15</v>
      </c>
      <c r="H359" s="472">
        <v>0</v>
      </c>
      <c r="I359" s="472">
        <v>1365.46</v>
      </c>
      <c r="J359" s="472">
        <v>21656.63</v>
      </c>
      <c r="K359" s="472">
        <v>0</v>
      </c>
      <c r="L359" s="472">
        <v>0</v>
      </c>
      <c r="M359" s="472">
        <f t="shared" si="11"/>
        <v>239720.24</v>
      </c>
    </row>
    <row r="360" spans="1:13" ht="12.75" outlineLevel="1">
      <c r="A360" s="423" t="s">
        <v>1118</v>
      </c>
      <c r="C360" s="469"/>
      <c r="D360" s="469"/>
      <c r="E360" s="459" t="s">
        <v>1119</v>
      </c>
      <c r="F360" s="470" t="str">
        <f t="shared" si="10"/>
        <v>SUFFECOOL/PLANK SCHOLARSHIP</v>
      </c>
      <c r="G360" s="471">
        <v>14010.5</v>
      </c>
      <c r="H360" s="472">
        <v>0</v>
      </c>
      <c r="I360" s="472">
        <v>601.22</v>
      </c>
      <c r="J360" s="472">
        <v>1691.31</v>
      </c>
      <c r="K360" s="472">
        <v>0</v>
      </c>
      <c r="L360" s="472">
        <v>15000</v>
      </c>
      <c r="M360" s="472">
        <f t="shared" si="11"/>
        <v>31303.03</v>
      </c>
    </row>
    <row r="361" spans="1:13" ht="12.75" outlineLevel="1">
      <c r="A361" s="423" t="s">
        <v>1120</v>
      </c>
      <c r="C361" s="469"/>
      <c r="D361" s="469"/>
      <c r="E361" s="459" t="s">
        <v>1121</v>
      </c>
      <c r="F361" s="470" t="str">
        <f t="shared" si="10"/>
        <v>C. &amp; G. CURTIS SCHOLARSHIP</v>
      </c>
      <c r="G361" s="471">
        <v>30956.87</v>
      </c>
      <c r="H361" s="472">
        <v>0</v>
      </c>
      <c r="I361" s="472">
        <v>785.42</v>
      </c>
      <c r="J361" s="472">
        <v>3131.51</v>
      </c>
      <c r="K361" s="472">
        <v>0</v>
      </c>
      <c r="L361" s="472">
        <v>0</v>
      </c>
      <c r="M361" s="472">
        <f t="shared" si="11"/>
        <v>34873.799999999996</v>
      </c>
    </row>
    <row r="362" spans="1:13" ht="12.75" outlineLevel="1">
      <c r="A362" s="423" t="s">
        <v>1122</v>
      </c>
      <c r="C362" s="469"/>
      <c r="D362" s="469"/>
      <c r="E362" s="459" t="s">
        <v>1123</v>
      </c>
      <c r="F362" s="470" t="str">
        <f t="shared" si="10"/>
        <v>SOE 50TH ANNIV ALUMNI SCHOLARS</v>
      </c>
      <c r="G362" s="471">
        <v>3411.86</v>
      </c>
      <c r="H362" s="472">
        <v>471</v>
      </c>
      <c r="I362" s="472">
        <v>98.56</v>
      </c>
      <c r="J362" s="472">
        <v>336.17</v>
      </c>
      <c r="K362" s="472">
        <v>0</v>
      </c>
      <c r="L362" s="472">
        <v>0</v>
      </c>
      <c r="M362" s="472">
        <f t="shared" si="11"/>
        <v>4317.59</v>
      </c>
    </row>
    <row r="363" spans="1:13" ht="12.75" outlineLevel="1">
      <c r="A363" s="423" t="s">
        <v>1124</v>
      </c>
      <c r="C363" s="469"/>
      <c r="D363" s="469"/>
      <c r="E363" s="459" t="s">
        <v>1125</v>
      </c>
      <c r="F363" s="470" t="str">
        <f t="shared" si="10"/>
        <v>RUTH ANNE RICH PIANO SCHOLARSH</v>
      </c>
      <c r="G363" s="471">
        <v>51389.36</v>
      </c>
      <c r="H363" s="472">
        <v>39505</v>
      </c>
      <c r="I363" s="472">
        <v>1909.58</v>
      </c>
      <c r="J363" s="472">
        <v>5197.91</v>
      </c>
      <c r="K363" s="472">
        <v>0</v>
      </c>
      <c r="L363" s="472">
        <v>9500</v>
      </c>
      <c r="M363" s="472">
        <f t="shared" si="11"/>
        <v>107501.85</v>
      </c>
    </row>
    <row r="364" spans="1:13" ht="12.75" outlineLevel="1">
      <c r="A364" s="423" t="s">
        <v>1126</v>
      </c>
      <c r="C364" s="469"/>
      <c r="D364" s="469"/>
      <c r="E364" s="459" t="s">
        <v>1127</v>
      </c>
      <c r="F364" s="470" t="str">
        <f t="shared" si="10"/>
        <v>DORIS MARKHAM SWINNEY SCHOLAR</v>
      </c>
      <c r="G364" s="471">
        <v>10230.85</v>
      </c>
      <c r="H364" s="472">
        <v>100</v>
      </c>
      <c r="I364" s="472">
        <v>64.91</v>
      </c>
      <c r="J364" s="472">
        <v>1154.85</v>
      </c>
      <c r="K364" s="472">
        <v>0</v>
      </c>
      <c r="L364" s="472">
        <v>0</v>
      </c>
      <c r="M364" s="472">
        <f t="shared" si="11"/>
        <v>11550.61</v>
      </c>
    </row>
    <row r="365" spans="1:13" ht="12.75" outlineLevel="1">
      <c r="A365" s="423" t="s">
        <v>1128</v>
      </c>
      <c r="C365" s="469"/>
      <c r="D365" s="469"/>
      <c r="E365" s="459" t="s">
        <v>1129</v>
      </c>
      <c r="F365" s="470" t="str">
        <f t="shared" si="10"/>
        <v>LAW CLASS OF 1980 SCHP</v>
      </c>
      <c r="G365" s="471">
        <v>0</v>
      </c>
      <c r="H365" s="472">
        <v>0</v>
      </c>
      <c r="I365" s="472">
        <v>0</v>
      </c>
      <c r="J365" s="472">
        <v>0</v>
      </c>
      <c r="K365" s="472">
        <v>0</v>
      </c>
      <c r="L365" s="472">
        <v>15000</v>
      </c>
      <c r="M365" s="472">
        <f t="shared" si="11"/>
        <v>15000</v>
      </c>
    </row>
    <row r="366" spans="1:13" ht="12.75" outlineLevel="1">
      <c r="A366" s="423" t="s">
        <v>1130</v>
      </c>
      <c r="C366" s="469"/>
      <c r="D366" s="469"/>
      <c r="E366" s="459" t="s">
        <v>1131</v>
      </c>
      <c r="F366" s="470" t="str">
        <f t="shared" si="10"/>
        <v>DRS. BEATY &amp; DELORAS PEMBERTON</v>
      </c>
      <c r="G366" s="471">
        <v>30543.48</v>
      </c>
      <c r="H366" s="472">
        <v>15000</v>
      </c>
      <c r="I366" s="472">
        <v>576.92</v>
      </c>
      <c r="J366" s="472">
        <v>3557.93</v>
      </c>
      <c r="K366" s="472">
        <v>0</v>
      </c>
      <c r="L366" s="472">
        <v>7500</v>
      </c>
      <c r="M366" s="472">
        <f t="shared" si="11"/>
        <v>57178.329999999994</v>
      </c>
    </row>
    <row r="367" spans="1:13" ht="12.75" outlineLevel="1">
      <c r="A367" s="423" t="s">
        <v>1132</v>
      </c>
      <c r="C367" s="469"/>
      <c r="D367" s="469"/>
      <c r="E367" s="459" t="s">
        <v>1133</v>
      </c>
      <c r="F367" s="470" t="str">
        <f t="shared" si="10"/>
        <v>ARTHUR CRUTSINGER SCHOLARSHIP</v>
      </c>
      <c r="G367" s="471">
        <v>589447.75</v>
      </c>
      <c r="H367" s="472">
        <v>0</v>
      </c>
      <c r="I367" s="472">
        <v>8586.3</v>
      </c>
      <c r="J367" s="472">
        <v>52971.92</v>
      </c>
      <c r="K367" s="472">
        <v>0</v>
      </c>
      <c r="L367" s="472">
        <v>-518340</v>
      </c>
      <c r="M367" s="472">
        <f t="shared" si="11"/>
        <v>132665.9700000001</v>
      </c>
    </row>
    <row r="368" spans="1:13" ht="12.75" outlineLevel="1">
      <c r="A368" s="423" t="s">
        <v>1134</v>
      </c>
      <c r="C368" s="469"/>
      <c r="D368" s="469"/>
      <c r="E368" s="459" t="s">
        <v>1135</v>
      </c>
      <c r="F368" s="470" t="str">
        <f t="shared" si="10"/>
        <v>DR REANER &amp; H SHANNON-MINORITY</v>
      </c>
      <c r="G368" s="471">
        <v>13900.07</v>
      </c>
      <c r="H368" s="472">
        <v>9200</v>
      </c>
      <c r="I368" s="472">
        <v>526.29</v>
      </c>
      <c r="J368" s="472">
        <v>1499.38</v>
      </c>
      <c r="K368" s="472">
        <v>0</v>
      </c>
      <c r="L368" s="472">
        <v>0</v>
      </c>
      <c r="M368" s="472">
        <f t="shared" si="11"/>
        <v>25125.74</v>
      </c>
    </row>
    <row r="369" spans="1:13" ht="12.75" outlineLevel="1">
      <c r="A369" s="423" t="s">
        <v>1136</v>
      </c>
      <c r="C369" s="469"/>
      <c r="D369" s="469"/>
      <c r="E369" s="459" t="s">
        <v>1137</v>
      </c>
      <c r="F369" s="470" t="str">
        <f t="shared" si="10"/>
        <v>UMKC MED SCH-ALUMNI MATCH SCH</v>
      </c>
      <c r="G369" s="471">
        <v>11927.82</v>
      </c>
      <c r="H369" s="472">
        <v>1000</v>
      </c>
      <c r="I369" s="472">
        <v>841.35</v>
      </c>
      <c r="J369" s="472">
        <v>1718.29</v>
      </c>
      <c r="K369" s="472">
        <v>0</v>
      </c>
      <c r="L369" s="472">
        <v>42750</v>
      </c>
      <c r="M369" s="472">
        <f t="shared" si="11"/>
        <v>58237.46</v>
      </c>
    </row>
    <row r="370" spans="1:13" ht="12.75" outlineLevel="1">
      <c r="A370" s="423" t="s">
        <v>1138</v>
      </c>
      <c r="C370" s="469"/>
      <c r="D370" s="469"/>
      <c r="E370" s="459" t="s">
        <v>1139</v>
      </c>
      <c r="F370" s="470" t="str">
        <f t="shared" si="10"/>
        <v>EDWARD &amp; VICTORIA HARRIS SCH</v>
      </c>
      <c r="G370" s="471">
        <v>30370.16</v>
      </c>
      <c r="H370" s="472">
        <v>0</v>
      </c>
      <c r="I370" s="472">
        <v>798.33</v>
      </c>
      <c r="J370" s="472">
        <v>2386.83</v>
      </c>
      <c r="K370" s="472">
        <v>0</v>
      </c>
      <c r="L370" s="472">
        <v>0</v>
      </c>
      <c r="M370" s="472">
        <f t="shared" si="11"/>
        <v>33555.32</v>
      </c>
    </row>
    <row r="371" spans="1:13" ht="12.75" outlineLevel="1">
      <c r="A371" s="423" t="s">
        <v>1140</v>
      </c>
      <c r="C371" s="469"/>
      <c r="D371" s="469"/>
      <c r="E371" s="459" t="s">
        <v>1141</v>
      </c>
      <c r="F371" s="470" t="str">
        <f t="shared" si="10"/>
        <v>GEORGE SALISBURY JAZZ STUDIES</v>
      </c>
      <c r="G371" s="471">
        <v>16481.94</v>
      </c>
      <c r="H371" s="472">
        <v>95</v>
      </c>
      <c r="I371" s="472">
        <v>419.92</v>
      </c>
      <c r="J371" s="472">
        <v>1670.29</v>
      </c>
      <c r="K371" s="472">
        <v>0</v>
      </c>
      <c r="L371" s="472">
        <v>0</v>
      </c>
      <c r="M371" s="472">
        <f t="shared" si="11"/>
        <v>18667.149999999998</v>
      </c>
    </row>
    <row r="372" spans="1:13" ht="12.75" outlineLevel="1">
      <c r="A372" s="423" t="s">
        <v>1142</v>
      </c>
      <c r="C372" s="469"/>
      <c r="D372" s="469"/>
      <c r="E372" s="459" t="s">
        <v>1143</v>
      </c>
      <c r="F372" s="470" t="str">
        <f t="shared" si="10"/>
        <v>SUZANNE &amp; HARRY STATLAND LIBRY</v>
      </c>
      <c r="G372" s="471">
        <v>205709.1</v>
      </c>
      <c r="H372" s="472">
        <v>0</v>
      </c>
      <c r="I372" s="472">
        <v>5218.92</v>
      </c>
      <c r="J372" s="472">
        <v>20809.84</v>
      </c>
      <c r="K372" s="472">
        <v>0</v>
      </c>
      <c r="L372" s="472">
        <v>0</v>
      </c>
      <c r="M372" s="472">
        <f t="shared" si="11"/>
        <v>231737.86000000002</v>
      </c>
    </row>
    <row r="373" spans="1:13" ht="12.75" outlineLevel="1">
      <c r="A373" s="423" t="s">
        <v>1144</v>
      </c>
      <c r="C373" s="469"/>
      <c r="D373" s="469"/>
      <c r="E373" s="459" t="s">
        <v>1145</v>
      </c>
      <c r="F373" s="470" t="str">
        <f t="shared" si="10"/>
        <v>CATHERINE MACKAY MISSOURI SCH</v>
      </c>
      <c r="G373" s="471">
        <v>76805.48</v>
      </c>
      <c r="H373" s="472">
        <v>0</v>
      </c>
      <c r="I373" s="472">
        <v>3175.97</v>
      </c>
      <c r="J373" s="472">
        <v>9173.45</v>
      </c>
      <c r="K373" s="472">
        <v>0</v>
      </c>
      <c r="L373" s="472">
        <v>75000</v>
      </c>
      <c r="M373" s="472">
        <f t="shared" si="11"/>
        <v>164154.9</v>
      </c>
    </row>
    <row r="374" spans="1:13" ht="12.75" outlineLevel="1">
      <c r="A374" s="423" t="s">
        <v>1146</v>
      </c>
      <c r="C374" s="469"/>
      <c r="D374" s="469"/>
      <c r="E374" s="459" t="s">
        <v>1147</v>
      </c>
      <c r="F374" s="470" t="str">
        <f t="shared" si="10"/>
        <v>LEODIS &amp; JUNE DAVIS SCHLRSHP</v>
      </c>
      <c r="G374" s="471">
        <v>30458.97</v>
      </c>
      <c r="H374" s="472">
        <v>0</v>
      </c>
      <c r="I374" s="472">
        <v>363.78</v>
      </c>
      <c r="J374" s="472">
        <v>3061.1</v>
      </c>
      <c r="K374" s="472">
        <v>0</v>
      </c>
      <c r="L374" s="472">
        <v>0</v>
      </c>
      <c r="M374" s="472">
        <f t="shared" si="11"/>
        <v>33883.85</v>
      </c>
    </row>
    <row r="375" spans="1:13" ht="12.75" outlineLevel="1">
      <c r="A375" s="423" t="s">
        <v>1148</v>
      </c>
      <c r="C375" s="469"/>
      <c r="D375" s="469"/>
      <c r="E375" s="459" t="s">
        <v>1149</v>
      </c>
      <c r="F375" s="470" t="str">
        <f t="shared" si="10"/>
        <v>HOLCOM SCHOLARSHIP</v>
      </c>
      <c r="G375" s="471">
        <v>11431.01</v>
      </c>
      <c r="H375" s="472">
        <v>15000</v>
      </c>
      <c r="I375" s="472">
        <v>208.94</v>
      </c>
      <c r="J375" s="472">
        <v>1040.54</v>
      </c>
      <c r="K375" s="472">
        <v>0</v>
      </c>
      <c r="L375" s="472">
        <v>7500</v>
      </c>
      <c r="M375" s="472">
        <f t="shared" si="11"/>
        <v>35180.490000000005</v>
      </c>
    </row>
    <row r="376" spans="1:13" ht="12.75" outlineLevel="1">
      <c r="A376" s="423" t="s">
        <v>1150</v>
      </c>
      <c r="C376" s="469"/>
      <c r="D376" s="469"/>
      <c r="E376" s="459" t="s">
        <v>1151</v>
      </c>
      <c r="F376" s="470" t="str">
        <f t="shared" si="10"/>
        <v>CLARA SHUMWAY SCHOLARSHIP</v>
      </c>
      <c r="G376" s="471">
        <v>15133.73</v>
      </c>
      <c r="H376" s="472">
        <v>0</v>
      </c>
      <c r="I376" s="472">
        <v>629.5</v>
      </c>
      <c r="J376" s="472">
        <v>1809.64</v>
      </c>
      <c r="K376" s="472">
        <v>0</v>
      </c>
      <c r="L376" s="472">
        <v>15000</v>
      </c>
      <c r="M376" s="472">
        <f t="shared" si="11"/>
        <v>32572.87</v>
      </c>
    </row>
    <row r="377" spans="1:13" ht="12.75" outlineLevel="1">
      <c r="A377" s="423" t="s">
        <v>1152</v>
      </c>
      <c r="C377" s="469"/>
      <c r="D377" s="469"/>
      <c r="E377" s="459" t="s">
        <v>1153</v>
      </c>
      <c r="F377" s="470" t="str">
        <f t="shared" si="10"/>
        <v>RANDALL L. MILLER SCHOLARSHIP</v>
      </c>
      <c r="G377" s="471">
        <v>30458.97</v>
      </c>
      <c r="H377" s="472">
        <v>0</v>
      </c>
      <c r="I377" s="472">
        <v>363.78</v>
      </c>
      <c r="J377" s="472">
        <v>3061.1</v>
      </c>
      <c r="K377" s="472">
        <v>0</v>
      </c>
      <c r="L377" s="472">
        <v>0</v>
      </c>
      <c r="M377" s="472">
        <f t="shared" si="11"/>
        <v>33883.85</v>
      </c>
    </row>
    <row r="378" spans="1:13" ht="12.75" outlineLevel="1">
      <c r="A378" s="423" t="s">
        <v>1154</v>
      </c>
      <c r="C378" s="469"/>
      <c r="D378" s="469"/>
      <c r="E378" s="459" t="s">
        <v>1155</v>
      </c>
      <c r="F378" s="470" t="str">
        <f t="shared" si="10"/>
        <v>DAN BISHOP SCHOLARSHIP FUND</v>
      </c>
      <c r="G378" s="471">
        <v>27139.14</v>
      </c>
      <c r="H378" s="472">
        <v>4210</v>
      </c>
      <c r="I378" s="472">
        <v>810.38</v>
      </c>
      <c r="J378" s="472">
        <v>2891.93</v>
      </c>
      <c r="K378" s="472">
        <v>0</v>
      </c>
      <c r="L378" s="472">
        <v>1028.09</v>
      </c>
      <c r="M378" s="472">
        <f t="shared" si="11"/>
        <v>36079.53999999999</v>
      </c>
    </row>
    <row r="379" spans="1:13" ht="12.75" outlineLevel="1">
      <c r="A379" s="423" t="s">
        <v>1156</v>
      </c>
      <c r="C379" s="469"/>
      <c r="D379" s="469"/>
      <c r="E379" s="459" t="s">
        <v>1157</v>
      </c>
      <c r="F379" s="470" t="str">
        <f t="shared" si="10"/>
        <v>CORKY PFEIFFER MEMORIAL</v>
      </c>
      <c r="G379" s="471">
        <v>0</v>
      </c>
      <c r="H379" s="472">
        <v>0</v>
      </c>
      <c r="I379" s="472">
        <v>36.56</v>
      </c>
      <c r="J379" s="472">
        <v>145.76</v>
      </c>
      <c r="K379" s="472">
        <v>0</v>
      </c>
      <c r="L379" s="472">
        <v>1453.82</v>
      </c>
      <c r="M379" s="472">
        <f t="shared" si="11"/>
        <v>1636.1399999999999</v>
      </c>
    </row>
    <row r="380" spans="1:13" ht="12.75" outlineLevel="1">
      <c r="A380" s="423" t="s">
        <v>1158</v>
      </c>
      <c r="C380" s="469"/>
      <c r="D380" s="469"/>
      <c r="E380" s="459" t="s">
        <v>1159</v>
      </c>
      <c r="F380" s="470" t="str">
        <f t="shared" si="10"/>
        <v>GEORGE EHRLICH SCHOLARSHIP</v>
      </c>
      <c r="G380" s="471">
        <v>0</v>
      </c>
      <c r="H380" s="472">
        <v>3100</v>
      </c>
      <c r="I380" s="472">
        <v>237.49</v>
      </c>
      <c r="J380" s="472">
        <v>883.58</v>
      </c>
      <c r="K380" s="472">
        <v>0</v>
      </c>
      <c r="L380" s="472">
        <v>6873.94</v>
      </c>
      <c r="M380" s="472">
        <f t="shared" si="11"/>
        <v>11095.009999999998</v>
      </c>
    </row>
    <row r="381" spans="1:13" ht="12.75" outlineLevel="1">
      <c r="A381" s="423" t="s">
        <v>1160</v>
      </c>
      <c r="C381" s="469"/>
      <c r="D381" s="469"/>
      <c r="E381" s="459" t="s">
        <v>1161</v>
      </c>
      <c r="F381" s="470" t="str">
        <f t="shared" si="10"/>
        <v>EVELYN SUFFECOOL PHARMACY SCHR</v>
      </c>
      <c r="G381" s="471">
        <v>0</v>
      </c>
      <c r="H381" s="472">
        <v>0</v>
      </c>
      <c r="I381" s="472">
        <v>3256.68</v>
      </c>
      <c r="J381" s="472">
        <v>9492.15</v>
      </c>
      <c r="K381" s="472">
        <v>0</v>
      </c>
      <c r="L381" s="472">
        <v>155415.49</v>
      </c>
      <c r="M381" s="472">
        <f t="shared" si="11"/>
        <v>168164.31999999998</v>
      </c>
    </row>
    <row r="382" spans="1:13" ht="12.75" outlineLevel="1">
      <c r="A382" s="423" t="s">
        <v>1162</v>
      </c>
      <c r="C382" s="469"/>
      <c r="D382" s="469"/>
      <c r="E382" s="459" t="s">
        <v>1163</v>
      </c>
      <c r="F382" s="470" t="str">
        <f t="shared" si="10"/>
        <v>JAMES E. ALLEN SCHOLARSHIP</v>
      </c>
      <c r="G382" s="471">
        <v>0</v>
      </c>
      <c r="H382" s="472">
        <v>5000</v>
      </c>
      <c r="I382" s="472">
        <v>387.96</v>
      </c>
      <c r="J382" s="472">
        <v>1350.64</v>
      </c>
      <c r="K382" s="472">
        <v>0</v>
      </c>
      <c r="L382" s="472">
        <v>11029.89</v>
      </c>
      <c r="M382" s="472">
        <f t="shared" si="11"/>
        <v>17768.489999999998</v>
      </c>
    </row>
    <row r="383" spans="1:13" ht="12.75" outlineLevel="1">
      <c r="A383" s="423" t="s">
        <v>1164</v>
      </c>
      <c r="C383" s="469"/>
      <c r="D383" s="469"/>
      <c r="E383" s="459" t="s">
        <v>1165</v>
      </c>
      <c r="F383" s="470" t="str">
        <f t="shared" si="10"/>
        <v>NYBERG PHARMACY INDPNDNT SCHP</v>
      </c>
      <c r="G383" s="471">
        <v>31994.81</v>
      </c>
      <c r="H383" s="472">
        <v>0</v>
      </c>
      <c r="I383" s="472">
        <v>224.21</v>
      </c>
      <c r="J383" s="472">
        <v>3721.75</v>
      </c>
      <c r="K383" s="472">
        <v>0</v>
      </c>
      <c r="L383" s="472">
        <v>0</v>
      </c>
      <c r="M383" s="472">
        <f t="shared" si="11"/>
        <v>35940.770000000004</v>
      </c>
    </row>
    <row r="384" spans="1:13" ht="12.75" outlineLevel="1">
      <c r="A384" s="423" t="s">
        <v>1166</v>
      </c>
      <c r="C384" s="469"/>
      <c r="D384" s="469"/>
      <c r="E384" s="459" t="s">
        <v>1167</v>
      </c>
      <c r="F384" s="470" t="str">
        <f t="shared" si="10"/>
        <v>K L CHENG PHYSICS SCHOLARSHIP</v>
      </c>
      <c r="G384" s="471">
        <v>30684.15</v>
      </c>
      <c r="H384" s="472">
        <v>0</v>
      </c>
      <c r="I384" s="472">
        <v>1036.76</v>
      </c>
      <c r="J384" s="472">
        <v>5005.13</v>
      </c>
      <c r="K384" s="472">
        <v>0</v>
      </c>
      <c r="L384" s="472">
        <v>0</v>
      </c>
      <c r="M384" s="472">
        <f t="shared" si="11"/>
        <v>36726.04</v>
      </c>
    </row>
    <row r="385" spans="1:13" ht="12.75" outlineLevel="1">
      <c r="A385" s="423" t="s">
        <v>1168</v>
      </c>
      <c r="C385" s="469"/>
      <c r="D385" s="469"/>
      <c r="E385" s="459" t="s">
        <v>1169</v>
      </c>
      <c r="F385" s="470" t="str">
        <f t="shared" si="10"/>
        <v>PHYSICS DEPT SCHOLARSHIP 2</v>
      </c>
      <c r="G385" s="471">
        <v>0</v>
      </c>
      <c r="H385" s="472">
        <v>0</v>
      </c>
      <c r="I385" s="472">
        <v>0</v>
      </c>
      <c r="J385" s="472">
        <v>0</v>
      </c>
      <c r="K385" s="472">
        <v>0</v>
      </c>
      <c r="L385" s="472">
        <v>0</v>
      </c>
      <c r="M385" s="472">
        <f t="shared" si="11"/>
        <v>0</v>
      </c>
    </row>
    <row r="386" spans="1:13" ht="12.75" outlineLevel="1">
      <c r="A386" s="423" t="s">
        <v>1170</v>
      </c>
      <c r="C386" s="469"/>
      <c r="D386" s="469"/>
      <c r="E386" s="459" t="s">
        <v>1171</v>
      </c>
      <c r="F386" s="470" t="str">
        <f t="shared" si="10"/>
        <v>SUSIE SINTON SCHOLARSHIP</v>
      </c>
      <c r="G386" s="471">
        <v>0</v>
      </c>
      <c r="H386" s="472">
        <v>0</v>
      </c>
      <c r="I386" s="472">
        <v>3783.49</v>
      </c>
      <c r="J386" s="472">
        <v>10908.25</v>
      </c>
      <c r="K386" s="472">
        <v>0</v>
      </c>
      <c r="L386" s="472">
        <v>181423.1</v>
      </c>
      <c r="M386" s="472">
        <f t="shared" si="11"/>
        <v>196114.84</v>
      </c>
    </row>
    <row r="387" spans="1:13" ht="12.75" outlineLevel="1">
      <c r="A387" s="423" t="s">
        <v>1172</v>
      </c>
      <c r="C387" s="469"/>
      <c r="D387" s="469"/>
      <c r="E387" s="459" t="s">
        <v>1173</v>
      </c>
      <c r="F387" s="470" t="str">
        <f t="shared" si="10"/>
        <v>DR YOUNGJUNE CHANG SCHOLARSHIP</v>
      </c>
      <c r="G387" s="471">
        <v>30839.15</v>
      </c>
      <c r="H387" s="472">
        <v>0</v>
      </c>
      <c r="I387" s="472">
        <v>458.59</v>
      </c>
      <c r="J387" s="472">
        <v>3624.74</v>
      </c>
      <c r="K387" s="472">
        <v>0</v>
      </c>
      <c r="L387" s="472">
        <v>0</v>
      </c>
      <c r="M387" s="472">
        <f t="shared" si="11"/>
        <v>34922.48</v>
      </c>
    </row>
    <row r="388" spans="1:13" ht="12.75" outlineLevel="1">
      <c r="A388" s="423" t="s">
        <v>1174</v>
      </c>
      <c r="C388" s="469"/>
      <c r="D388" s="469"/>
      <c r="E388" s="459" t="s">
        <v>1175</v>
      </c>
      <c r="F388" s="470" t="str">
        <f t="shared" si="10"/>
        <v>DR. AND MRS. BHARAT SHAH SCHP</v>
      </c>
      <c r="G388" s="471">
        <v>30458.96</v>
      </c>
      <c r="H388" s="472">
        <v>0</v>
      </c>
      <c r="I388" s="472">
        <v>363.78</v>
      </c>
      <c r="J388" s="472">
        <v>3061.1</v>
      </c>
      <c r="K388" s="472">
        <v>0</v>
      </c>
      <c r="L388" s="472">
        <v>0</v>
      </c>
      <c r="M388" s="472">
        <f t="shared" si="11"/>
        <v>33883.84</v>
      </c>
    </row>
    <row r="389" spans="1:13" ht="12.75" outlineLevel="1">
      <c r="A389" s="423" t="s">
        <v>1176</v>
      </c>
      <c r="C389" s="469"/>
      <c r="D389" s="469"/>
      <c r="E389" s="459" t="s">
        <v>1177</v>
      </c>
      <c r="F389" s="470" t="str">
        <f t="shared" si="10"/>
        <v>THEATRE ART CHAIR</v>
      </c>
      <c r="G389" s="471">
        <v>756686.32</v>
      </c>
      <c r="H389" s="472">
        <v>750000</v>
      </c>
      <c r="I389" s="472">
        <v>23888.19</v>
      </c>
      <c r="J389" s="472">
        <v>71341.17</v>
      </c>
      <c r="K389" s="472">
        <v>0</v>
      </c>
      <c r="L389" s="472">
        <v>0</v>
      </c>
      <c r="M389" s="472">
        <f t="shared" si="11"/>
        <v>1601915.6799999997</v>
      </c>
    </row>
    <row r="390" spans="1:13" ht="12.75" outlineLevel="1">
      <c r="A390" s="423" t="s">
        <v>1178</v>
      </c>
      <c r="C390" s="469"/>
      <c r="D390" s="469"/>
      <c r="E390" s="459" t="s">
        <v>1179</v>
      </c>
      <c r="F390" s="470" t="str">
        <f t="shared" si="10"/>
        <v>KC REP DIRECTOR FUND</v>
      </c>
      <c r="G390" s="471">
        <v>504457.53</v>
      </c>
      <c r="H390" s="472">
        <v>500000</v>
      </c>
      <c r="I390" s="472">
        <v>16023.26</v>
      </c>
      <c r="J390" s="472">
        <v>47011.6</v>
      </c>
      <c r="K390" s="472">
        <v>0</v>
      </c>
      <c r="L390" s="472">
        <v>0</v>
      </c>
      <c r="M390" s="472">
        <f t="shared" si="11"/>
        <v>1067492.3900000001</v>
      </c>
    </row>
    <row r="391" spans="1:13" ht="12.75" outlineLevel="1">
      <c r="A391" s="423" t="s">
        <v>1180</v>
      </c>
      <c r="C391" s="469"/>
      <c r="D391" s="469"/>
      <c r="E391" s="459" t="s">
        <v>1181</v>
      </c>
      <c r="F391" s="470" t="str">
        <f t="shared" si="10"/>
        <v>DENTAL HYGIENE CLASS 1954 SCH</v>
      </c>
      <c r="G391" s="471">
        <v>30458.97</v>
      </c>
      <c r="H391" s="472">
        <v>0</v>
      </c>
      <c r="I391" s="472">
        <v>363.78</v>
      </c>
      <c r="J391" s="472">
        <v>3061.1</v>
      </c>
      <c r="K391" s="472">
        <v>0</v>
      </c>
      <c r="L391" s="472">
        <v>0</v>
      </c>
      <c r="M391" s="472">
        <f t="shared" si="11"/>
        <v>33883.85</v>
      </c>
    </row>
    <row r="392" spans="1:13" ht="12.75" outlineLevel="1">
      <c r="A392" s="423" t="s">
        <v>1182</v>
      </c>
      <c r="C392" s="469"/>
      <c r="D392" s="469"/>
      <c r="E392" s="459" t="s">
        <v>1183</v>
      </c>
      <c r="F392" s="444" t="str">
        <f t="shared" si="10"/>
        <v>DENTAL HYGIENE PROF SCHOLARSHP</v>
      </c>
      <c r="G392" s="519">
        <v>30458.97</v>
      </c>
      <c r="H392" s="472">
        <v>0</v>
      </c>
      <c r="I392" s="472">
        <v>363.78</v>
      </c>
      <c r="J392" s="472">
        <v>3061.1</v>
      </c>
      <c r="K392" s="472">
        <v>0</v>
      </c>
      <c r="L392" s="472">
        <v>0</v>
      </c>
      <c r="M392" s="472">
        <f t="shared" si="11"/>
        <v>33883.85</v>
      </c>
    </row>
    <row r="393" spans="1:13" ht="12.75" outlineLevel="1">
      <c r="A393" s="423" t="s">
        <v>1184</v>
      </c>
      <c r="C393" s="469"/>
      <c r="D393" s="469"/>
      <c r="E393" s="459" t="s">
        <v>1185</v>
      </c>
      <c r="F393" s="470" t="str">
        <f t="shared" si="10"/>
        <v>GRETEL SIGMUND THEATRE SCH</v>
      </c>
      <c r="G393" s="471">
        <v>10089.16</v>
      </c>
      <c r="H393" s="472">
        <v>0</v>
      </c>
      <c r="I393" s="472">
        <v>255.93</v>
      </c>
      <c r="J393" s="472">
        <v>1021.94</v>
      </c>
      <c r="K393" s="472">
        <v>0</v>
      </c>
      <c r="L393" s="472">
        <v>0</v>
      </c>
      <c r="M393" s="472">
        <f t="shared" si="11"/>
        <v>11367.03</v>
      </c>
    </row>
    <row r="394" spans="1:13" ht="12.75" outlineLevel="1">
      <c r="A394" s="423" t="s">
        <v>1186</v>
      </c>
      <c r="C394" s="469"/>
      <c r="D394" s="469"/>
      <c r="E394" s="459" t="s">
        <v>1187</v>
      </c>
      <c r="F394" s="470" t="str">
        <f t="shared" si="10"/>
        <v>FELIX &amp; CARMEN SABATES CHAIR</v>
      </c>
      <c r="G394" s="471">
        <v>1520052.64</v>
      </c>
      <c r="H394" s="472">
        <v>260</v>
      </c>
      <c r="I394" s="472">
        <v>32613.47</v>
      </c>
      <c r="J394" s="472">
        <v>154033.67</v>
      </c>
      <c r="K394" s="472">
        <v>0</v>
      </c>
      <c r="L394" s="472">
        <v>0</v>
      </c>
      <c r="M394" s="472">
        <f t="shared" si="11"/>
        <v>1706959.7799999998</v>
      </c>
    </row>
    <row r="395" spans="1:13" ht="12.75" outlineLevel="1">
      <c r="A395" s="423" t="s">
        <v>1188</v>
      </c>
      <c r="C395" s="469"/>
      <c r="D395" s="469"/>
      <c r="E395" s="459" t="s">
        <v>1189</v>
      </c>
      <c r="F395" s="470" t="str">
        <f aca="true" t="shared" si="12" ref="F395:F458">UPPER(E395)</f>
        <v>NURSING LIVING LEARNING COMM</v>
      </c>
      <c r="G395" s="471">
        <v>10133.18</v>
      </c>
      <c r="H395" s="472">
        <v>0</v>
      </c>
      <c r="I395" s="472">
        <v>256.89</v>
      </c>
      <c r="J395" s="472">
        <v>1029.36</v>
      </c>
      <c r="K395" s="472">
        <v>0</v>
      </c>
      <c r="L395" s="472">
        <v>0</v>
      </c>
      <c r="M395" s="472">
        <f aca="true" t="shared" si="13" ref="M395:M458">G395+H395+I395+J395-K395+L395</f>
        <v>11419.43</v>
      </c>
    </row>
    <row r="396" spans="1:13" ht="12.75" outlineLevel="1">
      <c r="A396" s="423" t="s">
        <v>1190</v>
      </c>
      <c r="C396" s="469"/>
      <c r="D396" s="469"/>
      <c r="E396" s="459" t="s">
        <v>1191</v>
      </c>
      <c r="F396" s="470" t="str">
        <f t="shared" si="12"/>
        <v>THEATRE/REP ENHANCEMENT FUND</v>
      </c>
      <c r="G396" s="471">
        <v>340561.41</v>
      </c>
      <c r="H396" s="472">
        <v>333333</v>
      </c>
      <c r="I396" s="472">
        <v>10723.13</v>
      </c>
      <c r="J396" s="472">
        <v>32183.07</v>
      </c>
      <c r="K396" s="472">
        <v>0</v>
      </c>
      <c r="L396" s="472">
        <v>0</v>
      </c>
      <c r="M396" s="472">
        <f t="shared" si="13"/>
        <v>716800.6099999999</v>
      </c>
    </row>
    <row r="397" spans="1:13" ht="12.75" outlineLevel="1">
      <c r="A397" s="423" t="s">
        <v>1192</v>
      </c>
      <c r="C397" s="469"/>
      <c r="D397" s="469"/>
      <c r="E397" s="459" t="s">
        <v>1193</v>
      </c>
      <c r="F397" s="470" t="str">
        <f t="shared" si="12"/>
        <v>MARIAN ALICE SIMMONS SCHLRSHP</v>
      </c>
      <c r="G397" s="471">
        <v>2439.23</v>
      </c>
      <c r="H397" s="472">
        <v>8530</v>
      </c>
      <c r="I397" s="472">
        <v>196.55</v>
      </c>
      <c r="J397" s="472">
        <v>70.53</v>
      </c>
      <c r="K397" s="472">
        <v>0</v>
      </c>
      <c r="L397" s="472">
        <v>6200</v>
      </c>
      <c r="M397" s="472">
        <f t="shared" si="13"/>
        <v>17436.309999999998</v>
      </c>
    </row>
    <row r="398" spans="1:13" ht="12.75" outlineLevel="1">
      <c r="A398" s="423" t="s">
        <v>1194</v>
      </c>
      <c r="C398" s="469"/>
      <c r="D398" s="469"/>
      <c r="E398" s="459" t="s">
        <v>1195</v>
      </c>
      <c r="F398" s="470" t="str">
        <f t="shared" si="12"/>
        <v>GOPPERT FOUND SCHP IN NURSING</v>
      </c>
      <c r="G398" s="471">
        <v>214294.29</v>
      </c>
      <c r="H398" s="472">
        <v>0</v>
      </c>
      <c r="I398" s="472">
        <v>3776.16</v>
      </c>
      <c r="J398" s="472">
        <v>21645.45</v>
      </c>
      <c r="K398" s="472">
        <v>0</v>
      </c>
      <c r="L398" s="472">
        <v>0</v>
      </c>
      <c r="M398" s="472">
        <f t="shared" si="13"/>
        <v>239715.90000000002</v>
      </c>
    </row>
    <row r="399" spans="1:13" ht="12.75" outlineLevel="1">
      <c r="A399" s="423" t="s">
        <v>1196</v>
      </c>
      <c r="C399" s="469"/>
      <c r="D399" s="469"/>
      <c r="E399" s="459" t="s">
        <v>1197</v>
      </c>
      <c r="F399" s="470" t="str">
        <f t="shared" si="12"/>
        <v>MARK AVERY STITT SCHOLARSHIP</v>
      </c>
      <c r="G399" s="471">
        <v>32214.68</v>
      </c>
      <c r="H399" s="472">
        <v>3000</v>
      </c>
      <c r="I399" s="472">
        <v>843.98</v>
      </c>
      <c r="J399" s="472">
        <v>3369.59</v>
      </c>
      <c r="K399" s="472">
        <v>0</v>
      </c>
      <c r="L399" s="472">
        <v>-1500</v>
      </c>
      <c r="M399" s="472">
        <f t="shared" si="13"/>
        <v>37928.25</v>
      </c>
    </row>
    <row r="400" spans="1:13" ht="12.75" outlineLevel="1">
      <c r="A400" s="423" t="s">
        <v>1198</v>
      </c>
      <c r="C400" s="469"/>
      <c r="D400" s="469"/>
      <c r="E400" s="459" t="s">
        <v>1199</v>
      </c>
      <c r="F400" s="470" t="str">
        <f t="shared" si="12"/>
        <v>JEROME DELMAS ESCOE SCHOLARSHP</v>
      </c>
      <c r="G400" s="471">
        <v>188.55</v>
      </c>
      <c r="H400" s="472">
        <v>260</v>
      </c>
      <c r="I400" s="472">
        <v>11.55</v>
      </c>
      <c r="J400" s="472">
        <v>36.17</v>
      </c>
      <c r="K400" s="472">
        <v>0</v>
      </c>
      <c r="L400" s="472">
        <v>0</v>
      </c>
      <c r="M400" s="472">
        <f t="shared" si="13"/>
        <v>496.27000000000004</v>
      </c>
    </row>
    <row r="401" spans="1:13" ht="12.75" outlineLevel="1">
      <c r="A401" s="423" t="s">
        <v>1200</v>
      </c>
      <c r="C401" s="469"/>
      <c r="D401" s="469"/>
      <c r="E401" s="459" t="s">
        <v>1201</v>
      </c>
      <c r="F401" s="470" t="str">
        <f t="shared" si="12"/>
        <v>RALPH ANDERSON SCHOLARSHIP</v>
      </c>
      <c r="G401" s="471">
        <v>31338.3</v>
      </c>
      <c r="H401" s="472">
        <v>0</v>
      </c>
      <c r="I401" s="472">
        <v>794.52</v>
      </c>
      <c r="J401" s="472">
        <v>3182.96</v>
      </c>
      <c r="K401" s="472">
        <v>0</v>
      </c>
      <c r="L401" s="472">
        <v>0</v>
      </c>
      <c r="M401" s="472">
        <f t="shared" si="13"/>
        <v>35315.78</v>
      </c>
    </row>
    <row r="402" spans="1:13" ht="12.75" outlineLevel="1">
      <c r="A402" s="423" t="s">
        <v>1202</v>
      </c>
      <c r="C402" s="469"/>
      <c r="D402" s="469"/>
      <c r="E402" s="459" t="s">
        <v>1203</v>
      </c>
      <c r="F402" s="470" t="str">
        <f t="shared" si="12"/>
        <v>LEO LONG/HISPANIC CC SCHLRSHP</v>
      </c>
      <c r="G402" s="471">
        <v>30399.53</v>
      </c>
      <c r="H402" s="472">
        <v>236</v>
      </c>
      <c r="I402" s="472">
        <v>653.16</v>
      </c>
      <c r="J402" s="472">
        <v>3080.49</v>
      </c>
      <c r="K402" s="472">
        <v>0</v>
      </c>
      <c r="L402" s="472">
        <v>0</v>
      </c>
      <c r="M402" s="472">
        <f t="shared" si="13"/>
        <v>34369.18</v>
      </c>
    </row>
    <row r="403" spans="1:13" ht="12.75" outlineLevel="1">
      <c r="A403" s="423" t="s">
        <v>1204</v>
      </c>
      <c r="C403" s="469"/>
      <c r="D403" s="469"/>
      <c r="E403" s="459" t="s">
        <v>1205</v>
      </c>
      <c r="F403" s="470" t="str">
        <f t="shared" si="12"/>
        <v>LOGAN M. HENDERSON-WILSON SCH</v>
      </c>
      <c r="G403" s="471">
        <v>0</v>
      </c>
      <c r="H403" s="472">
        <v>600</v>
      </c>
      <c r="I403" s="472">
        <v>10.67</v>
      </c>
      <c r="J403" s="472">
        <v>13.97</v>
      </c>
      <c r="K403" s="472">
        <v>0</v>
      </c>
      <c r="L403" s="472">
        <v>0</v>
      </c>
      <c r="M403" s="472">
        <f t="shared" si="13"/>
        <v>624.64</v>
      </c>
    </row>
    <row r="404" spans="1:13" ht="12.75" outlineLevel="1">
      <c r="A404" s="423" t="s">
        <v>1206</v>
      </c>
      <c r="C404" s="469"/>
      <c r="D404" s="469"/>
      <c r="E404" s="459" t="s">
        <v>1207</v>
      </c>
      <c r="F404" s="470" t="str">
        <f t="shared" si="12"/>
        <v>M. MARIE ROGERS SCHOLARSHIP</v>
      </c>
      <c r="G404" s="471">
        <v>381662.68</v>
      </c>
      <c r="H404" s="472">
        <v>0</v>
      </c>
      <c r="I404" s="472">
        <v>9676.53</v>
      </c>
      <c r="J404" s="472">
        <v>38770.19</v>
      </c>
      <c r="K404" s="472">
        <v>0</v>
      </c>
      <c r="L404" s="472">
        <v>0</v>
      </c>
      <c r="M404" s="472">
        <f t="shared" si="13"/>
        <v>430109.4</v>
      </c>
    </row>
    <row r="405" spans="1:13" ht="12.75" outlineLevel="1">
      <c r="A405" s="423" t="s">
        <v>1208</v>
      </c>
      <c r="C405" s="469"/>
      <c r="D405" s="469"/>
      <c r="E405" s="459" t="s">
        <v>1209</v>
      </c>
      <c r="F405" s="470" t="str">
        <f t="shared" si="12"/>
        <v>MARIE DUNNE MEMORIAL SCHLSHP</v>
      </c>
      <c r="G405" s="471">
        <v>49908.14</v>
      </c>
      <c r="H405" s="472">
        <v>0</v>
      </c>
      <c r="I405" s="472">
        <v>1265.32</v>
      </c>
      <c r="J405" s="472">
        <v>5069.81</v>
      </c>
      <c r="K405" s="472">
        <v>0</v>
      </c>
      <c r="L405" s="472">
        <v>0</v>
      </c>
      <c r="M405" s="472">
        <f t="shared" si="13"/>
        <v>56243.27</v>
      </c>
    </row>
    <row r="406" spans="1:13" ht="12.75" outlineLevel="1">
      <c r="A406" s="423" t="s">
        <v>1210</v>
      </c>
      <c r="C406" s="469"/>
      <c r="D406" s="469"/>
      <c r="E406" s="459" t="s">
        <v>1211</v>
      </c>
      <c r="F406" s="470" t="str">
        <f t="shared" si="12"/>
        <v>DR WILBER &amp; MARY LOU SPALDING</v>
      </c>
      <c r="G406" s="471">
        <v>16987.23</v>
      </c>
      <c r="H406" s="472">
        <v>0</v>
      </c>
      <c r="I406" s="472">
        <v>431.32</v>
      </c>
      <c r="J406" s="472">
        <v>1455.58</v>
      </c>
      <c r="K406" s="472">
        <v>0</v>
      </c>
      <c r="L406" s="472">
        <v>0</v>
      </c>
      <c r="M406" s="472">
        <f t="shared" si="13"/>
        <v>18874.129999999997</v>
      </c>
    </row>
    <row r="407" spans="1:13" ht="12.75" outlineLevel="1">
      <c r="A407" s="423" t="s">
        <v>1212</v>
      </c>
      <c r="C407" s="469"/>
      <c r="D407" s="469"/>
      <c r="E407" s="459" t="s">
        <v>1213</v>
      </c>
      <c r="F407" s="470" t="str">
        <f t="shared" si="12"/>
        <v>NEAL CHAIR</v>
      </c>
      <c r="G407" s="471">
        <v>0</v>
      </c>
      <c r="H407" s="472">
        <v>0</v>
      </c>
      <c r="I407" s="472">
        <v>19646.14</v>
      </c>
      <c r="J407" s="472">
        <v>53348.84</v>
      </c>
      <c r="K407" s="472">
        <v>0</v>
      </c>
      <c r="L407" s="472">
        <v>1112443.46</v>
      </c>
      <c r="M407" s="472">
        <f t="shared" si="13"/>
        <v>1185438.44</v>
      </c>
    </row>
    <row r="408" spans="1:13" ht="12.75" outlineLevel="1">
      <c r="A408" s="423" t="s">
        <v>1214</v>
      </c>
      <c r="C408" s="469"/>
      <c r="D408" s="469"/>
      <c r="E408" s="459" t="s">
        <v>1215</v>
      </c>
      <c r="F408" s="470" t="str">
        <f t="shared" si="12"/>
        <v>SPRINT URBAN EDUCATION SCHLSHP</v>
      </c>
      <c r="G408" s="471">
        <v>304880.1</v>
      </c>
      <c r="H408" s="472">
        <v>150000</v>
      </c>
      <c r="I408" s="472">
        <v>8664.22</v>
      </c>
      <c r="J408" s="472">
        <v>28147.01</v>
      </c>
      <c r="K408" s="472">
        <v>0</v>
      </c>
      <c r="L408" s="472">
        <v>0</v>
      </c>
      <c r="M408" s="472">
        <f t="shared" si="13"/>
        <v>491691.32999999996</v>
      </c>
    </row>
    <row r="409" spans="1:13" ht="12.75" outlineLevel="1">
      <c r="A409" s="423" t="s">
        <v>1216</v>
      </c>
      <c r="C409" s="469"/>
      <c r="D409" s="469"/>
      <c r="E409" s="459" t="s">
        <v>1217</v>
      </c>
      <c r="F409" s="470" t="str">
        <f t="shared" si="12"/>
        <v>STEPHEN WILES, MD SCHOLARSHIP</v>
      </c>
      <c r="G409" s="471">
        <v>30488.02</v>
      </c>
      <c r="H409" s="472">
        <v>15000</v>
      </c>
      <c r="I409" s="472">
        <v>897.89</v>
      </c>
      <c r="J409" s="472">
        <v>2814.7</v>
      </c>
      <c r="K409" s="472">
        <v>0</v>
      </c>
      <c r="L409" s="472">
        <v>7500</v>
      </c>
      <c r="M409" s="472">
        <f t="shared" si="13"/>
        <v>56700.61</v>
      </c>
    </row>
    <row r="410" spans="1:13" ht="12.75" outlineLevel="1">
      <c r="A410" s="423" t="s">
        <v>1218</v>
      </c>
      <c r="C410" s="469"/>
      <c r="D410" s="469"/>
      <c r="E410" s="459" t="s">
        <v>1219</v>
      </c>
      <c r="F410" s="470" t="str">
        <f t="shared" si="12"/>
        <v>MARY ANN &amp; WILLIAM OSBORNE SCH</v>
      </c>
      <c r="G410" s="471">
        <v>30399.53</v>
      </c>
      <c r="H410" s="472">
        <v>0</v>
      </c>
      <c r="I410" s="472">
        <v>652.16</v>
      </c>
      <c r="J410" s="472">
        <v>3080.49</v>
      </c>
      <c r="K410" s="472">
        <v>0</v>
      </c>
      <c r="L410" s="472">
        <v>0</v>
      </c>
      <c r="M410" s="472">
        <f t="shared" si="13"/>
        <v>34132.18</v>
      </c>
    </row>
    <row r="411" spans="1:13" ht="12.75" outlineLevel="1">
      <c r="A411" s="423" t="s">
        <v>1220</v>
      </c>
      <c r="C411" s="469"/>
      <c r="D411" s="469"/>
      <c r="E411" s="459" t="s">
        <v>1221</v>
      </c>
      <c r="F411" s="470" t="str">
        <f t="shared" si="12"/>
        <v>BLUE CROSS / JOHNSON SCHOLRSHP</v>
      </c>
      <c r="G411" s="471">
        <v>30353.3</v>
      </c>
      <c r="H411" s="472">
        <v>0</v>
      </c>
      <c r="I411" s="472">
        <v>677.77</v>
      </c>
      <c r="J411" s="472">
        <v>3539.23</v>
      </c>
      <c r="K411" s="472">
        <v>0</v>
      </c>
      <c r="L411" s="472">
        <v>3302.32</v>
      </c>
      <c r="M411" s="472">
        <f t="shared" si="13"/>
        <v>37872.62</v>
      </c>
    </row>
    <row r="412" spans="1:13" ht="12.75" outlineLevel="1">
      <c r="A412" s="423" t="s">
        <v>1222</v>
      </c>
      <c r="C412" s="469"/>
      <c r="D412" s="469"/>
      <c r="E412" s="459" t="s">
        <v>1223</v>
      </c>
      <c r="F412" s="470" t="str">
        <f t="shared" si="12"/>
        <v>DAVID POOLE SCHOLARSHP</v>
      </c>
      <c r="G412" s="471">
        <v>60247.58</v>
      </c>
      <c r="H412" s="472">
        <v>2415</v>
      </c>
      <c r="I412" s="472">
        <v>1654.28</v>
      </c>
      <c r="J412" s="472">
        <v>4043.96</v>
      </c>
      <c r="K412" s="472">
        <v>0</v>
      </c>
      <c r="L412" s="472">
        <v>0</v>
      </c>
      <c r="M412" s="472">
        <f t="shared" si="13"/>
        <v>68360.82</v>
      </c>
    </row>
    <row r="413" spans="1:13" ht="12.75" outlineLevel="1">
      <c r="A413" s="423" t="s">
        <v>1224</v>
      </c>
      <c r="C413" s="469"/>
      <c r="D413" s="469"/>
      <c r="E413" s="459" t="s">
        <v>1225</v>
      </c>
      <c r="F413" s="470" t="str">
        <f t="shared" si="12"/>
        <v>ROBERT DOWNS SCHOLARSHIP</v>
      </c>
      <c r="G413" s="471">
        <v>30307.06</v>
      </c>
      <c r="H413" s="472">
        <v>723</v>
      </c>
      <c r="I413" s="472">
        <v>659.94</v>
      </c>
      <c r="J413" s="472">
        <v>3061.18</v>
      </c>
      <c r="K413" s="472">
        <v>0</v>
      </c>
      <c r="L413" s="472">
        <v>15000</v>
      </c>
      <c r="M413" s="472">
        <f t="shared" si="13"/>
        <v>49751.18</v>
      </c>
    </row>
    <row r="414" spans="1:13" ht="12.75" outlineLevel="1">
      <c r="A414" s="423" t="s">
        <v>1226</v>
      </c>
      <c r="C414" s="469"/>
      <c r="D414" s="469"/>
      <c r="E414" s="459" t="s">
        <v>1227</v>
      </c>
      <c r="F414" s="470" t="str">
        <f t="shared" si="12"/>
        <v>STANLEY H. DURWOOD SCHOLARSHIP</v>
      </c>
      <c r="G414" s="471">
        <v>60614.15</v>
      </c>
      <c r="H414" s="472">
        <v>0</v>
      </c>
      <c r="I414" s="472">
        <v>1536.51</v>
      </c>
      <c r="J414" s="472">
        <v>6164.01</v>
      </c>
      <c r="K414" s="472">
        <v>0</v>
      </c>
      <c r="L414" s="472">
        <v>0</v>
      </c>
      <c r="M414" s="472">
        <f t="shared" si="13"/>
        <v>68314.67</v>
      </c>
    </row>
    <row r="415" spans="1:13" ht="12.75" outlineLevel="1">
      <c r="A415" s="423" t="s">
        <v>1228</v>
      </c>
      <c r="C415" s="469"/>
      <c r="D415" s="469"/>
      <c r="E415" s="459" t="s">
        <v>1229</v>
      </c>
      <c r="F415" s="470" t="str">
        <f t="shared" si="12"/>
        <v>MEDICINE CLASS OF 1979</v>
      </c>
      <c r="G415" s="471">
        <v>30141.88</v>
      </c>
      <c r="H415" s="472">
        <v>1750</v>
      </c>
      <c r="I415" s="472">
        <v>843.22</v>
      </c>
      <c r="J415" s="472">
        <v>2060.38</v>
      </c>
      <c r="K415" s="472">
        <v>0</v>
      </c>
      <c r="L415" s="472">
        <v>0</v>
      </c>
      <c r="M415" s="472">
        <f t="shared" si="13"/>
        <v>34795.48</v>
      </c>
    </row>
    <row r="416" spans="1:13" ht="12.75" outlineLevel="1">
      <c r="A416" s="423" t="s">
        <v>1230</v>
      </c>
      <c r="C416" s="469"/>
      <c r="D416" s="469"/>
      <c r="E416" s="459" t="s">
        <v>1231</v>
      </c>
      <c r="F416" s="470" t="str">
        <f t="shared" si="12"/>
        <v>MEDICINE CLASS OF 1980</v>
      </c>
      <c r="G416" s="471">
        <v>4016.24</v>
      </c>
      <c r="H416" s="472">
        <v>8650</v>
      </c>
      <c r="I416" s="472">
        <v>215.93</v>
      </c>
      <c r="J416" s="472">
        <v>202.64</v>
      </c>
      <c r="K416" s="472">
        <v>0</v>
      </c>
      <c r="L416" s="472">
        <v>0</v>
      </c>
      <c r="M416" s="472">
        <f t="shared" si="13"/>
        <v>13084.81</v>
      </c>
    </row>
    <row r="417" spans="1:13" ht="12.75" outlineLevel="1">
      <c r="A417" s="423" t="s">
        <v>1232</v>
      </c>
      <c r="C417" s="469"/>
      <c r="D417" s="469"/>
      <c r="E417" s="459" t="s">
        <v>1233</v>
      </c>
      <c r="F417" s="470" t="str">
        <f t="shared" si="12"/>
        <v>MEDICINE CLASS OF 1981</v>
      </c>
      <c r="G417" s="471">
        <v>251.02</v>
      </c>
      <c r="H417" s="472">
        <v>2800</v>
      </c>
      <c r="I417" s="472">
        <v>55.89</v>
      </c>
      <c r="J417" s="472">
        <v>84.04</v>
      </c>
      <c r="K417" s="472">
        <v>0</v>
      </c>
      <c r="L417" s="472">
        <v>0</v>
      </c>
      <c r="M417" s="472">
        <f t="shared" si="13"/>
        <v>3190.95</v>
      </c>
    </row>
    <row r="418" spans="1:13" ht="12.75" outlineLevel="1">
      <c r="A418" s="423" t="s">
        <v>1234</v>
      </c>
      <c r="C418" s="469"/>
      <c r="D418" s="469"/>
      <c r="E418" s="459" t="s">
        <v>1235</v>
      </c>
      <c r="F418" s="470" t="str">
        <f t="shared" si="12"/>
        <v>MEDICINE CLASS OF 1982</v>
      </c>
      <c r="G418" s="471">
        <v>6124.77</v>
      </c>
      <c r="H418" s="472">
        <v>1000</v>
      </c>
      <c r="I418" s="472">
        <v>189.6</v>
      </c>
      <c r="J418" s="472">
        <v>468.34</v>
      </c>
      <c r="K418" s="472">
        <v>0</v>
      </c>
      <c r="L418" s="472">
        <v>0</v>
      </c>
      <c r="M418" s="472">
        <f t="shared" si="13"/>
        <v>7782.710000000001</v>
      </c>
    </row>
    <row r="419" spans="1:13" ht="12.75" outlineLevel="1">
      <c r="A419" s="423" t="s">
        <v>1236</v>
      </c>
      <c r="C419" s="469"/>
      <c r="D419" s="469"/>
      <c r="E419" s="459" t="s">
        <v>1237</v>
      </c>
      <c r="F419" s="470" t="str">
        <f t="shared" si="12"/>
        <v>MEDICINE CLASS OF 1985</v>
      </c>
      <c r="G419" s="471">
        <v>6576.59</v>
      </c>
      <c r="H419" s="472">
        <v>4800</v>
      </c>
      <c r="I419" s="472">
        <v>244.99</v>
      </c>
      <c r="J419" s="472">
        <v>479.9</v>
      </c>
      <c r="K419" s="472">
        <v>0</v>
      </c>
      <c r="L419" s="472">
        <v>0</v>
      </c>
      <c r="M419" s="472">
        <f t="shared" si="13"/>
        <v>12101.48</v>
      </c>
    </row>
    <row r="420" spans="1:13" ht="12.75" outlineLevel="1">
      <c r="A420" s="423" t="s">
        <v>1238</v>
      </c>
      <c r="C420" s="469"/>
      <c r="D420" s="469"/>
      <c r="E420" s="459" t="s">
        <v>1239</v>
      </c>
      <c r="F420" s="470" t="str">
        <f t="shared" si="12"/>
        <v>MEDICINE CLASS OF 1986</v>
      </c>
      <c r="G420" s="471">
        <v>4869.69</v>
      </c>
      <c r="H420" s="472">
        <v>3950</v>
      </c>
      <c r="I420" s="472">
        <v>184.68</v>
      </c>
      <c r="J420" s="472">
        <v>430.63</v>
      </c>
      <c r="K420" s="472">
        <v>0</v>
      </c>
      <c r="L420" s="472">
        <v>0</v>
      </c>
      <c r="M420" s="472">
        <f t="shared" si="13"/>
        <v>9434.999999999998</v>
      </c>
    </row>
    <row r="421" spans="1:13" ht="12.75" outlineLevel="1">
      <c r="A421" s="423" t="s">
        <v>1240</v>
      </c>
      <c r="C421" s="469"/>
      <c r="D421" s="469"/>
      <c r="E421" s="459" t="s">
        <v>1241</v>
      </c>
      <c r="F421" s="470" t="str">
        <f t="shared" si="12"/>
        <v>MEDICINE CLASS OF 1987</v>
      </c>
      <c r="G421" s="471">
        <v>1004.06</v>
      </c>
      <c r="H421" s="472">
        <v>100</v>
      </c>
      <c r="I421" s="472">
        <v>28.12</v>
      </c>
      <c r="J421" s="472">
        <v>64.69</v>
      </c>
      <c r="K421" s="472">
        <v>0</v>
      </c>
      <c r="L421" s="472">
        <v>0</v>
      </c>
      <c r="M421" s="472">
        <f t="shared" si="13"/>
        <v>1196.87</v>
      </c>
    </row>
    <row r="422" spans="1:13" ht="12.75" outlineLevel="1">
      <c r="A422" s="423" t="s">
        <v>1242</v>
      </c>
      <c r="C422" s="469"/>
      <c r="D422" s="469"/>
      <c r="E422" s="459" t="s">
        <v>1243</v>
      </c>
      <c r="F422" s="470" t="str">
        <f t="shared" si="12"/>
        <v>MEDICINE CLASS OF 1989</v>
      </c>
      <c r="G422" s="471">
        <v>1104.47</v>
      </c>
      <c r="H422" s="472">
        <v>350</v>
      </c>
      <c r="I422" s="472">
        <v>39.05</v>
      </c>
      <c r="J422" s="472">
        <v>95.39</v>
      </c>
      <c r="K422" s="472">
        <v>0</v>
      </c>
      <c r="L422" s="472">
        <v>0</v>
      </c>
      <c r="M422" s="472">
        <f t="shared" si="13"/>
        <v>1588.91</v>
      </c>
    </row>
    <row r="423" spans="1:13" ht="12.75" outlineLevel="1">
      <c r="A423" s="423" t="s">
        <v>1244</v>
      </c>
      <c r="C423" s="469"/>
      <c r="D423" s="469"/>
      <c r="E423" s="459" t="s">
        <v>1245</v>
      </c>
      <c r="F423" s="470" t="str">
        <f t="shared" si="12"/>
        <v>MEDICINE CLASS OF 1990</v>
      </c>
      <c r="G423" s="471">
        <v>1480.99</v>
      </c>
      <c r="H423" s="472">
        <v>1650</v>
      </c>
      <c r="I423" s="472">
        <v>54.99</v>
      </c>
      <c r="J423" s="472">
        <v>78.66</v>
      </c>
      <c r="K423" s="472">
        <v>0</v>
      </c>
      <c r="L423" s="472">
        <v>0</v>
      </c>
      <c r="M423" s="472">
        <f t="shared" si="13"/>
        <v>3264.6399999999994</v>
      </c>
    </row>
    <row r="424" spans="1:13" ht="12.75" outlineLevel="1">
      <c r="A424" s="423" t="s">
        <v>1246</v>
      </c>
      <c r="C424" s="469"/>
      <c r="D424" s="469"/>
      <c r="E424" s="459" t="s">
        <v>1247</v>
      </c>
      <c r="F424" s="470" t="str">
        <f t="shared" si="12"/>
        <v>MEDICINE CLASS OF 1995</v>
      </c>
      <c r="G424" s="471">
        <v>0</v>
      </c>
      <c r="H424" s="472">
        <v>2075</v>
      </c>
      <c r="I424" s="472">
        <v>26.85</v>
      </c>
      <c r="J424" s="472">
        <v>18.92</v>
      </c>
      <c r="K424" s="472">
        <v>0</v>
      </c>
      <c r="L424" s="472">
        <v>0</v>
      </c>
      <c r="M424" s="472">
        <f t="shared" si="13"/>
        <v>2120.77</v>
      </c>
    </row>
    <row r="425" spans="1:13" ht="12.75" outlineLevel="1">
      <c r="A425" s="423" t="s">
        <v>1248</v>
      </c>
      <c r="C425" s="469"/>
      <c r="D425" s="469"/>
      <c r="E425" s="459" t="s">
        <v>1249</v>
      </c>
      <c r="F425" s="470" t="str">
        <f t="shared" si="12"/>
        <v>MEDICINE CLASS OF 2000</v>
      </c>
      <c r="G425" s="471">
        <v>451.83</v>
      </c>
      <c r="H425" s="472">
        <v>435</v>
      </c>
      <c r="I425" s="472">
        <v>17.79</v>
      </c>
      <c r="J425" s="472">
        <v>23.04</v>
      </c>
      <c r="K425" s="472">
        <v>0</v>
      </c>
      <c r="L425" s="472">
        <v>0</v>
      </c>
      <c r="M425" s="472">
        <f t="shared" si="13"/>
        <v>927.6599999999999</v>
      </c>
    </row>
    <row r="426" spans="1:13" ht="12.75" outlineLevel="1">
      <c r="A426" s="423" t="s">
        <v>1250</v>
      </c>
      <c r="C426" s="469"/>
      <c r="D426" s="469"/>
      <c r="E426" s="459" t="s">
        <v>1251</v>
      </c>
      <c r="F426" s="470" t="str">
        <f t="shared" si="12"/>
        <v>ATHLETIC FOUNDATION SCHOLARSHP</v>
      </c>
      <c r="G426" s="471">
        <v>30121.8</v>
      </c>
      <c r="H426" s="472">
        <v>15000</v>
      </c>
      <c r="I426" s="472">
        <v>1051.32</v>
      </c>
      <c r="J426" s="472">
        <v>1705.67</v>
      </c>
      <c r="K426" s="472">
        <v>0</v>
      </c>
      <c r="L426" s="472">
        <v>7500</v>
      </c>
      <c r="M426" s="472">
        <f t="shared" si="13"/>
        <v>55378.79</v>
      </c>
    </row>
    <row r="427" spans="1:13" ht="12.75" outlineLevel="1">
      <c r="A427" s="423" t="s">
        <v>1252</v>
      </c>
      <c r="C427" s="469"/>
      <c r="D427" s="469"/>
      <c r="E427" s="459" t="s">
        <v>1253</v>
      </c>
      <c r="F427" s="470" t="str">
        <f t="shared" si="12"/>
        <v>TUNG - DIMOND SCHOLARSHIP</v>
      </c>
      <c r="G427" s="471">
        <v>30121.8</v>
      </c>
      <c r="H427" s="472">
        <v>0</v>
      </c>
      <c r="I427" s="472">
        <v>807.48</v>
      </c>
      <c r="J427" s="472">
        <v>1980.42</v>
      </c>
      <c r="K427" s="472">
        <v>0</v>
      </c>
      <c r="L427" s="472">
        <v>0</v>
      </c>
      <c r="M427" s="472">
        <f t="shared" si="13"/>
        <v>32909.7</v>
      </c>
    </row>
    <row r="428" spans="1:13" ht="12.75" outlineLevel="1">
      <c r="A428" s="423" t="s">
        <v>1254</v>
      </c>
      <c r="C428" s="469"/>
      <c r="D428" s="469"/>
      <c r="E428" s="459" t="s">
        <v>1255</v>
      </c>
      <c r="F428" s="470" t="str">
        <f t="shared" si="12"/>
        <v>DR. GRACE ALBANO SCHOLARSHIP</v>
      </c>
      <c r="G428" s="471">
        <v>30151.15</v>
      </c>
      <c r="H428" s="472">
        <v>0</v>
      </c>
      <c r="I428" s="472">
        <v>403.75</v>
      </c>
      <c r="J428" s="472">
        <v>990.21</v>
      </c>
      <c r="K428" s="472">
        <v>0</v>
      </c>
      <c r="L428" s="472">
        <v>0</v>
      </c>
      <c r="M428" s="472">
        <f t="shared" si="13"/>
        <v>31545.11</v>
      </c>
    </row>
    <row r="429" spans="1:13" ht="12.75" outlineLevel="1">
      <c r="A429" s="423" t="s">
        <v>1256</v>
      </c>
      <c r="C429" s="469"/>
      <c r="D429" s="469"/>
      <c r="E429" s="459" t="s">
        <v>1257</v>
      </c>
      <c r="F429" s="470" t="str">
        <f t="shared" si="12"/>
        <v>MICHAEL ALBANO SCHOLARSHIP</v>
      </c>
      <c r="G429" s="471">
        <v>30151.15</v>
      </c>
      <c r="H429" s="472">
        <v>0</v>
      </c>
      <c r="I429" s="472">
        <v>403.75</v>
      </c>
      <c r="J429" s="472">
        <v>990.21</v>
      </c>
      <c r="K429" s="472">
        <v>0</v>
      </c>
      <c r="L429" s="472">
        <v>0</v>
      </c>
      <c r="M429" s="472">
        <f t="shared" si="13"/>
        <v>31545.11</v>
      </c>
    </row>
    <row r="430" spans="1:13" ht="12.75" outlineLevel="1">
      <c r="A430" s="423" t="s">
        <v>1258</v>
      </c>
      <c r="C430" s="469"/>
      <c r="D430" s="469"/>
      <c r="E430" s="459" t="s">
        <v>1259</v>
      </c>
      <c r="F430" s="470" t="str">
        <f t="shared" si="12"/>
        <v>BRADLEY L. BRADSHAW SCHOLARSHP</v>
      </c>
      <c r="G430" s="471">
        <v>30121.8</v>
      </c>
      <c r="H430" s="472">
        <v>0</v>
      </c>
      <c r="I430" s="472">
        <v>807.48</v>
      </c>
      <c r="J430" s="472">
        <v>1980.42</v>
      </c>
      <c r="K430" s="472">
        <v>0</v>
      </c>
      <c r="L430" s="472">
        <v>0</v>
      </c>
      <c r="M430" s="472">
        <f t="shared" si="13"/>
        <v>32909.7</v>
      </c>
    </row>
    <row r="431" spans="1:13" ht="12.75" outlineLevel="1">
      <c r="A431" s="423" t="s">
        <v>1260</v>
      </c>
      <c r="C431" s="469"/>
      <c r="D431" s="469"/>
      <c r="E431" s="459" t="s">
        <v>1261</v>
      </c>
      <c r="F431" s="470" t="str">
        <f t="shared" si="12"/>
        <v>THE ROSENTHAL FAMILY SCHOLRSHP</v>
      </c>
      <c r="G431" s="471">
        <v>30246.35</v>
      </c>
      <c r="H431" s="472">
        <v>0</v>
      </c>
      <c r="I431" s="472">
        <v>788.68</v>
      </c>
      <c r="J431" s="472">
        <v>2534.46</v>
      </c>
      <c r="K431" s="472">
        <v>0</v>
      </c>
      <c r="L431" s="472">
        <v>0</v>
      </c>
      <c r="M431" s="472">
        <f t="shared" si="13"/>
        <v>33569.49</v>
      </c>
    </row>
    <row r="432" spans="1:13" ht="12.75" outlineLevel="1">
      <c r="A432" s="423" t="s">
        <v>1262</v>
      </c>
      <c r="C432" s="469"/>
      <c r="D432" s="469"/>
      <c r="E432" s="459" t="s">
        <v>1263</v>
      </c>
      <c r="F432" s="470" t="str">
        <f t="shared" si="12"/>
        <v>THEATRE DEPARTMENT SCHOLARSHIP</v>
      </c>
      <c r="G432" s="471">
        <v>502.03</v>
      </c>
      <c r="H432" s="472">
        <v>40149</v>
      </c>
      <c r="I432" s="472">
        <v>965.2</v>
      </c>
      <c r="J432" s="472">
        <v>1079.7</v>
      </c>
      <c r="K432" s="472">
        <v>0</v>
      </c>
      <c r="L432" s="472">
        <v>40000</v>
      </c>
      <c r="M432" s="472">
        <f t="shared" si="13"/>
        <v>82695.93</v>
      </c>
    </row>
    <row r="433" spans="1:13" ht="12.75" outlineLevel="1">
      <c r="A433" s="423" t="s">
        <v>1264</v>
      </c>
      <c r="C433" s="469"/>
      <c r="D433" s="469"/>
      <c r="E433" s="459" t="s">
        <v>1265</v>
      </c>
      <c r="F433" s="470" t="str">
        <f t="shared" si="12"/>
        <v>WILLIAM J. FRENCH SCHOLARSHIP</v>
      </c>
      <c r="G433" s="471">
        <v>301.22</v>
      </c>
      <c r="H433" s="472">
        <v>30260</v>
      </c>
      <c r="I433" s="472">
        <v>124.94</v>
      </c>
      <c r="J433" s="472">
        <v>226.07</v>
      </c>
      <c r="K433" s="472">
        <v>30912.23</v>
      </c>
      <c r="L433" s="472">
        <v>0</v>
      </c>
      <c r="M433" s="472">
        <f t="shared" si="13"/>
        <v>0</v>
      </c>
    </row>
    <row r="434" spans="1:13" ht="12.75" outlineLevel="1">
      <c r="A434" s="423" t="s">
        <v>1266</v>
      </c>
      <c r="C434" s="469"/>
      <c r="D434" s="469"/>
      <c r="E434" s="459" t="s">
        <v>1267</v>
      </c>
      <c r="F434" s="470" t="str">
        <f t="shared" si="12"/>
        <v>MICHAEL WEAVER SCHOLARSHIP</v>
      </c>
      <c r="G434" s="471">
        <v>30828.56</v>
      </c>
      <c r="H434" s="472">
        <v>0</v>
      </c>
      <c r="I434" s="472">
        <v>803.44</v>
      </c>
      <c r="J434" s="472">
        <v>2593.65</v>
      </c>
      <c r="K434" s="472">
        <v>0</v>
      </c>
      <c r="L434" s="472">
        <v>0</v>
      </c>
      <c r="M434" s="472">
        <f t="shared" si="13"/>
        <v>34225.65</v>
      </c>
    </row>
    <row r="435" spans="1:13" ht="12.75" outlineLevel="1">
      <c r="A435" s="423" t="s">
        <v>1268</v>
      </c>
      <c r="C435" s="469"/>
      <c r="D435" s="469"/>
      <c r="E435" s="459" t="s">
        <v>1269</v>
      </c>
      <c r="F435" s="470" t="str">
        <f t="shared" si="12"/>
        <v>CARBONELL/SPALDING LIB STAFF</v>
      </c>
      <c r="G435" s="471">
        <v>0</v>
      </c>
      <c r="H435" s="472">
        <v>3682</v>
      </c>
      <c r="I435" s="472">
        <v>159.92</v>
      </c>
      <c r="J435" s="472">
        <v>326.54</v>
      </c>
      <c r="K435" s="472">
        <v>0</v>
      </c>
      <c r="L435" s="472">
        <v>5010</v>
      </c>
      <c r="M435" s="472">
        <f t="shared" si="13"/>
        <v>9178.46</v>
      </c>
    </row>
    <row r="436" spans="1:13" ht="12.75" outlineLevel="1">
      <c r="A436" s="423" t="s">
        <v>1270</v>
      </c>
      <c r="C436" s="469"/>
      <c r="D436" s="469"/>
      <c r="E436" s="459" t="s">
        <v>1271</v>
      </c>
      <c r="F436" s="470" t="str">
        <f t="shared" si="12"/>
        <v>STANLEY DEACON SCHOLARSHIP</v>
      </c>
      <c r="G436" s="471">
        <v>0</v>
      </c>
      <c r="H436" s="472">
        <v>1600</v>
      </c>
      <c r="I436" s="472">
        <v>34.39</v>
      </c>
      <c r="J436" s="472">
        <v>70.1</v>
      </c>
      <c r="K436" s="472">
        <v>7.98</v>
      </c>
      <c r="L436" s="472">
        <v>0</v>
      </c>
      <c r="M436" s="472">
        <f t="shared" si="13"/>
        <v>1696.51</v>
      </c>
    </row>
    <row r="437" spans="1:13" ht="12.75" outlineLevel="1">
      <c r="A437" s="423" t="s">
        <v>1272</v>
      </c>
      <c r="C437" s="469"/>
      <c r="D437" s="469"/>
      <c r="E437" s="459" t="s">
        <v>1273</v>
      </c>
      <c r="F437" s="470" t="str">
        <f t="shared" si="12"/>
        <v>WIKTOR LABUNSKI SCHOLARSHIP</v>
      </c>
      <c r="G437" s="471">
        <v>0</v>
      </c>
      <c r="H437" s="472">
        <v>1655.5</v>
      </c>
      <c r="I437" s="472">
        <v>18.21</v>
      </c>
      <c r="J437" s="472">
        <v>-18.09</v>
      </c>
      <c r="K437" s="472">
        <v>0</v>
      </c>
      <c r="L437" s="472">
        <v>0</v>
      </c>
      <c r="M437" s="472">
        <f t="shared" si="13"/>
        <v>1655.6200000000001</v>
      </c>
    </row>
    <row r="438" spans="1:13" ht="12.75" outlineLevel="1">
      <c r="A438" s="423" t="s">
        <v>1274</v>
      </c>
      <c r="C438" s="469"/>
      <c r="D438" s="469"/>
      <c r="E438" s="459" t="s">
        <v>1275</v>
      </c>
      <c r="F438" s="470" t="str">
        <f t="shared" si="12"/>
        <v>PHYSICS SCHOLARSHIP</v>
      </c>
      <c r="G438" s="471">
        <v>0</v>
      </c>
      <c r="H438" s="472">
        <v>15000</v>
      </c>
      <c r="I438" s="472">
        <v>293.84</v>
      </c>
      <c r="J438" s="472">
        <v>499.58</v>
      </c>
      <c r="K438" s="472">
        <v>0</v>
      </c>
      <c r="L438" s="472">
        <v>15000</v>
      </c>
      <c r="M438" s="472">
        <f t="shared" si="13"/>
        <v>30793.42</v>
      </c>
    </row>
    <row r="439" spans="1:13" ht="12.75" outlineLevel="1">
      <c r="A439" s="423" t="s">
        <v>1276</v>
      </c>
      <c r="C439" s="469"/>
      <c r="D439" s="469"/>
      <c r="E439" s="459" t="s">
        <v>1277</v>
      </c>
      <c r="F439" s="470" t="str">
        <f t="shared" si="12"/>
        <v>HONORABLE KAREN MCCARTHY SCHP</v>
      </c>
      <c r="G439" s="471">
        <v>0</v>
      </c>
      <c r="H439" s="472">
        <v>10000</v>
      </c>
      <c r="I439" s="472">
        <v>237.93</v>
      </c>
      <c r="J439" s="472">
        <v>333.98</v>
      </c>
      <c r="K439" s="472">
        <v>0</v>
      </c>
      <c r="L439" s="472">
        <v>10000</v>
      </c>
      <c r="M439" s="472">
        <f t="shared" si="13"/>
        <v>20571.91</v>
      </c>
    </row>
    <row r="440" spans="1:13" ht="12.75" outlineLevel="1">
      <c r="A440" s="423" t="s">
        <v>1278</v>
      </c>
      <c r="C440" s="469"/>
      <c r="D440" s="469"/>
      <c r="E440" s="459" t="s">
        <v>1279</v>
      </c>
      <c r="F440" s="444" t="str">
        <f t="shared" si="12"/>
        <v>R. J. STERN FOUND- ART SCHP</v>
      </c>
      <c r="G440" s="519">
        <v>0</v>
      </c>
      <c r="H440" s="472">
        <v>25000</v>
      </c>
      <c r="I440" s="472">
        <v>489.74</v>
      </c>
      <c r="J440" s="472">
        <v>832.64</v>
      </c>
      <c r="K440" s="472">
        <v>0</v>
      </c>
      <c r="L440" s="472">
        <v>25000</v>
      </c>
      <c r="M440" s="472">
        <f t="shared" si="13"/>
        <v>51322.380000000005</v>
      </c>
    </row>
    <row r="441" spans="1:13" ht="12.75" outlineLevel="1">
      <c r="A441" s="423" t="s">
        <v>1280</v>
      </c>
      <c r="C441" s="469"/>
      <c r="D441" s="469"/>
      <c r="E441" s="459" t="s">
        <v>1281</v>
      </c>
      <c r="F441" s="470" t="str">
        <f t="shared" si="12"/>
        <v>DR STEPHEN LEHMKUHLE IUE SCHP</v>
      </c>
      <c r="G441" s="471">
        <v>0</v>
      </c>
      <c r="H441" s="472">
        <v>12055</v>
      </c>
      <c r="I441" s="472">
        <v>377.09</v>
      </c>
      <c r="J441" s="472">
        <v>479.48</v>
      </c>
      <c r="K441" s="472">
        <v>0</v>
      </c>
      <c r="L441" s="472">
        <v>19500</v>
      </c>
      <c r="M441" s="472">
        <f t="shared" si="13"/>
        <v>32411.57</v>
      </c>
    </row>
    <row r="442" spans="1:13" ht="12.75" outlineLevel="1">
      <c r="A442" s="423" t="s">
        <v>1282</v>
      </c>
      <c r="C442" s="469"/>
      <c r="D442" s="469"/>
      <c r="E442" s="459" t="s">
        <v>1283</v>
      </c>
      <c r="F442" s="470" t="str">
        <f t="shared" si="12"/>
        <v>MEDICINE CLASS OF 2001</v>
      </c>
      <c r="G442" s="471">
        <v>0</v>
      </c>
      <c r="H442" s="472">
        <v>150</v>
      </c>
      <c r="I442" s="472">
        <v>1.95</v>
      </c>
      <c r="J442" s="472">
        <v>1.5</v>
      </c>
      <c r="K442" s="472">
        <v>0</v>
      </c>
      <c r="L442" s="472">
        <v>0</v>
      </c>
      <c r="M442" s="472">
        <f t="shared" si="13"/>
        <v>153.45</v>
      </c>
    </row>
    <row r="443" spans="1:13" ht="12.75" outlineLevel="1">
      <c r="A443" s="423" t="s">
        <v>1284</v>
      </c>
      <c r="C443" s="469"/>
      <c r="D443" s="469"/>
      <c r="E443" s="459" t="s">
        <v>1285</v>
      </c>
      <c r="F443" s="470" t="str">
        <f t="shared" si="12"/>
        <v>GEOSCIENCES SCHOLARSHIP</v>
      </c>
      <c r="G443" s="471">
        <v>0</v>
      </c>
      <c r="H443" s="472">
        <v>7740</v>
      </c>
      <c r="I443" s="472">
        <v>129.94</v>
      </c>
      <c r="J443" s="472">
        <v>-83.97</v>
      </c>
      <c r="K443" s="472">
        <v>0</v>
      </c>
      <c r="L443" s="472">
        <v>6969.75</v>
      </c>
      <c r="M443" s="472">
        <f t="shared" si="13"/>
        <v>14755.72</v>
      </c>
    </row>
    <row r="444" spans="1:13" ht="12.75" outlineLevel="1">
      <c r="A444" s="423" t="s">
        <v>1286</v>
      </c>
      <c r="C444" s="469"/>
      <c r="D444" s="469"/>
      <c r="E444" s="459" t="s">
        <v>1287</v>
      </c>
      <c r="F444" s="470" t="str">
        <f t="shared" si="12"/>
        <v>UMKC MUSLIM STU ASSOC. SCHLRSP</v>
      </c>
      <c r="G444" s="471">
        <v>0</v>
      </c>
      <c r="H444" s="472">
        <v>11431</v>
      </c>
      <c r="I444" s="472">
        <v>118.33</v>
      </c>
      <c r="J444" s="472">
        <v>35.76</v>
      </c>
      <c r="K444" s="472">
        <v>0</v>
      </c>
      <c r="L444" s="472">
        <v>6275</v>
      </c>
      <c r="M444" s="472">
        <f t="shared" si="13"/>
        <v>17860.09</v>
      </c>
    </row>
    <row r="445" spans="1:13" ht="12.75" outlineLevel="1">
      <c r="A445" s="423" t="s">
        <v>1288</v>
      </c>
      <c r="C445" s="469"/>
      <c r="D445" s="469"/>
      <c r="E445" s="459" t="s">
        <v>1289</v>
      </c>
      <c r="F445" s="470" t="str">
        <f t="shared" si="12"/>
        <v>MEDICINE CLASS OF 1991</v>
      </c>
      <c r="G445" s="471">
        <v>0</v>
      </c>
      <c r="H445" s="472">
        <v>8005</v>
      </c>
      <c r="I445" s="472">
        <v>42.79</v>
      </c>
      <c r="J445" s="472">
        <v>-55.94</v>
      </c>
      <c r="K445" s="472">
        <v>0</v>
      </c>
      <c r="L445" s="472">
        <v>0</v>
      </c>
      <c r="M445" s="472">
        <f t="shared" si="13"/>
        <v>7991.85</v>
      </c>
    </row>
    <row r="446" spans="1:13" ht="12.75" outlineLevel="1">
      <c r="A446" s="423" t="s">
        <v>1290</v>
      </c>
      <c r="C446" s="469"/>
      <c r="D446" s="469"/>
      <c r="E446" s="459" t="s">
        <v>1291</v>
      </c>
      <c r="F446" s="470" t="str">
        <f t="shared" si="12"/>
        <v>TIRA / FLYNN SCHOLARSHIP</v>
      </c>
      <c r="G446" s="471">
        <v>0</v>
      </c>
      <c r="H446" s="472">
        <v>650.82</v>
      </c>
      <c r="I446" s="472">
        <v>6.8</v>
      </c>
      <c r="J446" s="472">
        <v>-8.33</v>
      </c>
      <c r="K446" s="472">
        <v>0</v>
      </c>
      <c r="L446" s="472">
        <v>0</v>
      </c>
      <c r="M446" s="472">
        <f t="shared" si="13"/>
        <v>649.29</v>
      </c>
    </row>
    <row r="447" spans="1:13" ht="12.75" outlineLevel="1">
      <c r="A447" s="423" t="s">
        <v>1292</v>
      </c>
      <c r="C447" s="469"/>
      <c r="D447" s="469"/>
      <c r="E447" s="459" t="s">
        <v>1293</v>
      </c>
      <c r="F447" s="470" t="str">
        <f t="shared" si="12"/>
        <v>ACCURSO SCHOLARSHIP</v>
      </c>
      <c r="G447" s="471">
        <v>0</v>
      </c>
      <c r="H447" s="472">
        <v>15000</v>
      </c>
      <c r="I447" s="472">
        <v>245.63</v>
      </c>
      <c r="J447" s="472">
        <v>276.71</v>
      </c>
      <c r="K447" s="472">
        <v>0</v>
      </c>
      <c r="L447" s="472">
        <v>15000</v>
      </c>
      <c r="M447" s="472">
        <f t="shared" si="13"/>
        <v>30522.339999999997</v>
      </c>
    </row>
    <row r="448" spans="1:13" ht="12.75" outlineLevel="1">
      <c r="A448" s="423" t="s">
        <v>1294</v>
      </c>
      <c r="C448" s="469"/>
      <c r="D448" s="469"/>
      <c r="E448" s="459" t="s">
        <v>1295</v>
      </c>
      <c r="F448" s="470" t="str">
        <f t="shared" si="12"/>
        <v>IDA BAMBERGER MEMORIAL RSCH</v>
      </c>
      <c r="G448" s="471">
        <v>0</v>
      </c>
      <c r="H448" s="472">
        <v>70000</v>
      </c>
      <c r="I448" s="472">
        <v>991</v>
      </c>
      <c r="J448" s="472">
        <v>-1282.12</v>
      </c>
      <c r="K448" s="472">
        <v>0</v>
      </c>
      <c r="L448" s="472">
        <v>0</v>
      </c>
      <c r="M448" s="472">
        <f t="shared" si="13"/>
        <v>69708.88</v>
      </c>
    </row>
    <row r="449" spans="1:13" ht="12.75" outlineLevel="1">
      <c r="A449" s="423" t="s">
        <v>1296</v>
      </c>
      <c r="C449" s="469"/>
      <c r="D449" s="469"/>
      <c r="E449" s="459" t="s">
        <v>1297</v>
      </c>
      <c r="F449" s="470" t="str">
        <f t="shared" si="12"/>
        <v>IDA BAMBERGER MEMORIAL SCHP</v>
      </c>
      <c r="G449" s="471">
        <v>0</v>
      </c>
      <c r="H449" s="472">
        <v>30000</v>
      </c>
      <c r="I449" s="472">
        <v>519.15</v>
      </c>
      <c r="J449" s="472">
        <v>-549.49</v>
      </c>
      <c r="K449" s="472">
        <v>0</v>
      </c>
      <c r="L449" s="472">
        <v>22500</v>
      </c>
      <c r="M449" s="472">
        <f t="shared" si="13"/>
        <v>52469.66</v>
      </c>
    </row>
    <row r="450" spans="1:13" ht="12.75" outlineLevel="1">
      <c r="A450" s="423" t="s">
        <v>1298</v>
      </c>
      <c r="C450" s="469"/>
      <c r="D450" s="469"/>
      <c r="E450" s="459" t="s">
        <v>1299</v>
      </c>
      <c r="F450" s="470" t="str">
        <f t="shared" si="12"/>
        <v>FRANCIS SECOND CENTURY SCHP</v>
      </c>
      <c r="G450" s="471">
        <v>0</v>
      </c>
      <c r="H450" s="472">
        <v>125000</v>
      </c>
      <c r="I450" s="472">
        <v>782.46</v>
      </c>
      <c r="J450" s="472">
        <v>-884.26</v>
      </c>
      <c r="K450" s="472">
        <v>0</v>
      </c>
      <c r="L450" s="472">
        <v>0</v>
      </c>
      <c r="M450" s="472">
        <f t="shared" si="13"/>
        <v>124898.20000000001</v>
      </c>
    </row>
    <row r="451" spans="1:13" ht="12.75" outlineLevel="1">
      <c r="A451" s="423" t="s">
        <v>1300</v>
      </c>
      <c r="C451" s="469"/>
      <c r="D451" s="469"/>
      <c r="E451" s="459" t="s">
        <v>1301</v>
      </c>
      <c r="F451" s="470" t="str">
        <f t="shared" si="12"/>
        <v>ISLAMIC EDUCATIONAL SVCS SCHP</v>
      </c>
      <c r="G451" s="471">
        <v>0</v>
      </c>
      <c r="H451" s="472">
        <v>15000</v>
      </c>
      <c r="I451" s="472">
        <v>212.36</v>
      </c>
      <c r="J451" s="472">
        <v>-274.74</v>
      </c>
      <c r="K451" s="472">
        <v>0</v>
      </c>
      <c r="L451" s="472">
        <v>0</v>
      </c>
      <c r="M451" s="472">
        <f t="shared" si="13"/>
        <v>14937.62</v>
      </c>
    </row>
    <row r="452" spans="1:13" ht="12.75" outlineLevel="1">
      <c r="A452" s="423" t="s">
        <v>1302</v>
      </c>
      <c r="C452" s="469"/>
      <c r="D452" s="469"/>
      <c r="E452" s="459" t="s">
        <v>1303</v>
      </c>
      <c r="F452" s="470" t="str">
        <f t="shared" si="12"/>
        <v>MOHAMMED &amp; MUBEEN MOHIUDDIN</v>
      </c>
      <c r="G452" s="471">
        <v>0</v>
      </c>
      <c r="H452" s="472">
        <v>15000</v>
      </c>
      <c r="I452" s="472">
        <v>212.36</v>
      </c>
      <c r="J452" s="472">
        <v>-274.74</v>
      </c>
      <c r="K452" s="472">
        <v>0</v>
      </c>
      <c r="L452" s="472">
        <v>0</v>
      </c>
      <c r="M452" s="472">
        <f t="shared" si="13"/>
        <v>14937.62</v>
      </c>
    </row>
    <row r="453" spans="1:13" ht="12.75" outlineLevel="1">
      <c r="A453" s="423" t="s">
        <v>1304</v>
      </c>
      <c r="C453" s="469"/>
      <c r="D453" s="469"/>
      <c r="E453" s="459" t="s">
        <v>1305</v>
      </c>
      <c r="F453" s="470" t="str">
        <f t="shared" si="12"/>
        <v>CAMPUS FACILITIES MGMT MATCHNG</v>
      </c>
      <c r="G453" s="471">
        <v>0</v>
      </c>
      <c r="H453" s="472">
        <v>15000</v>
      </c>
      <c r="I453" s="472">
        <v>212.36</v>
      </c>
      <c r="J453" s="472">
        <v>-274.74</v>
      </c>
      <c r="K453" s="472">
        <v>0</v>
      </c>
      <c r="L453" s="472">
        <v>0</v>
      </c>
      <c r="M453" s="472">
        <f t="shared" si="13"/>
        <v>14937.62</v>
      </c>
    </row>
    <row r="454" spans="1:13" ht="12.75" outlineLevel="1">
      <c r="A454" s="423" t="s">
        <v>1306</v>
      </c>
      <c r="C454" s="469"/>
      <c r="D454" s="469"/>
      <c r="E454" s="459" t="s">
        <v>1307</v>
      </c>
      <c r="F454" s="470" t="str">
        <f t="shared" si="12"/>
        <v>WC / TURNER SCHOLARSHIP</v>
      </c>
      <c r="G454" s="471">
        <v>0</v>
      </c>
      <c r="H454" s="472">
        <v>16717.32</v>
      </c>
      <c r="I454" s="472">
        <v>223.52</v>
      </c>
      <c r="J454" s="472">
        <v>101.64</v>
      </c>
      <c r="K454" s="472">
        <v>0</v>
      </c>
      <c r="L454" s="472">
        <v>15000</v>
      </c>
      <c r="M454" s="472">
        <f t="shared" si="13"/>
        <v>32042.48</v>
      </c>
    </row>
    <row r="455" spans="1:13" ht="12.75" outlineLevel="1">
      <c r="A455" s="423" t="s">
        <v>1308</v>
      </c>
      <c r="C455" s="469"/>
      <c r="D455" s="469"/>
      <c r="E455" s="459" t="s">
        <v>1309</v>
      </c>
      <c r="F455" s="470" t="str">
        <f t="shared" si="12"/>
        <v>RICHARD T. GARCIA MEMORIAL AWD</v>
      </c>
      <c r="G455" s="471">
        <v>0</v>
      </c>
      <c r="H455" s="472">
        <v>2650</v>
      </c>
      <c r="I455" s="472">
        <v>37.53</v>
      </c>
      <c r="J455" s="472">
        <v>-48.55</v>
      </c>
      <c r="K455" s="472">
        <v>0</v>
      </c>
      <c r="L455" s="472">
        <v>0</v>
      </c>
      <c r="M455" s="472">
        <f t="shared" si="13"/>
        <v>2638.98</v>
      </c>
    </row>
    <row r="456" spans="1:13" ht="12.75" outlineLevel="1">
      <c r="A456" s="423" t="s">
        <v>1310</v>
      </c>
      <c r="C456" s="469"/>
      <c r="D456" s="469"/>
      <c r="E456" s="459" t="s">
        <v>1311</v>
      </c>
      <c r="F456" s="470" t="str">
        <f t="shared" si="12"/>
        <v>DST CONSERVATORY SCHOLARSHIP</v>
      </c>
      <c r="G456" s="471">
        <v>0</v>
      </c>
      <c r="H456" s="472">
        <v>30000</v>
      </c>
      <c r="I456" s="472">
        <v>424.71</v>
      </c>
      <c r="J456" s="472">
        <v>-549.49</v>
      </c>
      <c r="K456" s="472">
        <v>0</v>
      </c>
      <c r="L456" s="472">
        <v>22500</v>
      </c>
      <c r="M456" s="472">
        <f t="shared" si="13"/>
        <v>52375.22</v>
      </c>
    </row>
    <row r="457" spans="1:13" ht="12.75" outlineLevel="1">
      <c r="A457" s="423" t="s">
        <v>1312</v>
      </c>
      <c r="C457" s="469"/>
      <c r="D457" s="469"/>
      <c r="E457" s="459" t="s">
        <v>1313</v>
      </c>
      <c r="F457" s="470" t="str">
        <f t="shared" si="12"/>
        <v>NAILLING SOCIETY SCHOLARSHIP</v>
      </c>
      <c r="G457" s="471">
        <v>0</v>
      </c>
      <c r="H457" s="472">
        <v>30000</v>
      </c>
      <c r="I457" s="472">
        <v>519.14</v>
      </c>
      <c r="J457" s="472">
        <v>-549.49</v>
      </c>
      <c r="K457" s="472">
        <v>0</v>
      </c>
      <c r="L457" s="472">
        <v>22500</v>
      </c>
      <c r="M457" s="472">
        <f t="shared" si="13"/>
        <v>52469.649999999994</v>
      </c>
    </row>
    <row r="458" spans="1:13" ht="12.75" outlineLevel="1">
      <c r="A458" s="423" t="s">
        <v>1314</v>
      </c>
      <c r="C458" s="469"/>
      <c r="D458" s="469"/>
      <c r="E458" s="459" t="s">
        <v>1315</v>
      </c>
      <c r="F458" s="470" t="str">
        <f t="shared" si="12"/>
        <v>ALUMNI ASSOCIATION SCHOLARSHIP</v>
      </c>
      <c r="G458" s="471">
        <v>0</v>
      </c>
      <c r="H458" s="472">
        <v>15000</v>
      </c>
      <c r="I458" s="472">
        <v>177.05</v>
      </c>
      <c r="J458" s="472">
        <v>-172.39</v>
      </c>
      <c r="K458" s="472">
        <v>0</v>
      </c>
      <c r="L458" s="472">
        <v>15000</v>
      </c>
      <c r="M458" s="472">
        <f t="shared" si="13"/>
        <v>30004.66</v>
      </c>
    </row>
    <row r="459" spans="1:13" ht="12.75" outlineLevel="1">
      <c r="A459" s="423" t="s">
        <v>1316</v>
      </c>
      <c r="C459" s="469"/>
      <c r="D459" s="469"/>
      <c r="E459" s="459" t="s">
        <v>1317</v>
      </c>
      <c r="F459" s="470" t="str">
        <f aca="true" t="shared" si="14" ref="F459:F500">UPPER(E459)</f>
        <v>THOMAS MCMORRIS SCHOLARSHIP</v>
      </c>
      <c r="G459" s="471">
        <v>0</v>
      </c>
      <c r="H459" s="472">
        <v>4715</v>
      </c>
      <c r="I459" s="472">
        <v>57.47</v>
      </c>
      <c r="J459" s="472">
        <v>-79.38</v>
      </c>
      <c r="K459" s="472">
        <v>0</v>
      </c>
      <c r="L459" s="472">
        <v>0</v>
      </c>
      <c r="M459" s="472">
        <f aca="true" t="shared" si="15" ref="M459:M500">G459+H459+I459+J459-K459+L459</f>
        <v>4693.09</v>
      </c>
    </row>
    <row r="460" spans="1:13" ht="12.75" outlineLevel="1">
      <c r="A460" s="423" t="s">
        <v>1318</v>
      </c>
      <c r="C460" s="469"/>
      <c r="D460" s="469"/>
      <c r="E460" s="459" t="s">
        <v>1319</v>
      </c>
      <c r="F460" s="470" t="str">
        <f t="shared" si="14"/>
        <v>HAMILTON AWARDS</v>
      </c>
      <c r="G460" s="471">
        <v>0</v>
      </c>
      <c r="H460" s="472">
        <v>3000</v>
      </c>
      <c r="I460" s="472">
        <v>43.63</v>
      </c>
      <c r="J460" s="472">
        <v>-70.61</v>
      </c>
      <c r="K460" s="472">
        <v>0</v>
      </c>
      <c r="L460" s="472">
        <v>7000</v>
      </c>
      <c r="M460" s="472">
        <f t="shared" si="15"/>
        <v>9973.02</v>
      </c>
    </row>
    <row r="461" spans="1:13" ht="12.75" outlineLevel="1">
      <c r="A461" s="423" t="s">
        <v>1320</v>
      </c>
      <c r="C461" s="469"/>
      <c r="D461" s="469"/>
      <c r="E461" s="459" t="s">
        <v>1321</v>
      </c>
      <c r="F461" s="470" t="str">
        <f t="shared" si="14"/>
        <v>TRAVIS D.L. NEWSOME SCHOLARSHP</v>
      </c>
      <c r="G461" s="471">
        <v>0</v>
      </c>
      <c r="H461" s="472">
        <v>4100</v>
      </c>
      <c r="I461" s="472">
        <v>48.39</v>
      </c>
      <c r="J461" s="472">
        <v>-47.12</v>
      </c>
      <c r="K461" s="472">
        <v>0</v>
      </c>
      <c r="L461" s="472">
        <v>0</v>
      </c>
      <c r="M461" s="472">
        <f t="shared" si="15"/>
        <v>4101.27</v>
      </c>
    </row>
    <row r="462" spans="1:13" ht="12.75" outlineLevel="1">
      <c r="A462" s="423" t="s">
        <v>1322</v>
      </c>
      <c r="C462" s="469"/>
      <c r="D462" s="469"/>
      <c r="E462" s="459" t="s">
        <v>1323</v>
      </c>
      <c r="F462" s="470" t="str">
        <f t="shared" si="14"/>
        <v>INSTITUTE FOR URBAN EDUC SCHP</v>
      </c>
      <c r="G462" s="471">
        <v>0</v>
      </c>
      <c r="H462" s="472">
        <v>1525</v>
      </c>
      <c r="I462" s="472">
        <v>20.27</v>
      </c>
      <c r="J462" s="472">
        <v>-30.06</v>
      </c>
      <c r="K462" s="472">
        <v>0</v>
      </c>
      <c r="L462" s="472">
        <v>0</v>
      </c>
      <c r="M462" s="472">
        <f t="shared" si="15"/>
        <v>1515.21</v>
      </c>
    </row>
    <row r="463" spans="1:13" ht="12.75" outlineLevel="1">
      <c r="A463" s="423" t="s">
        <v>1324</v>
      </c>
      <c r="C463" s="469"/>
      <c r="D463" s="469"/>
      <c r="E463" s="459" t="s">
        <v>1325</v>
      </c>
      <c r="F463" s="470" t="str">
        <f t="shared" si="14"/>
        <v>MEDICINE CLASS OF 1996</v>
      </c>
      <c r="G463" s="471">
        <v>0</v>
      </c>
      <c r="H463" s="472">
        <v>1200</v>
      </c>
      <c r="I463" s="472">
        <v>13.02</v>
      </c>
      <c r="J463" s="472">
        <v>-19.5</v>
      </c>
      <c r="K463" s="472">
        <v>0</v>
      </c>
      <c r="L463" s="472">
        <v>0</v>
      </c>
      <c r="M463" s="472">
        <f t="shared" si="15"/>
        <v>1193.52</v>
      </c>
    </row>
    <row r="464" spans="1:13" ht="12.75" outlineLevel="1">
      <c r="A464" s="423" t="s">
        <v>1326</v>
      </c>
      <c r="C464" s="469"/>
      <c r="D464" s="469"/>
      <c r="E464" s="459" t="s">
        <v>1327</v>
      </c>
      <c r="F464" s="470" t="str">
        <f t="shared" si="14"/>
        <v>DR. FRED J. KNAPP SCHOLARHIP</v>
      </c>
      <c r="G464" s="471">
        <v>0</v>
      </c>
      <c r="H464" s="472">
        <v>15000</v>
      </c>
      <c r="I464" s="472">
        <v>211.84</v>
      </c>
      <c r="J464" s="472">
        <v>-342.1</v>
      </c>
      <c r="K464" s="472">
        <v>0</v>
      </c>
      <c r="L464" s="472">
        <v>15000</v>
      </c>
      <c r="M464" s="472">
        <f t="shared" si="15"/>
        <v>29869.739999999998</v>
      </c>
    </row>
    <row r="465" spans="1:13" ht="12.75" outlineLevel="1">
      <c r="A465" s="423" t="s">
        <v>1328</v>
      </c>
      <c r="C465" s="469"/>
      <c r="D465" s="469"/>
      <c r="E465" s="459" t="s">
        <v>1329</v>
      </c>
      <c r="F465" s="470" t="str">
        <f t="shared" si="14"/>
        <v>ATHLETICS MATCHING SCHOLARSHIP</v>
      </c>
      <c r="G465" s="471">
        <v>0</v>
      </c>
      <c r="H465" s="472">
        <v>15000</v>
      </c>
      <c r="I465" s="472">
        <v>274.8</v>
      </c>
      <c r="J465" s="472">
        <v>-342.1</v>
      </c>
      <c r="K465" s="472">
        <v>0</v>
      </c>
      <c r="L465" s="472">
        <v>15000</v>
      </c>
      <c r="M465" s="472">
        <f t="shared" si="15"/>
        <v>29932.699999999997</v>
      </c>
    </row>
    <row r="466" spans="1:13" ht="12.75" outlineLevel="1">
      <c r="A466" s="423" t="s">
        <v>1330</v>
      </c>
      <c r="C466" s="469"/>
      <c r="D466" s="469"/>
      <c r="E466" s="459" t="s">
        <v>1331</v>
      </c>
      <c r="F466" s="470" t="str">
        <f t="shared" si="14"/>
        <v>PAT D. DO, MD - ORTHOPAEDICS</v>
      </c>
      <c r="G466" s="471">
        <v>0</v>
      </c>
      <c r="H466" s="472">
        <v>5000</v>
      </c>
      <c r="I466" s="472">
        <v>49.41</v>
      </c>
      <c r="J466" s="472">
        <v>-35.5</v>
      </c>
      <c r="K466" s="472">
        <v>0</v>
      </c>
      <c r="L466" s="472">
        <v>0</v>
      </c>
      <c r="M466" s="472">
        <f t="shared" si="15"/>
        <v>5013.91</v>
      </c>
    </row>
    <row r="467" spans="1:13" ht="12.75" outlineLevel="1">
      <c r="A467" s="423" t="s">
        <v>1332</v>
      </c>
      <c r="C467" s="469"/>
      <c r="D467" s="469"/>
      <c r="E467" s="459" t="s">
        <v>1333</v>
      </c>
      <c r="F467" s="470" t="str">
        <f t="shared" si="14"/>
        <v>CHEMISTRY DEPARTMENT SCHP</v>
      </c>
      <c r="G467" s="471">
        <v>0</v>
      </c>
      <c r="H467" s="472">
        <v>15000</v>
      </c>
      <c r="I467" s="472">
        <v>148.23</v>
      </c>
      <c r="J467" s="472">
        <v>-106.49</v>
      </c>
      <c r="K467" s="472">
        <v>0</v>
      </c>
      <c r="L467" s="472">
        <v>15000</v>
      </c>
      <c r="M467" s="472">
        <f t="shared" si="15"/>
        <v>30041.739999999998</v>
      </c>
    </row>
    <row r="468" spans="1:13" ht="12.75" outlineLevel="1">
      <c r="A468" s="423" t="s">
        <v>1334</v>
      </c>
      <c r="C468" s="469"/>
      <c r="D468" s="469"/>
      <c r="E468" s="459" t="s">
        <v>1335</v>
      </c>
      <c r="F468" s="470" t="str">
        <f t="shared" si="14"/>
        <v>WOMEN'S COMMITTEE ANNIVERSARY</v>
      </c>
      <c r="G468" s="471">
        <v>0</v>
      </c>
      <c r="H468" s="472">
        <v>15000</v>
      </c>
      <c r="I468" s="472">
        <v>148.23</v>
      </c>
      <c r="J468" s="472">
        <v>-106.49</v>
      </c>
      <c r="K468" s="472">
        <v>0</v>
      </c>
      <c r="L468" s="472">
        <v>15000</v>
      </c>
      <c r="M468" s="472">
        <f t="shared" si="15"/>
        <v>30041.739999999998</v>
      </c>
    </row>
    <row r="469" spans="1:13" ht="12.75" outlineLevel="1">
      <c r="A469" s="423" t="s">
        <v>1336</v>
      </c>
      <c r="C469" s="469"/>
      <c r="D469" s="469"/>
      <c r="E469" s="459" t="s">
        <v>1337</v>
      </c>
      <c r="F469" s="470" t="str">
        <f t="shared" si="14"/>
        <v>UMKC TRUSTEES ANNIV -DENTISTRY</v>
      </c>
      <c r="G469" s="471">
        <v>0</v>
      </c>
      <c r="H469" s="472">
        <v>15000</v>
      </c>
      <c r="I469" s="472">
        <v>211.19</v>
      </c>
      <c r="J469" s="472">
        <v>-106.49</v>
      </c>
      <c r="K469" s="472">
        <v>0</v>
      </c>
      <c r="L469" s="472">
        <v>15000</v>
      </c>
      <c r="M469" s="472">
        <f t="shared" si="15"/>
        <v>30104.7</v>
      </c>
    </row>
    <row r="470" spans="1:13" ht="12.75" outlineLevel="1">
      <c r="A470" s="423" t="s">
        <v>1338</v>
      </c>
      <c r="C470" s="469"/>
      <c r="D470" s="469"/>
      <c r="E470" s="459" t="s">
        <v>1339</v>
      </c>
      <c r="F470" s="470" t="str">
        <f t="shared" si="14"/>
        <v>UMKC TRUSTEES ANNIV - MUSIC</v>
      </c>
      <c r="G470" s="471">
        <v>0</v>
      </c>
      <c r="H470" s="472">
        <v>15000</v>
      </c>
      <c r="I470" s="472">
        <v>148.23</v>
      </c>
      <c r="J470" s="472">
        <v>-106.49</v>
      </c>
      <c r="K470" s="472">
        <v>0</v>
      </c>
      <c r="L470" s="472">
        <v>15000</v>
      </c>
      <c r="M470" s="472">
        <f t="shared" si="15"/>
        <v>30041.739999999998</v>
      </c>
    </row>
    <row r="471" spans="1:13" ht="12.75" outlineLevel="1">
      <c r="A471" s="423" t="s">
        <v>1340</v>
      </c>
      <c r="C471" s="469"/>
      <c r="D471" s="469"/>
      <c r="E471" s="459" t="s">
        <v>1769</v>
      </c>
      <c r="F471" s="470" t="str">
        <f t="shared" si="14"/>
        <v>LEOFFELHOLZ FAMILY SCHOLARSHIP</v>
      </c>
      <c r="G471" s="471">
        <v>0</v>
      </c>
      <c r="H471" s="472">
        <v>14975</v>
      </c>
      <c r="I471" s="472">
        <v>111.58</v>
      </c>
      <c r="J471" s="472">
        <v>-43.95</v>
      </c>
      <c r="K471" s="472">
        <v>0</v>
      </c>
      <c r="L471" s="472">
        <v>15000</v>
      </c>
      <c r="M471" s="472">
        <f t="shared" si="15"/>
        <v>30042.629999999997</v>
      </c>
    </row>
    <row r="472" spans="1:13" ht="12.75" outlineLevel="1">
      <c r="A472" s="423" t="s">
        <v>1770</v>
      </c>
      <c r="C472" s="469"/>
      <c r="D472" s="469"/>
      <c r="E472" s="459" t="s">
        <v>1771</v>
      </c>
      <c r="F472" s="470" t="str">
        <f t="shared" si="14"/>
        <v>PATRICIA LONG SCHOLARSHIP</v>
      </c>
      <c r="G472" s="471">
        <v>0</v>
      </c>
      <c r="H472" s="472">
        <v>15987.7</v>
      </c>
      <c r="I472" s="472">
        <v>52.55</v>
      </c>
      <c r="J472" s="472">
        <v>-37.5</v>
      </c>
      <c r="K472" s="472">
        <v>0</v>
      </c>
      <c r="L472" s="472">
        <v>0</v>
      </c>
      <c r="M472" s="472">
        <f t="shared" si="15"/>
        <v>16002.75</v>
      </c>
    </row>
    <row r="473" spans="1:13" ht="12.75" outlineLevel="1">
      <c r="A473" s="423" t="s">
        <v>1772</v>
      </c>
      <c r="C473" s="469"/>
      <c r="D473" s="469"/>
      <c r="E473" s="459" t="s">
        <v>1773</v>
      </c>
      <c r="F473" s="470" t="str">
        <f t="shared" si="14"/>
        <v>MAX FOUST SCHOLARSHIP</v>
      </c>
      <c r="G473" s="471">
        <v>0</v>
      </c>
      <c r="H473" s="472">
        <v>2500</v>
      </c>
      <c r="I473" s="472">
        <v>36.47</v>
      </c>
      <c r="J473" s="472">
        <v>-17.62</v>
      </c>
      <c r="K473" s="472">
        <v>0</v>
      </c>
      <c r="L473" s="472">
        <v>7500</v>
      </c>
      <c r="M473" s="472">
        <f t="shared" si="15"/>
        <v>10018.85</v>
      </c>
    </row>
    <row r="474" spans="1:13" ht="12.75" outlineLevel="1">
      <c r="A474" s="423" t="s">
        <v>1774</v>
      </c>
      <c r="C474" s="469"/>
      <c r="D474" s="469"/>
      <c r="E474" s="459" t="s">
        <v>1775</v>
      </c>
      <c r="F474" s="470" t="str">
        <f t="shared" si="14"/>
        <v>MEDICINE CLASS OF 2006</v>
      </c>
      <c r="G474" s="471">
        <v>0</v>
      </c>
      <c r="H474" s="472">
        <v>700</v>
      </c>
      <c r="I474" s="472">
        <v>4.38</v>
      </c>
      <c r="J474" s="472">
        <v>-4.95</v>
      </c>
      <c r="K474" s="472">
        <v>0</v>
      </c>
      <c r="L474" s="472">
        <v>0</v>
      </c>
      <c r="M474" s="472">
        <f t="shared" si="15"/>
        <v>699.43</v>
      </c>
    </row>
    <row r="475" spans="1:13" ht="12.75" outlineLevel="1">
      <c r="A475" s="423" t="s">
        <v>1776</v>
      </c>
      <c r="C475" s="469"/>
      <c r="D475" s="469"/>
      <c r="E475" s="459" t="s">
        <v>1777</v>
      </c>
      <c r="F475" s="470" t="str">
        <f t="shared" si="14"/>
        <v>DR JIM PHILLIPS SCHLSP-PHYSICS</v>
      </c>
      <c r="G475" s="471">
        <v>0</v>
      </c>
      <c r="H475" s="472">
        <v>3841.5</v>
      </c>
      <c r="I475" s="472">
        <v>130.57</v>
      </c>
      <c r="J475" s="472">
        <v>233.98</v>
      </c>
      <c r="K475" s="472">
        <v>29</v>
      </c>
      <c r="L475" s="472">
        <v>10638.35</v>
      </c>
      <c r="M475" s="472">
        <f t="shared" si="15"/>
        <v>14815.400000000001</v>
      </c>
    </row>
    <row r="476" spans="1:13" ht="12.75" outlineLevel="1">
      <c r="A476" s="423" t="s">
        <v>1778</v>
      </c>
      <c r="C476" s="469"/>
      <c r="D476" s="469"/>
      <c r="E476" s="459" t="s">
        <v>1779</v>
      </c>
      <c r="F476" s="470" t="str">
        <f t="shared" si="14"/>
        <v>REGINA REYNOLDS SCHOLARSHIP</v>
      </c>
      <c r="G476" s="471">
        <v>0</v>
      </c>
      <c r="H476" s="472">
        <v>15100</v>
      </c>
      <c r="I476" s="472">
        <v>94.09</v>
      </c>
      <c r="J476" s="472">
        <v>-106.81</v>
      </c>
      <c r="K476" s="472">
        <v>0</v>
      </c>
      <c r="L476" s="472">
        <v>0</v>
      </c>
      <c r="M476" s="472">
        <f t="shared" si="15"/>
        <v>15087.28</v>
      </c>
    </row>
    <row r="477" spans="1:13" ht="12.75" outlineLevel="1">
      <c r="A477" s="423" t="s">
        <v>1780</v>
      </c>
      <c r="C477" s="469"/>
      <c r="D477" s="469"/>
      <c r="E477" s="459" t="s">
        <v>1781</v>
      </c>
      <c r="F477" s="470" t="str">
        <f t="shared" si="14"/>
        <v>SHIRLEY &amp; BARNETT HELZBERG SCH</v>
      </c>
      <c r="G477" s="471">
        <v>0</v>
      </c>
      <c r="H477" s="472">
        <v>30000</v>
      </c>
      <c r="I477" s="472">
        <v>154.34</v>
      </c>
      <c r="J477" s="472">
        <v>-211.33</v>
      </c>
      <c r="K477" s="472">
        <v>0</v>
      </c>
      <c r="L477" s="472">
        <v>22500</v>
      </c>
      <c r="M477" s="472">
        <f t="shared" si="15"/>
        <v>52443.009999999995</v>
      </c>
    </row>
    <row r="478" spans="1:13" ht="12.75" outlineLevel="1">
      <c r="A478" s="423" t="s">
        <v>1782</v>
      </c>
      <c r="C478" s="469"/>
      <c r="D478" s="469"/>
      <c r="E478" s="459" t="s">
        <v>1783</v>
      </c>
      <c r="F478" s="470" t="str">
        <f t="shared" si="14"/>
        <v>VIRGINIA KELLEY CONSERVATORY</v>
      </c>
      <c r="G478" s="471">
        <v>0</v>
      </c>
      <c r="H478" s="472">
        <v>15000</v>
      </c>
      <c r="I478" s="472">
        <v>29.96</v>
      </c>
      <c r="J478" s="472">
        <v>-105.66</v>
      </c>
      <c r="K478" s="472">
        <v>0</v>
      </c>
      <c r="L478" s="472">
        <v>15000</v>
      </c>
      <c r="M478" s="472">
        <f t="shared" si="15"/>
        <v>29924.3</v>
      </c>
    </row>
    <row r="479" spans="1:13" ht="12.75" outlineLevel="1">
      <c r="A479" s="423" t="s">
        <v>1784</v>
      </c>
      <c r="C479" s="469"/>
      <c r="D479" s="469"/>
      <c r="E479" s="459" t="s">
        <v>1785</v>
      </c>
      <c r="F479" s="470" t="str">
        <f t="shared" si="14"/>
        <v>SUNDERLAND FAMILY SCHOLARSHIP</v>
      </c>
      <c r="G479" s="471">
        <v>0</v>
      </c>
      <c r="H479" s="472">
        <v>15000</v>
      </c>
      <c r="I479" s="472">
        <v>62.96</v>
      </c>
      <c r="J479" s="472">
        <v>0</v>
      </c>
      <c r="K479" s="472">
        <v>0</v>
      </c>
      <c r="L479" s="472">
        <v>15000</v>
      </c>
      <c r="M479" s="472">
        <f t="shared" si="15"/>
        <v>30062.96</v>
      </c>
    </row>
    <row r="480" spans="1:13" ht="12.75" outlineLevel="1">
      <c r="A480" s="423" t="s">
        <v>1786</v>
      </c>
      <c r="C480" s="469"/>
      <c r="D480" s="469"/>
      <c r="E480" s="459" t="s">
        <v>1787</v>
      </c>
      <c r="F480" s="470" t="str">
        <f t="shared" si="14"/>
        <v>RALPH &amp; ROLAINE ANDERSON SCHP</v>
      </c>
      <c r="G480" s="471">
        <v>0</v>
      </c>
      <c r="H480" s="472">
        <v>30045.25</v>
      </c>
      <c r="I480" s="472">
        <v>93.01</v>
      </c>
      <c r="J480" s="472">
        <v>-105.98</v>
      </c>
      <c r="K480" s="472">
        <v>0</v>
      </c>
      <c r="L480" s="472">
        <v>0</v>
      </c>
      <c r="M480" s="472">
        <f t="shared" si="15"/>
        <v>30032.28</v>
      </c>
    </row>
    <row r="481" spans="1:13" ht="12.75" outlineLevel="1">
      <c r="A481" s="423" t="s">
        <v>1788</v>
      </c>
      <c r="C481" s="469"/>
      <c r="D481" s="469"/>
      <c r="E481" s="459" t="s">
        <v>1789</v>
      </c>
      <c r="F481" s="470" t="str">
        <f t="shared" si="14"/>
        <v>NANCY &amp; GORDON BEAHAM SCHP</v>
      </c>
      <c r="G481" s="471">
        <v>0</v>
      </c>
      <c r="H481" s="472">
        <v>0</v>
      </c>
      <c r="I481" s="472">
        <v>22.75</v>
      </c>
      <c r="J481" s="472">
        <v>-80.23</v>
      </c>
      <c r="K481" s="472">
        <v>0</v>
      </c>
      <c r="L481" s="472">
        <v>11389.01</v>
      </c>
      <c r="M481" s="472">
        <f t="shared" si="15"/>
        <v>11331.53</v>
      </c>
    </row>
    <row r="482" spans="1:13" ht="12.75" outlineLevel="1">
      <c r="A482" s="423" t="s">
        <v>1790</v>
      </c>
      <c r="C482" s="469"/>
      <c r="D482" s="469"/>
      <c r="E482" s="459" t="s">
        <v>1791</v>
      </c>
      <c r="F482" s="470" t="str">
        <f t="shared" si="14"/>
        <v>PATRICIA B. JONES SCHOLARSHIP</v>
      </c>
      <c r="G482" s="471">
        <v>0</v>
      </c>
      <c r="H482" s="472">
        <v>45000</v>
      </c>
      <c r="I482" s="472">
        <v>314.78</v>
      </c>
      <c r="J482" s="472">
        <v>0</v>
      </c>
      <c r="K482" s="472">
        <v>0</v>
      </c>
      <c r="L482" s="472">
        <v>30000</v>
      </c>
      <c r="M482" s="472">
        <f t="shared" si="15"/>
        <v>75314.78</v>
      </c>
    </row>
    <row r="483" spans="1:13" ht="12.75" outlineLevel="1">
      <c r="A483" s="423" t="s">
        <v>1792</v>
      </c>
      <c r="C483" s="469"/>
      <c r="D483" s="469"/>
      <c r="E483" s="459" t="s">
        <v>1793</v>
      </c>
      <c r="F483" s="470" t="str">
        <f t="shared" si="14"/>
        <v>LANDON AND SARAH ROWLAND SCHP</v>
      </c>
      <c r="G483" s="471">
        <v>0</v>
      </c>
      <c r="H483" s="472">
        <v>15000</v>
      </c>
      <c r="I483" s="472">
        <v>125.91</v>
      </c>
      <c r="J483" s="472">
        <v>0</v>
      </c>
      <c r="K483" s="472">
        <v>0</v>
      </c>
      <c r="L483" s="472">
        <v>15000</v>
      </c>
      <c r="M483" s="472">
        <f t="shared" si="15"/>
        <v>30125.91</v>
      </c>
    </row>
    <row r="484" spans="1:13" ht="12.75" outlineLevel="1">
      <c r="A484" s="423" t="s">
        <v>1794</v>
      </c>
      <c r="C484" s="469"/>
      <c r="D484" s="469"/>
      <c r="E484" s="459" t="s">
        <v>1795</v>
      </c>
      <c r="F484" s="470" t="str">
        <f t="shared" si="14"/>
        <v>JILL AND DON HALL JR., SCHP</v>
      </c>
      <c r="G484" s="471">
        <v>0</v>
      </c>
      <c r="H484" s="472">
        <v>15000</v>
      </c>
      <c r="I484" s="472">
        <v>125.91</v>
      </c>
      <c r="J484" s="472">
        <v>0</v>
      </c>
      <c r="K484" s="472">
        <v>0</v>
      </c>
      <c r="L484" s="472">
        <v>15000</v>
      </c>
      <c r="M484" s="472">
        <f t="shared" si="15"/>
        <v>30125.91</v>
      </c>
    </row>
    <row r="485" spans="1:13" ht="12.75" outlineLevel="1">
      <c r="A485" s="423" t="s">
        <v>1796</v>
      </c>
      <c r="C485" s="469"/>
      <c r="D485" s="469"/>
      <c r="E485" s="459" t="s">
        <v>1797</v>
      </c>
      <c r="F485" s="470" t="str">
        <f t="shared" si="14"/>
        <v>FRIENDS OF THE CONSERVATORY</v>
      </c>
      <c r="G485" s="471">
        <v>0</v>
      </c>
      <c r="H485" s="472">
        <v>15000</v>
      </c>
      <c r="I485" s="472">
        <v>125.91</v>
      </c>
      <c r="J485" s="472">
        <v>0</v>
      </c>
      <c r="K485" s="472">
        <v>0</v>
      </c>
      <c r="L485" s="472">
        <v>15000</v>
      </c>
      <c r="M485" s="472">
        <f t="shared" si="15"/>
        <v>30125.91</v>
      </c>
    </row>
    <row r="486" spans="1:13" ht="12.75" outlineLevel="1">
      <c r="A486" s="423" t="s">
        <v>1798</v>
      </c>
      <c r="C486" s="469"/>
      <c r="D486" s="469"/>
      <c r="E486" s="459" t="s">
        <v>1799</v>
      </c>
      <c r="F486" s="470" t="str">
        <f t="shared" si="14"/>
        <v>SCE FACULTY &amp; STAFF SCHOLARSHP</v>
      </c>
      <c r="G486" s="471">
        <v>0</v>
      </c>
      <c r="H486" s="472">
        <v>1475</v>
      </c>
      <c r="I486" s="472">
        <v>20.85</v>
      </c>
      <c r="J486" s="472">
        <v>0</v>
      </c>
      <c r="K486" s="472">
        <v>0</v>
      </c>
      <c r="L486" s="472">
        <v>13404.96</v>
      </c>
      <c r="M486" s="472">
        <f t="shared" si="15"/>
        <v>14900.81</v>
      </c>
    </row>
    <row r="487" spans="1:13" ht="12.75" outlineLevel="1">
      <c r="A487" s="423" t="s">
        <v>1800</v>
      </c>
      <c r="C487" s="469"/>
      <c r="D487" s="469"/>
      <c r="E487" s="459" t="s">
        <v>1801</v>
      </c>
      <c r="F487" s="470" t="str">
        <f t="shared" si="14"/>
        <v>HDR ENGINEERING SCHOLARSHIP</v>
      </c>
      <c r="G487" s="471">
        <v>0</v>
      </c>
      <c r="H487" s="472">
        <v>15000</v>
      </c>
      <c r="I487" s="472">
        <v>62.96</v>
      </c>
      <c r="J487" s="472">
        <v>0</v>
      </c>
      <c r="K487" s="472">
        <v>0</v>
      </c>
      <c r="L487" s="472">
        <v>15000</v>
      </c>
      <c r="M487" s="472">
        <f t="shared" si="15"/>
        <v>30062.96</v>
      </c>
    </row>
    <row r="488" spans="1:13" ht="12.75" outlineLevel="1">
      <c r="A488" s="423" t="s">
        <v>1802</v>
      </c>
      <c r="C488" s="469"/>
      <c r="D488" s="469"/>
      <c r="E488" s="459" t="s">
        <v>1803</v>
      </c>
      <c r="F488" s="444" t="str">
        <f t="shared" si="14"/>
        <v>JEANNETTE NICHOLS SCHOLARSHIP</v>
      </c>
      <c r="G488" s="519">
        <v>0</v>
      </c>
      <c r="H488" s="472">
        <v>5000</v>
      </c>
      <c r="I488" s="472">
        <v>20.99</v>
      </c>
      <c r="J488" s="472">
        <v>0</v>
      </c>
      <c r="K488" s="472">
        <v>0</v>
      </c>
      <c r="L488" s="472">
        <v>5000</v>
      </c>
      <c r="M488" s="472">
        <f t="shared" si="15"/>
        <v>10020.99</v>
      </c>
    </row>
    <row r="489" spans="1:13" ht="12.75" outlineLevel="1">
      <c r="A489" s="423" t="s">
        <v>1804</v>
      </c>
      <c r="C489" s="469"/>
      <c r="D489" s="469"/>
      <c r="E489" s="459" t="s">
        <v>1805</v>
      </c>
      <c r="F489" s="470" t="str">
        <f t="shared" si="14"/>
        <v>MURIEL MCBRIEN KAUFFMAN SCHP</v>
      </c>
      <c r="G489" s="471">
        <v>0</v>
      </c>
      <c r="H489" s="472">
        <v>10000</v>
      </c>
      <c r="I489" s="472">
        <v>41.97</v>
      </c>
      <c r="J489" s="472">
        <v>0</v>
      </c>
      <c r="K489" s="472">
        <v>0</v>
      </c>
      <c r="L489" s="472">
        <v>10000</v>
      </c>
      <c r="M489" s="472">
        <f t="shared" si="15"/>
        <v>20041.97</v>
      </c>
    </row>
    <row r="490" spans="1:13" ht="12.75" outlineLevel="1">
      <c r="A490" s="423" t="s">
        <v>1806</v>
      </c>
      <c r="C490" s="469"/>
      <c r="D490" s="469"/>
      <c r="E490" s="459" t="s">
        <v>1807</v>
      </c>
      <c r="F490" s="470" t="str">
        <f t="shared" si="14"/>
        <v>INGRAM FAMILY SCHOLARSHIP</v>
      </c>
      <c r="G490" s="471">
        <v>0</v>
      </c>
      <c r="H490" s="472">
        <v>0</v>
      </c>
      <c r="I490" s="472">
        <v>0</v>
      </c>
      <c r="J490" s="472">
        <v>0</v>
      </c>
      <c r="K490" s="472">
        <v>0</v>
      </c>
      <c r="L490" s="472">
        <v>5000</v>
      </c>
      <c r="M490" s="472">
        <f t="shared" si="15"/>
        <v>5000</v>
      </c>
    </row>
    <row r="491" spans="1:13" ht="12.75" outlineLevel="1">
      <c r="A491" s="423" t="s">
        <v>1808</v>
      </c>
      <c r="C491" s="469"/>
      <c r="D491" s="469"/>
      <c r="E491" s="459" t="s">
        <v>1809</v>
      </c>
      <c r="F491" s="470" t="str">
        <f t="shared" si="14"/>
        <v>PATRICIA MOLL THOMPSON SCHP</v>
      </c>
      <c r="G491" s="471">
        <v>0</v>
      </c>
      <c r="H491" s="472">
        <v>15000</v>
      </c>
      <c r="I491" s="472">
        <v>0</v>
      </c>
      <c r="J491" s="472">
        <v>0</v>
      </c>
      <c r="K491" s="472">
        <v>0</v>
      </c>
      <c r="L491" s="472">
        <v>0</v>
      </c>
      <c r="M491" s="472">
        <f t="shared" si="15"/>
        <v>15000</v>
      </c>
    </row>
    <row r="492" spans="1:13" ht="12.75" outlineLevel="1">
      <c r="A492" s="423" t="s">
        <v>1810</v>
      </c>
      <c r="C492" s="469"/>
      <c r="D492" s="469"/>
      <c r="E492" s="459" t="s">
        <v>1157</v>
      </c>
      <c r="F492" s="470" t="str">
        <f t="shared" si="14"/>
        <v>CORKY PFEIFFER MEMORIAL</v>
      </c>
      <c r="G492" s="471">
        <v>1453.82</v>
      </c>
      <c r="H492" s="472">
        <v>0</v>
      </c>
      <c r="I492" s="472">
        <v>0</v>
      </c>
      <c r="J492" s="472">
        <v>0</v>
      </c>
      <c r="K492" s="472">
        <v>0</v>
      </c>
      <c r="L492" s="472">
        <v>-1453.82</v>
      </c>
      <c r="M492" s="472">
        <f t="shared" si="15"/>
        <v>0</v>
      </c>
    </row>
    <row r="493" spans="1:13" ht="12.75" outlineLevel="1">
      <c r="A493" s="423" t="s">
        <v>1811</v>
      </c>
      <c r="C493" s="469"/>
      <c r="D493" s="469"/>
      <c r="E493" s="459" t="s">
        <v>1159</v>
      </c>
      <c r="F493" s="470" t="str">
        <f t="shared" si="14"/>
        <v>GEORGE EHRLICH SCHOLARSHIP</v>
      </c>
      <c r="G493" s="471">
        <v>6873.94</v>
      </c>
      <c r="H493" s="472">
        <v>0</v>
      </c>
      <c r="I493" s="472">
        <v>0</v>
      </c>
      <c r="J493" s="472">
        <v>0</v>
      </c>
      <c r="K493" s="472">
        <v>0</v>
      </c>
      <c r="L493" s="472">
        <v>-6873.94</v>
      </c>
      <c r="M493" s="472">
        <f t="shared" si="15"/>
        <v>0</v>
      </c>
    </row>
    <row r="494" spans="1:13" ht="12.75" outlineLevel="1">
      <c r="A494" s="423" t="s">
        <v>1812</v>
      </c>
      <c r="C494" s="469"/>
      <c r="D494" s="469"/>
      <c r="E494" s="459" t="s">
        <v>1161</v>
      </c>
      <c r="F494" s="470" t="str">
        <f t="shared" si="14"/>
        <v>EVELYN SUFFECOOL PHARMACY SCHR</v>
      </c>
      <c r="G494" s="471">
        <v>80415.49</v>
      </c>
      <c r="H494" s="472">
        <v>0</v>
      </c>
      <c r="I494" s="472">
        <v>0</v>
      </c>
      <c r="J494" s="472">
        <v>0</v>
      </c>
      <c r="K494" s="472">
        <v>0</v>
      </c>
      <c r="L494" s="472">
        <v>-80415.49</v>
      </c>
      <c r="M494" s="472">
        <f t="shared" si="15"/>
        <v>0</v>
      </c>
    </row>
    <row r="495" spans="1:13" ht="12.75" outlineLevel="1">
      <c r="A495" s="423" t="s">
        <v>1813</v>
      </c>
      <c r="C495" s="469"/>
      <c r="D495" s="469"/>
      <c r="E495" s="459" t="s">
        <v>1163</v>
      </c>
      <c r="F495" s="470" t="str">
        <f t="shared" si="14"/>
        <v>JAMES E. ALLEN SCHOLARSHIP</v>
      </c>
      <c r="G495" s="471">
        <v>11029.89</v>
      </c>
      <c r="H495" s="472">
        <v>0</v>
      </c>
      <c r="I495" s="472">
        <v>0</v>
      </c>
      <c r="J495" s="472">
        <v>0</v>
      </c>
      <c r="K495" s="472">
        <v>0</v>
      </c>
      <c r="L495" s="472">
        <v>-11029.89</v>
      </c>
      <c r="M495" s="472">
        <f t="shared" si="15"/>
        <v>0</v>
      </c>
    </row>
    <row r="496" spans="1:13" ht="12.75" outlineLevel="1">
      <c r="A496" s="423" t="s">
        <v>1814</v>
      </c>
      <c r="C496" s="469"/>
      <c r="D496" s="469"/>
      <c r="E496" s="459" t="s">
        <v>1169</v>
      </c>
      <c r="F496" s="470" t="str">
        <f t="shared" si="14"/>
        <v>PHYSICS DEPT SCHOLARSHIP 2</v>
      </c>
      <c r="G496" s="471">
        <v>2124.7</v>
      </c>
      <c r="H496" s="472">
        <v>0</v>
      </c>
      <c r="I496" s="472">
        <v>0</v>
      </c>
      <c r="J496" s="472">
        <v>0</v>
      </c>
      <c r="K496" s="472">
        <v>0</v>
      </c>
      <c r="L496" s="472">
        <v>-2124.7</v>
      </c>
      <c r="M496" s="472">
        <f t="shared" si="15"/>
        <v>0</v>
      </c>
    </row>
    <row r="497" spans="1:13" ht="12.75" outlineLevel="1">
      <c r="A497" s="423" t="s">
        <v>1815</v>
      </c>
      <c r="C497" s="469"/>
      <c r="D497" s="469"/>
      <c r="E497" s="459" t="s">
        <v>1171</v>
      </c>
      <c r="F497" s="470" t="str">
        <f t="shared" si="14"/>
        <v>SUSIE SINTON SCHOLARSHIP</v>
      </c>
      <c r="G497" s="471">
        <v>91423.1</v>
      </c>
      <c r="H497" s="472">
        <v>0</v>
      </c>
      <c r="I497" s="472">
        <v>0</v>
      </c>
      <c r="J497" s="472">
        <v>0</v>
      </c>
      <c r="K497" s="472">
        <v>0</v>
      </c>
      <c r="L497" s="472">
        <v>-91423.1</v>
      </c>
      <c r="M497" s="472">
        <f t="shared" si="15"/>
        <v>0</v>
      </c>
    </row>
    <row r="498" spans="1:13" ht="12.75" outlineLevel="1">
      <c r="A498" s="423" t="s">
        <v>3441</v>
      </c>
      <c r="C498" s="469"/>
      <c r="D498" s="469"/>
      <c r="E498" s="459" t="s">
        <v>3442</v>
      </c>
      <c r="F498" s="470" t="str">
        <f t="shared" si="14"/>
        <v>H E &amp; D D LOUGH LOAN</v>
      </c>
      <c r="G498" s="471">
        <v>172605.25</v>
      </c>
      <c r="H498" s="472">
        <v>12862.48</v>
      </c>
      <c r="I498" s="472">
        <v>1077.54</v>
      </c>
      <c r="J498" s="472">
        <v>18063.67</v>
      </c>
      <c r="K498" s="472">
        <v>0</v>
      </c>
      <c r="L498" s="472">
        <v>0</v>
      </c>
      <c r="M498" s="472">
        <f t="shared" si="15"/>
        <v>204608.94</v>
      </c>
    </row>
    <row r="499" spans="1:13" ht="12.75" outlineLevel="1">
      <c r="A499" s="423" t="s">
        <v>3463</v>
      </c>
      <c r="C499" s="469"/>
      <c r="D499" s="469"/>
      <c r="E499" s="459" t="s">
        <v>3464</v>
      </c>
      <c r="F499" s="470" t="str">
        <f t="shared" si="14"/>
        <v>MURRAY STUDENT LOAN</v>
      </c>
      <c r="G499" s="471">
        <v>234291.69</v>
      </c>
      <c r="H499" s="472">
        <v>0</v>
      </c>
      <c r="I499" s="472">
        <v>0</v>
      </c>
      <c r="J499" s="472">
        <v>-9839</v>
      </c>
      <c r="K499" s="472">
        <v>0</v>
      </c>
      <c r="L499" s="472">
        <v>0</v>
      </c>
      <c r="M499" s="472">
        <f t="shared" si="15"/>
        <v>224452.69</v>
      </c>
    </row>
    <row r="500" spans="1:15" s="462" customFormat="1" ht="12.75" customHeight="1">
      <c r="A500" s="462" t="s">
        <v>1816</v>
      </c>
      <c r="B500" s="457"/>
      <c r="C500" s="458"/>
      <c r="D500" s="458"/>
      <c r="E500" s="463" t="s">
        <v>1817</v>
      </c>
      <c r="F500" s="522" t="str">
        <f t="shared" si="14"/>
        <v>TOTAL INCOME RESTRICTED</v>
      </c>
      <c r="G500" s="523">
        <v>75216464.92999998</v>
      </c>
      <c r="H500" s="524">
        <v>3470394.01</v>
      </c>
      <c r="I500" s="524">
        <v>-639885.0699999986</v>
      </c>
      <c r="J500" s="524">
        <v>6282504.890000002</v>
      </c>
      <c r="K500" s="524">
        <v>32044.47</v>
      </c>
      <c r="L500" s="524">
        <v>344159.48</v>
      </c>
      <c r="M500" s="524">
        <f t="shared" si="15"/>
        <v>84641593.77</v>
      </c>
      <c r="N500" s="525"/>
      <c r="O500" s="526"/>
    </row>
    <row r="501" ht="12.75" customHeight="1"/>
    <row r="502" spans="2:15" s="462" customFormat="1" ht="12.75" customHeight="1">
      <c r="B502" s="457"/>
      <c r="C502" s="458"/>
      <c r="D502" s="458"/>
      <c r="E502" s="527"/>
      <c r="F502" s="528" t="s">
        <v>1818</v>
      </c>
      <c r="G502" s="523">
        <f aca="true" t="shared" si="16" ref="G502:M502">G500</f>
        <v>75216464.92999998</v>
      </c>
      <c r="H502" s="524">
        <f t="shared" si="16"/>
        <v>3470394.01</v>
      </c>
      <c r="I502" s="524">
        <f t="shared" si="16"/>
        <v>-639885.0699999986</v>
      </c>
      <c r="J502" s="524">
        <f t="shared" si="16"/>
        <v>6282504.890000002</v>
      </c>
      <c r="K502" s="524">
        <f t="shared" si="16"/>
        <v>32044.47</v>
      </c>
      <c r="L502" s="524">
        <f t="shared" si="16"/>
        <v>344159.48</v>
      </c>
      <c r="M502" s="524">
        <f t="shared" si="16"/>
        <v>84641593.77</v>
      </c>
      <c r="N502" s="525"/>
      <c r="O502" s="526"/>
    </row>
    <row r="503" spans="5:6" ht="12.75" customHeight="1">
      <c r="E503" s="458"/>
      <c r="F503" s="529"/>
    </row>
    <row r="504" ht="12.75" customHeight="1">
      <c r="B504" s="457" t="s">
        <v>1819</v>
      </c>
    </row>
    <row r="505" spans="3:4" ht="12.75" customHeight="1">
      <c r="C505" s="458" t="s">
        <v>3574</v>
      </c>
      <c r="D505" s="458"/>
    </row>
    <row r="506" spans="1:13" ht="12.75" outlineLevel="1">
      <c r="A506" s="423" t="s">
        <v>1820</v>
      </c>
      <c r="C506" s="469"/>
      <c r="D506" s="469"/>
      <c r="E506" s="459" t="s">
        <v>1821</v>
      </c>
      <c r="F506" s="470" t="str">
        <f aca="true" t="shared" si="17" ref="F506:F537">UPPER(E506)</f>
        <v>WARD ADAMS DENTAL S</v>
      </c>
      <c r="G506" s="471">
        <v>80053.9</v>
      </c>
      <c r="H506" s="472">
        <v>0</v>
      </c>
      <c r="I506" s="472">
        <v>-1539.96</v>
      </c>
      <c r="J506" s="472">
        <v>7797.48</v>
      </c>
      <c r="K506" s="472">
        <v>0</v>
      </c>
      <c r="L506" s="472">
        <v>0</v>
      </c>
      <c r="M506" s="472">
        <f aca="true" t="shared" si="18" ref="M506:M537">G506+H506+I506+J506-K506+L506</f>
        <v>86311.41999999998</v>
      </c>
    </row>
    <row r="507" spans="1:13" ht="12.75" outlineLevel="1">
      <c r="A507" s="423" t="s">
        <v>1822</v>
      </c>
      <c r="C507" s="469"/>
      <c r="D507" s="469"/>
      <c r="E507" s="459" t="s">
        <v>1823</v>
      </c>
      <c r="F507" s="470" t="str">
        <f t="shared" si="17"/>
        <v>HELEN BOYLAN FDTN</v>
      </c>
      <c r="G507" s="471">
        <v>16503.47</v>
      </c>
      <c r="H507" s="472">
        <v>0</v>
      </c>
      <c r="I507" s="472">
        <v>-317.47</v>
      </c>
      <c r="J507" s="472">
        <v>1607.48</v>
      </c>
      <c r="K507" s="472">
        <v>0</v>
      </c>
      <c r="L507" s="472">
        <v>0</v>
      </c>
      <c r="M507" s="472">
        <f t="shared" si="18"/>
        <v>17793.480000000003</v>
      </c>
    </row>
    <row r="508" spans="1:13" ht="12.75" outlineLevel="1">
      <c r="A508" s="423" t="s">
        <v>1824</v>
      </c>
      <c r="C508" s="469"/>
      <c r="D508" s="469"/>
      <c r="E508" s="459" t="s">
        <v>1825</v>
      </c>
      <c r="F508" s="470" t="str">
        <f t="shared" si="17"/>
        <v>D BROOKFIELD SCHP</v>
      </c>
      <c r="G508" s="471">
        <v>109082.7</v>
      </c>
      <c r="H508" s="472">
        <v>0</v>
      </c>
      <c r="I508" s="472">
        <v>-2098.37</v>
      </c>
      <c r="J508" s="472">
        <v>10624.96</v>
      </c>
      <c r="K508" s="472">
        <v>0</v>
      </c>
      <c r="L508" s="472">
        <v>0</v>
      </c>
      <c r="M508" s="472">
        <f t="shared" si="18"/>
        <v>117609.29000000001</v>
      </c>
    </row>
    <row r="509" spans="1:13" ht="12.75" outlineLevel="1">
      <c r="A509" s="423" t="s">
        <v>1826</v>
      </c>
      <c r="C509" s="469"/>
      <c r="D509" s="469"/>
      <c r="E509" s="459" t="s">
        <v>1827</v>
      </c>
      <c r="F509" s="470" t="str">
        <f t="shared" si="17"/>
        <v>E CRAVENS MEMORIAL</v>
      </c>
      <c r="G509" s="471">
        <v>15853.24</v>
      </c>
      <c r="H509" s="472">
        <v>0</v>
      </c>
      <c r="I509" s="472">
        <v>-304.96</v>
      </c>
      <c r="J509" s="472">
        <v>1544.14</v>
      </c>
      <c r="K509" s="472">
        <v>0</v>
      </c>
      <c r="L509" s="472">
        <v>0</v>
      </c>
      <c r="M509" s="472">
        <f t="shared" si="18"/>
        <v>17092.420000000002</v>
      </c>
    </row>
    <row r="510" spans="1:13" ht="12.75" outlineLevel="1">
      <c r="A510" s="423" t="s">
        <v>1828</v>
      </c>
      <c r="C510" s="469"/>
      <c r="D510" s="469"/>
      <c r="E510" s="459" t="s">
        <v>1829</v>
      </c>
      <c r="F510" s="470" t="str">
        <f t="shared" si="17"/>
        <v>JAMES LYNN MEMORIAL</v>
      </c>
      <c r="G510" s="471">
        <v>1168817.95</v>
      </c>
      <c r="H510" s="472">
        <v>0</v>
      </c>
      <c r="I510" s="472">
        <v>-22484.01</v>
      </c>
      <c r="J510" s="472">
        <v>113846.25</v>
      </c>
      <c r="K510" s="472">
        <v>0</v>
      </c>
      <c r="L510" s="472">
        <v>0</v>
      </c>
      <c r="M510" s="472">
        <f t="shared" si="18"/>
        <v>1260180.19</v>
      </c>
    </row>
    <row r="511" spans="1:13" ht="12.75" outlineLevel="1">
      <c r="A511" s="423" t="s">
        <v>1830</v>
      </c>
      <c r="C511" s="469"/>
      <c r="D511" s="469"/>
      <c r="E511" s="459" t="s">
        <v>1831</v>
      </c>
      <c r="F511" s="470" t="str">
        <f t="shared" si="17"/>
        <v>MARGOLIS PHARMACY FD</v>
      </c>
      <c r="G511" s="471">
        <v>45646.11</v>
      </c>
      <c r="H511" s="472">
        <v>0</v>
      </c>
      <c r="I511" s="472">
        <v>-878.05</v>
      </c>
      <c r="J511" s="472">
        <v>4446.06</v>
      </c>
      <c r="K511" s="472">
        <v>0</v>
      </c>
      <c r="L511" s="472">
        <v>0</v>
      </c>
      <c r="M511" s="472">
        <f t="shared" si="18"/>
        <v>49214.119999999995</v>
      </c>
    </row>
    <row r="512" spans="1:13" ht="12.75" outlineLevel="1">
      <c r="A512" s="423" t="s">
        <v>1832</v>
      </c>
      <c r="C512" s="469"/>
      <c r="D512" s="469"/>
      <c r="E512" s="459" t="s">
        <v>1833</v>
      </c>
      <c r="F512" s="470" t="str">
        <f t="shared" si="17"/>
        <v>MED SCHOOL SCHP FUND</v>
      </c>
      <c r="G512" s="471">
        <v>79772.87</v>
      </c>
      <c r="H512" s="472">
        <v>6300</v>
      </c>
      <c r="I512" s="472">
        <v>-1418.17</v>
      </c>
      <c r="J512" s="472">
        <v>7912.86</v>
      </c>
      <c r="K512" s="472">
        <v>0</v>
      </c>
      <c r="L512" s="472">
        <v>0</v>
      </c>
      <c r="M512" s="472">
        <f t="shared" si="18"/>
        <v>92567.56</v>
      </c>
    </row>
    <row r="513" spans="1:13" ht="12.75" outlineLevel="1">
      <c r="A513" s="423" t="s">
        <v>1834</v>
      </c>
      <c r="C513" s="469"/>
      <c r="D513" s="469"/>
      <c r="E513" s="459" t="s">
        <v>1835</v>
      </c>
      <c r="F513" s="470" t="str">
        <f t="shared" si="17"/>
        <v>G MORGOLUS MEM SCHP</v>
      </c>
      <c r="G513" s="471">
        <v>6248.34</v>
      </c>
      <c r="H513" s="472">
        <v>0</v>
      </c>
      <c r="I513" s="472">
        <v>-120.21</v>
      </c>
      <c r="J513" s="472">
        <v>608.6</v>
      </c>
      <c r="K513" s="472">
        <v>0</v>
      </c>
      <c r="L513" s="472">
        <v>0</v>
      </c>
      <c r="M513" s="472">
        <f t="shared" si="18"/>
        <v>6736.7300000000005</v>
      </c>
    </row>
    <row r="514" spans="1:13" ht="12.75" outlineLevel="1">
      <c r="A514" s="423" t="s">
        <v>1836</v>
      </c>
      <c r="C514" s="469"/>
      <c r="D514" s="469"/>
      <c r="E514" s="459" t="s">
        <v>1837</v>
      </c>
      <c r="F514" s="470" t="str">
        <f t="shared" si="17"/>
        <v>WM &amp; CATH REPP MEM</v>
      </c>
      <c r="G514" s="471">
        <v>108201.55</v>
      </c>
      <c r="H514" s="472">
        <v>0</v>
      </c>
      <c r="I514" s="472">
        <v>0</v>
      </c>
      <c r="J514" s="472">
        <v>-4543.89</v>
      </c>
      <c r="K514" s="472">
        <v>0</v>
      </c>
      <c r="L514" s="472">
        <v>0</v>
      </c>
      <c r="M514" s="472">
        <f t="shared" si="18"/>
        <v>103657.66</v>
      </c>
    </row>
    <row r="515" spans="1:13" ht="12.75" outlineLevel="1">
      <c r="A515" s="423" t="s">
        <v>1838</v>
      </c>
      <c r="C515" s="469"/>
      <c r="D515" s="469"/>
      <c r="E515" s="459" t="s">
        <v>1839</v>
      </c>
      <c r="F515" s="470" t="str">
        <f t="shared" si="17"/>
        <v>HUGH SPEER FELLOW</v>
      </c>
      <c r="G515" s="471">
        <v>34033.08</v>
      </c>
      <c r="H515" s="472">
        <v>0</v>
      </c>
      <c r="I515" s="472">
        <v>-654.7</v>
      </c>
      <c r="J515" s="472">
        <v>3314.91</v>
      </c>
      <c r="K515" s="472">
        <v>0</v>
      </c>
      <c r="L515" s="472">
        <v>0</v>
      </c>
      <c r="M515" s="472">
        <f t="shared" si="18"/>
        <v>36693.29000000001</v>
      </c>
    </row>
    <row r="516" spans="1:13" ht="12.75" outlineLevel="1">
      <c r="A516" s="423" t="s">
        <v>1840</v>
      </c>
      <c r="C516" s="469"/>
      <c r="D516" s="469"/>
      <c r="E516" s="459" t="s">
        <v>1841</v>
      </c>
      <c r="F516" s="470" t="str">
        <f t="shared" si="17"/>
        <v>UMKC TALENT SCHOLARS</v>
      </c>
      <c r="G516" s="471">
        <v>225606.82</v>
      </c>
      <c r="H516" s="472">
        <v>0</v>
      </c>
      <c r="I516" s="472">
        <v>-4339.89</v>
      </c>
      <c r="J516" s="472">
        <v>21974.75</v>
      </c>
      <c r="K516" s="472">
        <v>0</v>
      </c>
      <c r="L516" s="472">
        <v>0</v>
      </c>
      <c r="M516" s="472">
        <f t="shared" si="18"/>
        <v>243241.68</v>
      </c>
    </row>
    <row r="517" spans="1:13" ht="12.75" outlineLevel="1">
      <c r="A517" s="423" t="s">
        <v>1842</v>
      </c>
      <c r="C517" s="469"/>
      <c r="D517" s="469"/>
      <c r="E517" s="459" t="s">
        <v>1843</v>
      </c>
      <c r="F517" s="470" t="str">
        <f t="shared" si="17"/>
        <v>DAVID WILLOCK FUND</v>
      </c>
      <c r="G517" s="471">
        <v>98285.21</v>
      </c>
      <c r="H517" s="472">
        <v>0</v>
      </c>
      <c r="I517" s="472">
        <v>0</v>
      </c>
      <c r="J517" s="472">
        <v>-4127.46</v>
      </c>
      <c r="K517" s="472">
        <v>0</v>
      </c>
      <c r="L517" s="472">
        <v>0</v>
      </c>
      <c r="M517" s="472">
        <f t="shared" si="18"/>
        <v>94157.75</v>
      </c>
    </row>
    <row r="518" spans="1:13" ht="12.75" outlineLevel="1">
      <c r="A518" s="423" t="s">
        <v>1844</v>
      </c>
      <c r="C518" s="469"/>
      <c r="D518" s="469"/>
      <c r="E518" s="459" t="s">
        <v>1845</v>
      </c>
      <c r="F518" s="470" t="str">
        <f t="shared" si="17"/>
        <v>BEISTLE MEM RESCH FD</v>
      </c>
      <c r="G518" s="471">
        <v>103369.91</v>
      </c>
      <c r="H518" s="472">
        <v>0</v>
      </c>
      <c r="I518" s="472">
        <v>0</v>
      </c>
      <c r="J518" s="472">
        <v>-4340.97</v>
      </c>
      <c r="K518" s="472">
        <v>0</v>
      </c>
      <c r="L518" s="472">
        <v>0</v>
      </c>
      <c r="M518" s="472">
        <f t="shared" si="18"/>
        <v>99028.94</v>
      </c>
    </row>
    <row r="519" spans="1:13" ht="12.75" outlineLevel="1">
      <c r="A519" s="423" t="s">
        <v>1846</v>
      </c>
      <c r="C519" s="469"/>
      <c r="D519" s="469"/>
      <c r="E519" s="459" t="s">
        <v>1847</v>
      </c>
      <c r="F519" s="470" t="str">
        <f t="shared" si="17"/>
        <v>R K BERNARD LIBR FD</v>
      </c>
      <c r="G519" s="471">
        <v>10555.53</v>
      </c>
      <c r="H519" s="472">
        <v>0</v>
      </c>
      <c r="I519" s="472">
        <v>-203.05</v>
      </c>
      <c r="J519" s="472">
        <v>1028.13</v>
      </c>
      <c r="K519" s="472">
        <v>0</v>
      </c>
      <c r="L519" s="472">
        <v>0</v>
      </c>
      <c r="M519" s="472">
        <f t="shared" si="18"/>
        <v>11380.61</v>
      </c>
    </row>
    <row r="520" spans="1:13" ht="12.75" outlineLevel="1">
      <c r="A520" s="423" t="s">
        <v>1848</v>
      </c>
      <c r="C520" s="469"/>
      <c r="D520" s="469"/>
      <c r="E520" s="459" t="s">
        <v>1849</v>
      </c>
      <c r="F520" s="470" t="str">
        <f t="shared" si="17"/>
        <v>NEW HORIZONS ENDOW</v>
      </c>
      <c r="G520" s="471">
        <v>703121.74</v>
      </c>
      <c r="H520" s="472">
        <v>0</v>
      </c>
      <c r="I520" s="472">
        <v>-13525.63</v>
      </c>
      <c r="J520" s="472">
        <v>68486.09</v>
      </c>
      <c r="K520" s="472">
        <v>0</v>
      </c>
      <c r="L520" s="472">
        <v>0</v>
      </c>
      <c r="M520" s="472">
        <f t="shared" si="18"/>
        <v>758082.2</v>
      </c>
    </row>
    <row r="521" spans="1:13" ht="12.75" outlineLevel="1">
      <c r="A521" s="423" t="s">
        <v>1850</v>
      </c>
      <c r="C521" s="469"/>
      <c r="D521" s="469"/>
      <c r="E521" s="459" t="s">
        <v>1851</v>
      </c>
      <c r="F521" s="470" t="str">
        <f t="shared" si="17"/>
        <v>ELIZABETH EGE FUND</v>
      </c>
      <c r="G521" s="471">
        <v>73019.38</v>
      </c>
      <c r="H521" s="472">
        <v>0</v>
      </c>
      <c r="I521" s="472">
        <v>-1404.64</v>
      </c>
      <c r="J521" s="472">
        <v>7112.29</v>
      </c>
      <c r="K521" s="472">
        <v>0</v>
      </c>
      <c r="L521" s="472">
        <v>0</v>
      </c>
      <c r="M521" s="472">
        <f t="shared" si="18"/>
        <v>78727.03</v>
      </c>
    </row>
    <row r="522" spans="1:13" ht="12.75" outlineLevel="1">
      <c r="A522" s="423" t="s">
        <v>1852</v>
      </c>
      <c r="C522" s="469"/>
      <c r="D522" s="469"/>
      <c r="E522" s="459" t="s">
        <v>1853</v>
      </c>
      <c r="F522" s="470" t="str">
        <f t="shared" si="17"/>
        <v>DEAN ELLISON PROFLAW</v>
      </c>
      <c r="G522" s="471">
        <v>43806.83</v>
      </c>
      <c r="H522" s="472">
        <v>0</v>
      </c>
      <c r="I522" s="472">
        <v>-842.68</v>
      </c>
      <c r="J522" s="472">
        <v>4266.9</v>
      </c>
      <c r="K522" s="472">
        <v>0</v>
      </c>
      <c r="L522" s="472">
        <v>0</v>
      </c>
      <c r="M522" s="472">
        <f t="shared" si="18"/>
        <v>47231.05</v>
      </c>
    </row>
    <row r="523" spans="1:13" ht="12.75" outlineLevel="1">
      <c r="A523" s="423" t="s">
        <v>1854</v>
      </c>
      <c r="C523" s="469"/>
      <c r="D523" s="469"/>
      <c r="E523" s="459" t="s">
        <v>1855</v>
      </c>
      <c r="F523" s="470" t="str">
        <f t="shared" si="17"/>
        <v>FLARSHEIM BEUTIF FD</v>
      </c>
      <c r="G523" s="471">
        <v>12395749.84</v>
      </c>
      <c r="H523" s="472">
        <v>0</v>
      </c>
      <c r="I523" s="472">
        <v>-238450.62</v>
      </c>
      <c r="J523" s="472">
        <v>1207382.08</v>
      </c>
      <c r="K523" s="472">
        <v>0</v>
      </c>
      <c r="L523" s="472">
        <v>0</v>
      </c>
      <c r="M523" s="472">
        <f t="shared" si="18"/>
        <v>13364681.3</v>
      </c>
    </row>
    <row r="524" spans="1:13" ht="12.75" outlineLevel="1">
      <c r="A524" s="423" t="s">
        <v>1856</v>
      </c>
      <c r="C524" s="469"/>
      <c r="D524" s="469"/>
      <c r="E524" s="459" t="s">
        <v>1857</v>
      </c>
      <c r="F524" s="470" t="str">
        <f t="shared" si="17"/>
        <v>H HASKELL PROF-SOCSC</v>
      </c>
      <c r="G524" s="471">
        <v>291312.58</v>
      </c>
      <c r="H524" s="472">
        <v>0</v>
      </c>
      <c r="I524" s="472">
        <v>-5603.85</v>
      </c>
      <c r="J524" s="472">
        <v>28374.69</v>
      </c>
      <c r="K524" s="472">
        <v>0</v>
      </c>
      <c r="L524" s="472">
        <v>0</v>
      </c>
      <c r="M524" s="472">
        <f t="shared" si="18"/>
        <v>314083.42000000004</v>
      </c>
    </row>
    <row r="525" spans="1:13" ht="12.75" outlineLevel="1">
      <c r="A525" s="423" t="s">
        <v>1858</v>
      </c>
      <c r="C525" s="469"/>
      <c r="D525" s="469"/>
      <c r="E525" s="459" t="s">
        <v>1859</v>
      </c>
      <c r="F525" s="470" t="str">
        <f t="shared" si="17"/>
        <v>B MCCOLLUM - DENT</v>
      </c>
      <c r="G525" s="471">
        <v>340915.56</v>
      </c>
      <c r="H525" s="472">
        <v>0</v>
      </c>
      <c r="I525" s="472">
        <v>-6558.02</v>
      </c>
      <c r="J525" s="472">
        <v>33206.16</v>
      </c>
      <c r="K525" s="472">
        <v>0</v>
      </c>
      <c r="L525" s="472">
        <v>0</v>
      </c>
      <c r="M525" s="472">
        <f t="shared" si="18"/>
        <v>367563.69999999995</v>
      </c>
    </row>
    <row r="526" spans="1:13" ht="12.75" outlineLevel="1">
      <c r="A526" s="423" t="s">
        <v>1860</v>
      </c>
      <c r="C526" s="469"/>
      <c r="D526" s="469"/>
      <c r="E526" s="459" t="s">
        <v>1861</v>
      </c>
      <c r="F526" s="470" t="str">
        <f t="shared" si="17"/>
        <v>S MORRISON INT MED</v>
      </c>
      <c r="G526" s="471">
        <v>2171964.67</v>
      </c>
      <c r="H526" s="472">
        <v>0</v>
      </c>
      <c r="I526" s="472">
        <v>-41788.38</v>
      </c>
      <c r="J526" s="472">
        <v>211555.86</v>
      </c>
      <c r="K526" s="472">
        <v>0</v>
      </c>
      <c r="L526" s="472">
        <v>0</v>
      </c>
      <c r="M526" s="472">
        <f t="shared" si="18"/>
        <v>2341732.15</v>
      </c>
    </row>
    <row r="527" spans="1:13" ht="12.75" outlineLevel="1">
      <c r="A527" s="423" t="s">
        <v>1862</v>
      </c>
      <c r="C527" s="469"/>
      <c r="D527" s="469"/>
      <c r="E527" s="459" t="s">
        <v>1863</v>
      </c>
      <c r="F527" s="470" t="str">
        <f t="shared" si="17"/>
        <v>E PIERSON FUND</v>
      </c>
      <c r="G527" s="471">
        <v>237922.41</v>
      </c>
      <c r="H527" s="472">
        <v>0</v>
      </c>
      <c r="I527" s="472">
        <v>-4576.81</v>
      </c>
      <c r="J527" s="472">
        <v>23174.34</v>
      </c>
      <c r="K527" s="472">
        <v>0</v>
      </c>
      <c r="L527" s="472">
        <v>0</v>
      </c>
      <c r="M527" s="472">
        <f t="shared" si="18"/>
        <v>256519.94</v>
      </c>
    </row>
    <row r="528" spans="1:13" ht="12.75" outlineLevel="1">
      <c r="A528" s="423" t="s">
        <v>1864</v>
      </c>
      <c r="C528" s="469"/>
      <c r="D528" s="469"/>
      <c r="E528" s="459" t="s">
        <v>1865</v>
      </c>
      <c r="F528" s="470" t="str">
        <f t="shared" si="17"/>
        <v>PIERSON MAINT &amp; LEC</v>
      </c>
      <c r="G528" s="471">
        <v>114470.74</v>
      </c>
      <c r="H528" s="472">
        <v>0</v>
      </c>
      <c r="I528" s="472">
        <v>-2202.03</v>
      </c>
      <c r="J528" s="472">
        <v>11149.78</v>
      </c>
      <c r="K528" s="472">
        <v>0</v>
      </c>
      <c r="L528" s="472">
        <v>0</v>
      </c>
      <c r="M528" s="472">
        <f t="shared" si="18"/>
        <v>123418.49</v>
      </c>
    </row>
    <row r="529" spans="1:13" ht="12.75" outlineLevel="1">
      <c r="A529" s="423" t="s">
        <v>1866</v>
      </c>
      <c r="C529" s="469"/>
      <c r="D529" s="469"/>
      <c r="E529" s="459" t="s">
        <v>1867</v>
      </c>
      <c r="F529" s="470" t="str">
        <f t="shared" si="17"/>
        <v>PHMC EDUCATION FUND</v>
      </c>
      <c r="G529" s="471">
        <v>88117.85</v>
      </c>
      <c r="H529" s="472">
        <v>0</v>
      </c>
      <c r="I529" s="472">
        <v>-1695.07</v>
      </c>
      <c r="J529" s="472">
        <v>8582.95</v>
      </c>
      <c r="K529" s="472">
        <v>0</v>
      </c>
      <c r="L529" s="472">
        <v>0</v>
      </c>
      <c r="M529" s="472">
        <f t="shared" si="18"/>
        <v>95005.73</v>
      </c>
    </row>
    <row r="530" spans="1:13" ht="12.75" outlineLevel="1">
      <c r="A530" s="423" t="s">
        <v>1868</v>
      </c>
      <c r="C530" s="469"/>
      <c r="D530" s="469"/>
      <c r="E530" s="459" t="s">
        <v>1869</v>
      </c>
      <c r="F530" s="470" t="str">
        <f t="shared" si="17"/>
        <v>M RINEHART FAC DEV</v>
      </c>
      <c r="G530" s="471">
        <v>826397.62</v>
      </c>
      <c r="H530" s="472">
        <v>0</v>
      </c>
      <c r="I530" s="472">
        <v>-15897.02</v>
      </c>
      <c r="J530" s="472">
        <v>80493.52</v>
      </c>
      <c r="K530" s="472">
        <v>0</v>
      </c>
      <c r="L530" s="472">
        <v>0</v>
      </c>
      <c r="M530" s="472">
        <f t="shared" si="18"/>
        <v>890994.12</v>
      </c>
    </row>
    <row r="531" spans="1:13" ht="12.75" outlineLevel="1">
      <c r="A531" s="423" t="s">
        <v>1870</v>
      </c>
      <c r="C531" s="469"/>
      <c r="D531" s="469"/>
      <c r="E531" s="459" t="s">
        <v>1871</v>
      </c>
      <c r="F531" s="470" t="str">
        <f t="shared" si="17"/>
        <v>NORMAN H ROYALL FUND</v>
      </c>
      <c r="G531" s="471">
        <v>6438.83</v>
      </c>
      <c r="H531" s="472">
        <v>0</v>
      </c>
      <c r="I531" s="472">
        <v>0</v>
      </c>
      <c r="J531" s="472">
        <v>-270.39</v>
      </c>
      <c r="K531" s="472">
        <v>0</v>
      </c>
      <c r="L531" s="472">
        <v>0</v>
      </c>
      <c r="M531" s="472">
        <f t="shared" si="18"/>
        <v>6168.44</v>
      </c>
    </row>
    <row r="532" spans="1:13" ht="12.75" outlineLevel="1">
      <c r="A532" s="423" t="s">
        <v>1872</v>
      </c>
      <c r="C532" s="469"/>
      <c r="D532" s="469"/>
      <c r="E532" s="459" t="s">
        <v>1873</v>
      </c>
      <c r="F532" s="470" t="str">
        <f t="shared" si="17"/>
        <v>BIO SCI RESEARCH ENH</v>
      </c>
      <c r="G532" s="471">
        <v>986294.32</v>
      </c>
      <c r="H532" s="472">
        <v>0</v>
      </c>
      <c r="I532" s="472">
        <v>-18972.86</v>
      </c>
      <c r="J532" s="472">
        <v>96067.94</v>
      </c>
      <c r="K532" s="472">
        <v>0</v>
      </c>
      <c r="L532" s="472">
        <v>0</v>
      </c>
      <c r="M532" s="472">
        <f t="shared" si="18"/>
        <v>1063389.4</v>
      </c>
    </row>
    <row r="533" spans="1:13" ht="12.75" outlineLevel="1">
      <c r="A533" s="423" t="s">
        <v>1874</v>
      </c>
      <c r="C533" s="469"/>
      <c r="D533" s="469"/>
      <c r="E533" s="459" t="s">
        <v>1875</v>
      </c>
      <c r="F533" s="470" t="str">
        <f t="shared" si="17"/>
        <v>JOHN STRANDBERG LIB</v>
      </c>
      <c r="G533" s="471">
        <v>131922.65</v>
      </c>
      <c r="H533" s="472">
        <v>6.31</v>
      </c>
      <c r="I533" s="472">
        <v>-2373.53</v>
      </c>
      <c r="J533" s="472">
        <v>12737.3</v>
      </c>
      <c r="K533" s="472">
        <v>0</v>
      </c>
      <c r="L533" s="472">
        <v>0</v>
      </c>
      <c r="M533" s="472">
        <f t="shared" si="18"/>
        <v>142292.72999999998</v>
      </c>
    </row>
    <row r="534" spans="1:13" ht="12.75" outlineLevel="1">
      <c r="A534" s="423" t="s">
        <v>1876</v>
      </c>
      <c r="C534" s="469"/>
      <c r="D534" s="469"/>
      <c r="E534" s="459" t="s">
        <v>1877</v>
      </c>
      <c r="F534" s="470" t="str">
        <f t="shared" si="17"/>
        <v>NELL STEVENSON FUND</v>
      </c>
      <c r="G534" s="471">
        <v>55090.5</v>
      </c>
      <c r="H534" s="472">
        <v>0</v>
      </c>
      <c r="I534" s="472">
        <v>-1059.75</v>
      </c>
      <c r="J534" s="472">
        <v>5365.97</v>
      </c>
      <c r="K534" s="472">
        <v>0</v>
      </c>
      <c r="L534" s="472">
        <v>0</v>
      </c>
      <c r="M534" s="472">
        <f t="shared" si="18"/>
        <v>59396.72</v>
      </c>
    </row>
    <row r="535" spans="1:13" ht="12.75" outlineLevel="1">
      <c r="A535" s="423" t="s">
        <v>1878</v>
      </c>
      <c r="C535" s="469"/>
      <c r="D535" s="469"/>
      <c r="E535" s="459" t="s">
        <v>1879</v>
      </c>
      <c r="F535" s="470" t="str">
        <f t="shared" si="17"/>
        <v>TYLER CHILDREN FUND</v>
      </c>
      <c r="G535" s="471">
        <v>17088.74</v>
      </c>
      <c r="H535" s="472">
        <v>0</v>
      </c>
      <c r="I535" s="472">
        <v>-328.73</v>
      </c>
      <c r="J535" s="472">
        <v>1664.49</v>
      </c>
      <c r="K535" s="472">
        <v>0</v>
      </c>
      <c r="L535" s="472">
        <v>0</v>
      </c>
      <c r="M535" s="472">
        <f t="shared" si="18"/>
        <v>18424.500000000004</v>
      </c>
    </row>
    <row r="536" spans="1:13" ht="12.75" outlineLevel="1">
      <c r="A536" s="423" t="s">
        <v>1880</v>
      </c>
      <c r="C536" s="469"/>
      <c r="D536" s="469"/>
      <c r="E536" s="459" t="s">
        <v>1881</v>
      </c>
      <c r="F536" s="444" t="str">
        <f t="shared" si="17"/>
        <v>UNIV LIBR SOUND ARCH</v>
      </c>
      <c r="G536" s="519">
        <v>92284.88</v>
      </c>
      <c r="H536" s="472">
        <v>150</v>
      </c>
      <c r="I536" s="472">
        <v>-1770.63</v>
      </c>
      <c r="J536" s="472">
        <v>8996.15</v>
      </c>
      <c r="K536" s="472">
        <v>0</v>
      </c>
      <c r="L536" s="472">
        <v>0</v>
      </c>
      <c r="M536" s="472">
        <f t="shared" si="18"/>
        <v>99660.4</v>
      </c>
    </row>
    <row r="537" spans="1:13" ht="12.75" outlineLevel="1">
      <c r="A537" s="423" t="s">
        <v>1882</v>
      </c>
      <c r="C537" s="469"/>
      <c r="D537" s="469"/>
      <c r="E537" s="459" t="s">
        <v>1883</v>
      </c>
      <c r="F537" s="470" t="str">
        <f t="shared" si="17"/>
        <v>RHETA SOSLAND CHLD &amp; FAM DVLP</v>
      </c>
      <c r="G537" s="471">
        <v>479919.1</v>
      </c>
      <c r="H537" s="472">
        <v>0</v>
      </c>
      <c r="I537" s="472">
        <v>-5301.86</v>
      </c>
      <c r="J537" s="472">
        <v>47137.38</v>
      </c>
      <c r="K537" s="472">
        <v>0</v>
      </c>
      <c r="L537" s="472">
        <v>0</v>
      </c>
      <c r="M537" s="472">
        <f t="shared" si="18"/>
        <v>521754.62</v>
      </c>
    </row>
    <row r="538" spans="1:13" ht="12.75" outlineLevel="1">
      <c r="A538" s="423" t="s">
        <v>865</v>
      </c>
      <c r="C538" s="469"/>
      <c r="D538" s="469"/>
      <c r="E538" s="459" t="s">
        <v>866</v>
      </c>
      <c r="F538" s="470" t="str">
        <f aca="true" t="shared" si="19" ref="F538:F554">UPPER(E538)</f>
        <v>M SIRRIDGE LECT FUND</v>
      </c>
      <c r="G538" s="471">
        <v>18320.55</v>
      </c>
      <c r="H538" s="472">
        <v>0</v>
      </c>
      <c r="I538" s="472">
        <v>-350.23</v>
      </c>
      <c r="J538" s="472">
        <v>1784.68</v>
      </c>
      <c r="K538" s="472">
        <v>0</v>
      </c>
      <c r="L538" s="472">
        <v>0</v>
      </c>
      <c r="M538" s="472">
        <f aca="true" t="shared" si="20" ref="M538:M554">G538+H538+I538+J538-K538+L538</f>
        <v>19755</v>
      </c>
    </row>
    <row r="539" spans="1:13" ht="12.75" outlineLevel="1">
      <c r="A539" s="423" t="s">
        <v>1884</v>
      </c>
      <c r="C539" s="469"/>
      <c r="D539" s="469"/>
      <c r="E539" s="459" t="s">
        <v>1885</v>
      </c>
      <c r="F539" s="470" t="str">
        <f t="shared" si="19"/>
        <v>BARTHOLOMEW FUND</v>
      </c>
      <c r="G539" s="471">
        <v>9560.99</v>
      </c>
      <c r="H539" s="472">
        <v>0</v>
      </c>
      <c r="I539" s="472">
        <v>-183.93</v>
      </c>
      <c r="J539" s="472">
        <v>931.26</v>
      </c>
      <c r="K539" s="472">
        <v>0</v>
      </c>
      <c r="L539" s="472">
        <v>0</v>
      </c>
      <c r="M539" s="472">
        <f t="shared" si="20"/>
        <v>10308.32</v>
      </c>
    </row>
    <row r="540" spans="1:13" ht="12.75" outlineLevel="1">
      <c r="A540" s="423" t="s">
        <v>1886</v>
      </c>
      <c r="C540" s="469"/>
      <c r="D540" s="469"/>
      <c r="E540" s="459" t="s">
        <v>1887</v>
      </c>
      <c r="F540" s="470" t="str">
        <f t="shared" si="19"/>
        <v>UMKC BLACK SCHP</v>
      </c>
      <c r="G540" s="471">
        <v>220077.84</v>
      </c>
      <c r="H540" s="472">
        <v>7270</v>
      </c>
      <c r="I540" s="472">
        <v>-3835.92</v>
      </c>
      <c r="J540" s="472">
        <v>21442</v>
      </c>
      <c r="K540" s="472">
        <v>0</v>
      </c>
      <c r="L540" s="472">
        <v>0</v>
      </c>
      <c r="M540" s="472">
        <f t="shared" si="20"/>
        <v>244953.91999999998</v>
      </c>
    </row>
    <row r="541" spans="1:13" ht="12.75" outlineLevel="1">
      <c r="A541" s="423" t="s">
        <v>890</v>
      </c>
      <c r="C541" s="469"/>
      <c r="D541" s="469"/>
      <c r="E541" s="459" t="s">
        <v>891</v>
      </c>
      <c r="F541" s="470" t="str">
        <f t="shared" si="19"/>
        <v>KCUR FM UNREST</v>
      </c>
      <c r="G541" s="471">
        <v>0</v>
      </c>
      <c r="H541" s="472">
        <v>0</v>
      </c>
      <c r="I541" s="472">
        <v>-23641.05</v>
      </c>
      <c r="J541" s="472">
        <v>73300.25</v>
      </c>
      <c r="K541" s="472">
        <v>0</v>
      </c>
      <c r="L541" s="472">
        <v>998141.68</v>
      </c>
      <c r="M541" s="472">
        <f t="shared" si="20"/>
        <v>1047800.88</v>
      </c>
    </row>
    <row r="542" spans="1:13" ht="12.75" outlineLevel="1">
      <c r="A542" s="423" t="s">
        <v>938</v>
      </c>
      <c r="C542" s="469"/>
      <c r="D542" s="469"/>
      <c r="E542" s="459" t="s">
        <v>939</v>
      </c>
      <c r="F542" s="470" t="str">
        <f t="shared" si="19"/>
        <v>KENNETH &amp; EVA SMITH FNDTN FUND</v>
      </c>
      <c r="G542" s="471">
        <v>0</v>
      </c>
      <c r="H542" s="472">
        <v>0</v>
      </c>
      <c r="I542" s="472">
        <v>-330.37</v>
      </c>
      <c r="J542" s="472">
        <v>1672.82</v>
      </c>
      <c r="K542" s="472">
        <v>0</v>
      </c>
      <c r="L542" s="472">
        <v>17174.19</v>
      </c>
      <c r="M542" s="472">
        <f t="shared" si="20"/>
        <v>18516.64</v>
      </c>
    </row>
    <row r="543" spans="1:13" ht="12.75" outlineLevel="1">
      <c r="A543" s="423" t="s">
        <v>950</v>
      </c>
      <c r="C543" s="469"/>
      <c r="D543" s="469"/>
      <c r="E543" s="459" t="s">
        <v>951</v>
      </c>
      <c r="F543" s="470" t="str">
        <f t="shared" si="19"/>
        <v>DIV ACCOUNTANCY RESOURCE ENDW</v>
      </c>
      <c r="G543" s="471">
        <v>112693.15</v>
      </c>
      <c r="H543" s="472">
        <v>0</v>
      </c>
      <c r="I543" s="472">
        <v>-2167.83</v>
      </c>
      <c r="J543" s="472">
        <v>10976.63</v>
      </c>
      <c r="K543" s="472">
        <v>0</v>
      </c>
      <c r="L543" s="472">
        <v>0</v>
      </c>
      <c r="M543" s="472">
        <f t="shared" si="20"/>
        <v>121501.95</v>
      </c>
    </row>
    <row r="544" spans="1:13" ht="12.75" outlineLevel="1">
      <c r="A544" s="423" t="s">
        <v>1888</v>
      </c>
      <c r="C544" s="469"/>
      <c r="D544" s="469"/>
      <c r="E544" s="459" t="s">
        <v>1889</v>
      </c>
      <c r="F544" s="470" t="str">
        <f t="shared" si="19"/>
        <v>LIFE MEMBER FUND</v>
      </c>
      <c r="G544" s="471">
        <v>191382.76</v>
      </c>
      <c r="H544" s="472">
        <v>13150</v>
      </c>
      <c r="I544" s="472">
        <v>-3027.06</v>
      </c>
      <c r="J544" s="472">
        <v>18818.32</v>
      </c>
      <c r="K544" s="472">
        <v>0</v>
      </c>
      <c r="L544" s="472">
        <v>0</v>
      </c>
      <c r="M544" s="472">
        <f t="shared" si="20"/>
        <v>220324.02000000002</v>
      </c>
    </row>
    <row r="545" spans="1:13" ht="12.75" outlineLevel="1">
      <c r="A545" s="423" t="s">
        <v>1890</v>
      </c>
      <c r="C545" s="469"/>
      <c r="D545" s="469"/>
      <c r="E545" s="459" t="s">
        <v>1891</v>
      </c>
      <c r="F545" s="470" t="str">
        <f t="shared" si="19"/>
        <v>NORMAN L. SCHWARTZ MEM FUND</v>
      </c>
      <c r="G545" s="471">
        <v>13147.09</v>
      </c>
      <c r="H545" s="472">
        <v>0</v>
      </c>
      <c r="I545" s="472">
        <v>-252.91</v>
      </c>
      <c r="J545" s="472">
        <v>1280.58</v>
      </c>
      <c r="K545" s="472">
        <v>0</v>
      </c>
      <c r="L545" s="472">
        <v>0</v>
      </c>
      <c r="M545" s="472">
        <f t="shared" si="20"/>
        <v>14174.76</v>
      </c>
    </row>
    <row r="546" spans="1:13" ht="12.75" outlineLevel="1">
      <c r="A546" s="423" t="s">
        <v>1892</v>
      </c>
      <c r="C546" s="469"/>
      <c r="D546" s="469"/>
      <c r="E546" s="459" t="s">
        <v>1893</v>
      </c>
      <c r="F546" s="470" t="str">
        <f t="shared" si="19"/>
        <v>TALENT FUND</v>
      </c>
      <c r="G546" s="471">
        <v>32867.7</v>
      </c>
      <c r="H546" s="472">
        <v>0</v>
      </c>
      <c r="I546" s="472">
        <v>-632.27</v>
      </c>
      <c r="J546" s="472">
        <v>3201.41</v>
      </c>
      <c r="K546" s="472">
        <v>0</v>
      </c>
      <c r="L546" s="472">
        <v>0</v>
      </c>
      <c r="M546" s="472">
        <f t="shared" si="20"/>
        <v>35436.84</v>
      </c>
    </row>
    <row r="547" spans="1:13" ht="12.75" outlineLevel="1">
      <c r="A547" s="423" t="s">
        <v>3959</v>
      </c>
      <c r="C547" s="469"/>
      <c r="D547" s="469"/>
      <c r="E547" s="459" t="s">
        <v>981</v>
      </c>
      <c r="F547" s="470" t="str">
        <f t="shared" si="19"/>
        <v>ELMER F. PIERSON TEACHNG AWARD</v>
      </c>
      <c r="G547" s="471">
        <v>52588.35</v>
      </c>
      <c r="H547" s="472">
        <v>0</v>
      </c>
      <c r="I547" s="472">
        <v>0</v>
      </c>
      <c r="J547" s="472">
        <v>0</v>
      </c>
      <c r="K547" s="472">
        <v>0</v>
      </c>
      <c r="L547" s="472">
        <v>-52588.35</v>
      </c>
      <c r="M547" s="472">
        <f t="shared" si="20"/>
        <v>0</v>
      </c>
    </row>
    <row r="548" spans="1:13" ht="12.75" outlineLevel="1">
      <c r="A548" s="423" t="s">
        <v>1894</v>
      </c>
      <c r="C548" s="469"/>
      <c r="D548" s="469"/>
      <c r="E548" s="459" t="s">
        <v>1895</v>
      </c>
      <c r="F548" s="470" t="str">
        <f t="shared" si="19"/>
        <v>BARR INST FOR AMER COMP STUDY</v>
      </c>
      <c r="G548" s="471">
        <v>14399.63</v>
      </c>
      <c r="H548" s="472">
        <v>0</v>
      </c>
      <c r="I548" s="472">
        <v>-277.01</v>
      </c>
      <c r="J548" s="472">
        <v>1402.54</v>
      </c>
      <c r="K548" s="472">
        <v>0</v>
      </c>
      <c r="L548" s="472">
        <v>0</v>
      </c>
      <c r="M548" s="472">
        <f t="shared" si="20"/>
        <v>15525.16</v>
      </c>
    </row>
    <row r="549" spans="1:13" ht="12.75" outlineLevel="1">
      <c r="A549" s="423" t="s">
        <v>1078</v>
      </c>
      <c r="C549" s="469"/>
      <c r="D549" s="469"/>
      <c r="E549" s="459" t="s">
        <v>1079</v>
      </c>
      <c r="F549" s="470" t="str">
        <f t="shared" si="19"/>
        <v>ASCE GEOTECHNICAL GROUP SCSP</v>
      </c>
      <c r="G549" s="471">
        <v>0</v>
      </c>
      <c r="H549" s="472">
        <v>0</v>
      </c>
      <c r="I549" s="472">
        <v>3.72</v>
      </c>
      <c r="J549" s="472">
        <v>0</v>
      </c>
      <c r="K549" s="472">
        <v>0</v>
      </c>
      <c r="L549" s="472">
        <v>119.84</v>
      </c>
      <c r="M549" s="472">
        <f t="shared" si="20"/>
        <v>123.56</v>
      </c>
    </row>
    <row r="550" spans="1:13" ht="12.75" outlineLevel="1">
      <c r="A550" s="423" t="s">
        <v>1896</v>
      </c>
      <c r="C550" s="469"/>
      <c r="D550" s="469"/>
      <c r="E550" s="459" t="s">
        <v>1897</v>
      </c>
      <c r="F550" s="470" t="str">
        <f t="shared" si="19"/>
        <v>ASCE GEOTECHNICAL - CIVIL ENG</v>
      </c>
      <c r="G550" s="471">
        <v>1376.02</v>
      </c>
      <c r="H550" s="472">
        <v>16669.99</v>
      </c>
      <c r="I550" s="472">
        <v>42.42</v>
      </c>
      <c r="J550" s="472">
        <v>2099.24</v>
      </c>
      <c r="K550" s="472">
        <v>0</v>
      </c>
      <c r="L550" s="472">
        <v>14315.95</v>
      </c>
      <c r="M550" s="472">
        <f t="shared" si="20"/>
        <v>34503.619999999995</v>
      </c>
    </row>
    <row r="551" spans="1:13" ht="12.75" outlineLevel="1">
      <c r="A551" s="423" t="s">
        <v>1898</v>
      </c>
      <c r="C551" s="469"/>
      <c r="D551" s="469"/>
      <c r="E551" s="459" t="s">
        <v>1899</v>
      </c>
      <c r="F551" s="470" t="str">
        <f t="shared" si="19"/>
        <v>SECOND CENTURY SCHOLARSHIP</v>
      </c>
      <c r="G551" s="471">
        <v>152</v>
      </c>
      <c r="H551" s="472">
        <v>212200</v>
      </c>
      <c r="I551" s="472">
        <v>3294.7</v>
      </c>
      <c r="J551" s="472">
        <v>-113.24</v>
      </c>
      <c r="K551" s="472">
        <v>0</v>
      </c>
      <c r="L551" s="472">
        <v>0</v>
      </c>
      <c r="M551" s="472">
        <f t="shared" si="20"/>
        <v>215533.46000000002</v>
      </c>
    </row>
    <row r="552" spans="1:13" ht="12.75" outlineLevel="1">
      <c r="A552" s="423" t="s">
        <v>1900</v>
      </c>
      <c r="C552" s="469"/>
      <c r="D552" s="469"/>
      <c r="E552" s="459" t="s">
        <v>1901</v>
      </c>
      <c r="F552" s="470" t="str">
        <f t="shared" si="19"/>
        <v>BLUE AND GOLD SCHOLARSHIP</v>
      </c>
      <c r="G552" s="471">
        <v>0</v>
      </c>
      <c r="H552" s="472">
        <v>600000</v>
      </c>
      <c r="I552" s="472">
        <v>5929.31</v>
      </c>
      <c r="J552" s="472">
        <v>-4259.71</v>
      </c>
      <c r="K552" s="472">
        <v>0</v>
      </c>
      <c r="L552" s="472">
        <v>0</v>
      </c>
      <c r="M552" s="472">
        <f t="shared" si="20"/>
        <v>601669.6000000001</v>
      </c>
    </row>
    <row r="553" spans="1:13" ht="12.75" outlineLevel="1">
      <c r="A553" s="423" t="s">
        <v>3415</v>
      </c>
      <c r="C553" s="469"/>
      <c r="D553" s="469"/>
      <c r="E553" s="459" t="s">
        <v>3416</v>
      </c>
      <c r="F553" s="470" t="str">
        <f t="shared" si="19"/>
        <v>HARGRAVE LOAN FD</v>
      </c>
      <c r="G553" s="471">
        <v>942197.76</v>
      </c>
      <c r="H553" s="472">
        <v>0</v>
      </c>
      <c r="I553" s="472">
        <v>-14869.19</v>
      </c>
      <c r="J553" s="472">
        <v>91808.31</v>
      </c>
      <c r="K553" s="472">
        <v>0</v>
      </c>
      <c r="L553" s="472">
        <v>0</v>
      </c>
      <c r="M553" s="472">
        <f t="shared" si="20"/>
        <v>1019136.8800000001</v>
      </c>
    </row>
    <row r="554" spans="1:15" s="462" customFormat="1" ht="12.75" customHeight="1">
      <c r="A554" s="462" t="s">
        <v>1902</v>
      </c>
      <c r="B554" s="457"/>
      <c r="C554" s="458"/>
      <c r="D554" s="458"/>
      <c r="E554" s="463" t="s">
        <v>1817</v>
      </c>
      <c r="F554" s="522" t="str">
        <f t="shared" si="19"/>
        <v>TOTAL INCOME RESTRICTED</v>
      </c>
      <c r="G554" s="523">
        <v>22766632.759999998</v>
      </c>
      <c r="H554" s="524">
        <v>855746.3</v>
      </c>
      <c r="I554" s="524">
        <v>-437008.57</v>
      </c>
      <c r="J554" s="524">
        <v>2241521.89</v>
      </c>
      <c r="K554" s="524">
        <v>0</v>
      </c>
      <c r="L554" s="524">
        <v>977163.31</v>
      </c>
      <c r="M554" s="524">
        <f t="shared" si="20"/>
        <v>26404055.689999998</v>
      </c>
      <c r="N554" s="525"/>
      <c r="O554" s="526"/>
    </row>
    <row r="555" ht="12.75" customHeight="1"/>
    <row r="556" spans="3:4" ht="12.75" customHeight="1">
      <c r="C556" s="458" t="s">
        <v>1903</v>
      </c>
      <c r="D556" s="458"/>
    </row>
    <row r="557" spans="1:15" s="462" customFormat="1" ht="12.75" customHeight="1">
      <c r="A557" s="462" t="s">
        <v>1904</v>
      </c>
      <c r="B557" s="457"/>
      <c r="C557" s="458"/>
      <c r="D557" s="458"/>
      <c r="E557" s="463" t="s">
        <v>1905</v>
      </c>
      <c r="F557" s="522" t="str">
        <f>UPPER(E557)</f>
        <v>TOTAL INCOME UNRESTRICTED</v>
      </c>
      <c r="G557" s="523">
        <v>0</v>
      </c>
      <c r="H557" s="524">
        <v>0</v>
      </c>
      <c r="I557" s="524">
        <v>0</v>
      </c>
      <c r="J557" s="524">
        <v>0</v>
      </c>
      <c r="K557" s="524">
        <v>0</v>
      </c>
      <c r="L557" s="524">
        <v>0</v>
      </c>
      <c r="M557" s="530">
        <f>G557+H557+I557+J557-K557+L557</f>
        <v>0</v>
      </c>
      <c r="N557" s="525"/>
      <c r="O557" s="526"/>
    </row>
    <row r="558" ht="12.75" customHeight="1">
      <c r="M558" s="531"/>
    </row>
    <row r="559" spans="2:15" s="462" customFormat="1" ht="12.75" customHeight="1">
      <c r="B559" s="457"/>
      <c r="C559" s="458"/>
      <c r="D559" s="458"/>
      <c r="E559" s="458"/>
      <c r="F559" s="528" t="s">
        <v>1906</v>
      </c>
      <c r="G559" s="523">
        <f aca="true" t="shared" si="21" ref="G559:M559">G554+G557</f>
        <v>22766632.759999998</v>
      </c>
      <c r="H559" s="524">
        <f t="shared" si="21"/>
        <v>855746.3</v>
      </c>
      <c r="I559" s="524">
        <f t="shared" si="21"/>
        <v>-437008.57</v>
      </c>
      <c r="J559" s="524">
        <f t="shared" si="21"/>
        <v>2241521.89</v>
      </c>
      <c r="K559" s="524">
        <f t="shared" si="21"/>
        <v>0</v>
      </c>
      <c r="L559" s="524">
        <f t="shared" si="21"/>
        <v>977163.31</v>
      </c>
      <c r="M559" s="524">
        <f t="shared" si="21"/>
        <v>26404055.689999998</v>
      </c>
      <c r="N559" s="525"/>
      <c r="O559" s="526"/>
    </row>
    <row r="560" ht="12.75" customHeight="1"/>
    <row r="561" ht="12.75" customHeight="1">
      <c r="B561" s="457" t="s">
        <v>1907</v>
      </c>
    </row>
    <row r="562" spans="3:4" ht="12.75" customHeight="1">
      <c r="C562" s="458" t="s">
        <v>1908</v>
      </c>
      <c r="D562" s="458"/>
    </row>
    <row r="563" spans="1:13" ht="12.75" outlineLevel="1">
      <c r="A563" s="423" t="s">
        <v>1909</v>
      </c>
      <c r="C563" s="469"/>
      <c r="D563" s="469"/>
      <c r="E563" s="459" t="s">
        <v>1910</v>
      </c>
      <c r="F563" s="470" t="str">
        <f>UPPER(E563)</f>
        <v>GOODALE UNITRUST</v>
      </c>
      <c r="G563" s="471">
        <v>0</v>
      </c>
      <c r="H563" s="472">
        <v>0</v>
      </c>
      <c r="I563" s="472">
        <v>0</v>
      </c>
      <c r="J563" s="472">
        <v>0</v>
      </c>
      <c r="K563" s="472">
        <v>0</v>
      </c>
      <c r="L563" s="472">
        <v>0</v>
      </c>
      <c r="M563" s="472">
        <f>G563+H563+I563+J563-K563+L563</f>
        <v>0</v>
      </c>
    </row>
    <row r="564" spans="1:15" s="462" customFormat="1" ht="12.75" customHeight="1">
      <c r="A564" s="462" t="s">
        <v>1911</v>
      </c>
      <c r="B564" s="457"/>
      <c r="C564" s="458"/>
      <c r="D564" s="458"/>
      <c r="E564" s="513" t="s">
        <v>1912</v>
      </c>
      <c r="F564" s="522" t="str">
        <f>UPPER(E564)</f>
        <v>TOTAL UNITRUST FUNDS</v>
      </c>
      <c r="G564" s="523">
        <v>0</v>
      </c>
      <c r="H564" s="524">
        <v>0</v>
      </c>
      <c r="I564" s="524">
        <v>0</v>
      </c>
      <c r="J564" s="524">
        <v>0</v>
      </c>
      <c r="K564" s="524">
        <v>0</v>
      </c>
      <c r="L564" s="524">
        <v>0</v>
      </c>
      <c r="M564" s="524">
        <f>G564+H564+I564+J564-K564+L564</f>
        <v>0</v>
      </c>
      <c r="N564" s="525"/>
      <c r="O564" s="526"/>
    </row>
    <row r="565" ht="12.75" customHeight="1">
      <c r="G565" s="516"/>
    </row>
    <row r="566" spans="1:7" ht="12.75" customHeight="1">
      <c r="A566" s="423" t="s">
        <v>3783</v>
      </c>
      <c r="C566" s="458" t="s">
        <v>1913</v>
      </c>
      <c r="D566" s="458"/>
      <c r="G566" s="516"/>
    </row>
    <row r="567" spans="1:13" ht="12.75" outlineLevel="1">
      <c r="A567" s="423" t="s">
        <v>1914</v>
      </c>
      <c r="C567" s="469"/>
      <c r="D567" s="469"/>
      <c r="E567" s="459" t="s">
        <v>1915</v>
      </c>
      <c r="F567" s="470" t="str">
        <f>UPPER(E567)</f>
        <v>E TILFORD LIFE INC</v>
      </c>
      <c r="G567" s="471">
        <v>4144.32</v>
      </c>
      <c r="H567" s="472">
        <v>0</v>
      </c>
      <c r="I567" s="472">
        <v>107.28</v>
      </c>
      <c r="J567" s="472">
        <v>0</v>
      </c>
      <c r="K567" s="472">
        <v>2521</v>
      </c>
      <c r="L567" s="472">
        <v>0</v>
      </c>
      <c r="M567" s="472">
        <f>G567+H567+I567+J567-K567+L567</f>
        <v>1730.5999999999995</v>
      </c>
    </row>
    <row r="568" spans="1:15" s="462" customFormat="1" ht="12.75" customHeight="1">
      <c r="A568" s="462" t="s">
        <v>1916</v>
      </c>
      <c r="B568" s="457"/>
      <c r="C568" s="458"/>
      <c r="D568" s="458"/>
      <c r="E568" s="513" t="s">
        <v>1917</v>
      </c>
      <c r="F568" s="522" t="str">
        <f>UPPER(E568)</f>
        <v>TOTAL LIFE INCOME FUNDS</v>
      </c>
      <c r="G568" s="523">
        <v>4144.32</v>
      </c>
      <c r="H568" s="524">
        <v>0</v>
      </c>
      <c r="I568" s="524">
        <v>107.28</v>
      </c>
      <c r="J568" s="524">
        <v>0</v>
      </c>
      <c r="K568" s="524">
        <v>2521</v>
      </c>
      <c r="L568" s="524">
        <v>0</v>
      </c>
      <c r="M568" s="524">
        <f>G568+H568+I568+J568-K568+L568</f>
        <v>1730.5999999999995</v>
      </c>
      <c r="N568" s="525"/>
      <c r="O568" s="526"/>
    </row>
    <row r="569" ht="12.75" customHeight="1"/>
    <row r="570" ht="12.75" customHeight="1">
      <c r="C570" s="458" t="s">
        <v>1918</v>
      </c>
    </row>
    <row r="571" spans="1:13" ht="12.75" outlineLevel="1">
      <c r="A571" s="423" t="s">
        <v>3955</v>
      </c>
      <c r="C571" s="469"/>
      <c r="D571" s="469"/>
      <c r="E571" s="459" t="s">
        <v>3956</v>
      </c>
      <c r="F571" s="470" t="str">
        <f>UPPER(E571)</f>
        <v>WILLIAM &amp; FAY SOLLNER SCHP</v>
      </c>
      <c r="G571" s="471">
        <v>0</v>
      </c>
      <c r="H571" s="472">
        <v>77072.81</v>
      </c>
      <c r="I571" s="472">
        <v>1999.62</v>
      </c>
      <c r="J571" s="472">
        <v>-1784.38</v>
      </c>
      <c r="K571" s="472">
        <v>1368.13</v>
      </c>
      <c r="L571" s="472">
        <v>0</v>
      </c>
      <c r="M571" s="472">
        <f>G571+H571+I571+J571-K571+L571</f>
        <v>75919.91999999998</v>
      </c>
    </row>
    <row r="572" spans="1:13" ht="12.75" outlineLevel="1">
      <c r="A572" s="423" t="s">
        <v>1290</v>
      </c>
      <c r="C572" s="469"/>
      <c r="D572" s="469"/>
      <c r="E572" s="459" t="s">
        <v>1291</v>
      </c>
      <c r="F572" s="470" t="str">
        <f>UPPER(E572)</f>
        <v>TIRA / FLYNN SCHOLARSHIP</v>
      </c>
      <c r="G572" s="471">
        <v>0</v>
      </c>
      <c r="H572" s="472">
        <v>5720.84</v>
      </c>
      <c r="I572" s="472">
        <v>449.62</v>
      </c>
      <c r="J572" s="472">
        <v>-386.33</v>
      </c>
      <c r="K572" s="472">
        <v>638.84</v>
      </c>
      <c r="L572" s="472">
        <v>0</v>
      </c>
      <c r="M572" s="472">
        <f>G572+H572+I572+J572-K572+L572</f>
        <v>5145.29</v>
      </c>
    </row>
    <row r="573" spans="1:13" ht="12.75" outlineLevel="1">
      <c r="A573" s="423" t="s">
        <v>1919</v>
      </c>
      <c r="C573" s="469"/>
      <c r="D573" s="469"/>
      <c r="E573" s="459" t="s">
        <v>1920</v>
      </c>
      <c r="F573" s="470" t="str">
        <f>UPPER(E573)</f>
        <v>BOB E. MARTIN CGA - DENTISTRY</v>
      </c>
      <c r="G573" s="471">
        <v>0</v>
      </c>
      <c r="H573" s="472">
        <v>5138.19</v>
      </c>
      <c r="I573" s="472">
        <v>132.94</v>
      </c>
      <c r="J573" s="472">
        <v>-118.63</v>
      </c>
      <c r="K573" s="472">
        <v>118.57</v>
      </c>
      <c r="L573" s="472">
        <v>0</v>
      </c>
      <c r="M573" s="472">
        <f>G573+H573+I573+J573-K573+L573</f>
        <v>5033.929999999999</v>
      </c>
    </row>
    <row r="574" spans="1:15" s="462" customFormat="1" ht="12.75" customHeight="1">
      <c r="A574" s="462" t="s">
        <v>1921</v>
      </c>
      <c r="B574" s="457"/>
      <c r="C574" s="458"/>
      <c r="D574" s="458"/>
      <c r="E574" s="463" t="s">
        <v>1922</v>
      </c>
      <c r="F574" s="522" t="str">
        <f>UPPER(E574)</f>
        <v>TOTAL CHARITABLE GIFT ANNUITY FUNDS</v>
      </c>
      <c r="G574" s="523">
        <v>0</v>
      </c>
      <c r="H574" s="524">
        <v>87931.84</v>
      </c>
      <c r="I574" s="524">
        <v>2582.18</v>
      </c>
      <c r="J574" s="524">
        <v>-2289.34</v>
      </c>
      <c r="K574" s="524">
        <v>2125.54</v>
      </c>
      <c r="L574" s="524">
        <v>0</v>
      </c>
      <c r="M574" s="524">
        <f>G574+H574+I574+J574-K574+L574</f>
        <v>86099.14</v>
      </c>
      <c r="N574" s="525"/>
      <c r="O574" s="526"/>
    </row>
    <row r="575" ht="12.75" customHeight="1"/>
    <row r="576" spans="2:15" s="462" customFormat="1" ht="12.75" customHeight="1">
      <c r="B576" s="457"/>
      <c r="C576" s="458"/>
      <c r="D576" s="458"/>
      <c r="E576" s="458"/>
      <c r="F576" s="526" t="s">
        <v>1923</v>
      </c>
      <c r="G576" s="523">
        <f aca="true" t="shared" si="22" ref="G576:M576">G564+G568+G574</f>
        <v>4144.32</v>
      </c>
      <c r="H576" s="523">
        <f t="shared" si="22"/>
        <v>87931.84</v>
      </c>
      <c r="I576" s="523">
        <f t="shared" si="22"/>
        <v>2689.46</v>
      </c>
      <c r="J576" s="523">
        <f t="shared" si="22"/>
        <v>-2289.34</v>
      </c>
      <c r="K576" s="523">
        <f t="shared" si="22"/>
        <v>4646.54</v>
      </c>
      <c r="L576" s="523">
        <f t="shared" si="22"/>
        <v>0</v>
      </c>
      <c r="M576" s="523">
        <f t="shared" si="22"/>
        <v>87829.74</v>
      </c>
      <c r="N576" s="525"/>
      <c r="O576" s="526"/>
    </row>
    <row r="577" ht="12.75" customHeight="1"/>
    <row r="578" spans="2:15" s="462" customFormat="1" ht="12.75" customHeight="1">
      <c r="B578" s="457"/>
      <c r="C578" s="458"/>
      <c r="D578" s="458"/>
      <c r="E578" s="458"/>
      <c r="F578" s="526" t="s">
        <v>1924</v>
      </c>
      <c r="G578" s="532">
        <f aca="true" t="shared" si="23" ref="G578:M578">G502+G559+G576</f>
        <v>97987242.00999996</v>
      </c>
      <c r="H578" s="533">
        <f t="shared" si="23"/>
        <v>4414072.149999999</v>
      </c>
      <c r="I578" s="533">
        <f t="shared" si="23"/>
        <v>-1074204.1799999985</v>
      </c>
      <c r="J578" s="533">
        <f t="shared" si="23"/>
        <v>8521737.440000003</v>
      </c>
      <c r="K578" s="533">
        <f t="shared" si="23"/>
        <v>36691.01</v>
      </c>
      <c r="L578" s="533">
        <f t="shared" si="23"/>
        <v>1321322.79</v>
      </c>
      <c r="M578" s="533">
        <f t="shared" si="23"/>
        <v>111133479.19999999</v>
      </c>
      <c r="N578" s="525"/>
      <c r="O578" s="526"/>
    </row>
  </sheetData>
  <printOptions horizontalCentered="1"/>
  <pageMargins left="0.5" right="0.5" top="0.75" bottom="0.5" header="0.25" footer="0.25"/>
  <pageSetup fitToHeight="0" fitToWidth="1" horizontalDpi="600" verticalDpi="6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C2">
      <selection activeCell="A2" sqref="A1:A16384"/>
    </sheetView>
  </sheetViews>
  <sheetFormatPr defaultColWidth="9.140625" defaultRowHeight="12.75" outlineLevelRow="1"/>
  <cols>
    <col min="1" max="1" width="9.140625" style="534" hidden="1" customWidth="1"/>
    <col min="2" max="2" width="15.140625" style="535" hidden="1" customWidth="1"/>
    <col min="3" max="3" width="3.28125" style="534" customWidth="1"/>
    <col min="4" max="4" width="45.7109375" style="529" customWidth="1"/>
    <col min="5" max="5" width="8.8515625" style="246" hidden="1" customWidth="1"/>
    <col min="6" max="13" width="15.7109375" style="326" customWidth="1"/>
    <col min="14" max="15" width="9.140625" style="423" customWidth="1"/>
    <col min="16" max="18" width="0" style="423" hidden="1" customWidth="1"/>
    <col min="19" max="16384" width="9.140625" style="423" customWidth="1"/>
  </cols>
  <sheetData>
    <row r="1" spans="1:13" ht="344.25" hidden="1">
      <c r="A1" s="534" t="s">
        <v>1925</v>
      </c>
      <c r="B1" s="535" t="s">
        <v>3784</v>
      </c>
      <c r="D1" s="529" t="s">
        <v>3785</v>
      </c>
      <c r="E1" s="246" t="s">
        <v>1926</v>
      </c>
      <c r="F1" s="326" t="s">
        <v>3335</v>
      </c>
      <c r="G1" s="326" t="s">
        <v>15</v>
      </c>
      <c r="H1" s="326" t="s">
        <v>1927</v>
      </c>
      <c r="I1" s="326" t="s">
        <v>1928</v>
      </c>
      <c r="J1" s="326" t="s">
        <v>1929</v>
      </c>
      <c r="K1" s="326" t="s">
        <v>1930</v>
      </c>
      <c r="L1" s="326" t="s">
        <v>3340</v>
      </c>
      <c r="M1" s="326" t="s">
        <v>3785</v>
      </c>
    </row>
    <row r="2" spans="1:16" s="540" customFormat="1" ht="15.75" customHeight="1">
      <c r="A2" s="536"/>
      <c r="B2" s="537"/>
      <c r="C2" s="538" t="str">
        <f>"University of Missouri - "&amp;RBN</f>
        <v>University of Missouri - Kansas City</v>
      </c>
      <c r="D2" s="539"/>
      <c r="E2" s="539"/>
      <c r="F2" s="330"/>
      <c r="G2" s="330"/>
      <c r="H2" s="330"/>
      <c r="I2" s="330"/>
      <c r="J2" s="330"/>
      <c r="K2" s="330"/>
      <c r="L2" s="330"/>
      <c r="M2" s="330"/>
      <c r="P2" s="435" t="s">
        <v>3861</v>
      </c>
    </row>
    <row r="3" spans="1:16" s="540" customFormat="1" ht="15.75" customHeight="1">
      <c r="A3" s="536"/>
      <c r="B3" s="537"/>
      <c r="C3" s="541" t="s">
        <v>1931</v>
      </c>
      <c r="D3" s="539"/>
      <c r="E3" s="539"/>
      <c r="F3" s="330"/>
      <c r="G3" s="330"/>
      <c r="H3" s="330"/>
      <c r="I3" s="330"/>
      <c r="J3" s="330"/>
      <c r="K3" s="330"/>
      <c r="L3" s="330"/>
      <c r="M3" s="330"/>
      <c r="P3" s="435" t="s">
        <v>1932</v>
      </c>
    </row>
    <row r="4" spans="1:18" s="462" customFormat="1" ht="15.75" customHeight="1">
      <c r="A4" s="542"/>
      <c r="B4" s="537"/>
      <c r="C4" s="543" t="str">
        <f>"As of "&amp;TEXT(R4,"MMMM DD, YYYY")</f>
        <v>As of June 30, 2006</v>
      </c>
      <c r="D4" s="539"/>
      <c r="E4" s="544"/>
      <c r="F4" s="330"/>
      <c r="G4" s="330"/>
      <c r="H4" s="330"/>
      <c r="I4" s="330"/>
      <c r="J4" s="330"/>
      <c r="K4" s="330"/>
      <c r="L4" s="330"/>
      <c r="M4" s="330"/>
      <c r="P4" s="545" t="s">
        <v>3862</v>
      </c>
      <c r="R4" s="546" t="s">
        <v>3862</v>
      </c>
    </row>
    <row r="5" spans="2:16" ht="12.75" customHeight="1">
      <c r="B5" s="547"/>
      <c r="C5" s="547"/>
      <c r="D5" s="548"/>
      <c r="E5" s="544"/>
      <c r="F5" s="330"/>
      <c r="G5" s="330"/>
      <c r="H5" s="330"/>
      <c r="I5" s="330"/>
      <c r="J5" s="330"/>
      <c r="K5" s="330"/>
      <c r="L5" s="330"/>
      <c r="M5" s="330"/>
      <c r="P5" s="445" t="s">
        <v>460</v>
      </c>
    </row>
    <row r="6" spans="1:16" s="462" customFormat="1" ht="42" customHeight="1">
      <c r="A6" s="542"/>
      <c r="B6" s="535"/>
      <c r="C6" s="549"/>
      <c r="D6" s="550"/>
      <c r="E6" s="551" t="s">
        <v>1933</v>
      </c>
      <c r="F6" s="346" t="s">
        <v>3343</v>
      </c>
      <c r="G6" s="346" t="s">
        <v>1934</v>
      </c>
      <c r="H6" s="346" t="s">
        <v>3561</v>
      </c>
      <c r="I6" s="346" t="s">
        <v>1935</v>
      </c>
      <c r="J6" s="346" t="s">
        <v>1936</v>
      </c>
      <c r="K6" s="346"/>
      <c r="L6" s="346" t="s">
        <v>1937</v>
      </c>
      <c r="M6" s="346" t="s">
        <v>3343</v>
      </c>
      <c r="P6" s="552"/>
    </row>
    <row r="7" spans="1:16" s="559" customFormat="1" ht="12.75">
      <c r="A7" s="553"/>
      <c r="B7" s="554"/>
      <c r="C7" s="555"/>
      <c r="D7" s="556"/>
      <c r="E7" s="557" t="s">
        <v>1938</v>
      </c>
      <c r="F7" s="558" t="str">
        <f>"July 1, "&amp;(P5-1)</f>
        <v>July 1, 2005</v>
      </c>
      <c r="G7" s="357" t="s">
        <v>1939</v>
      </c>
      <c r="H7" s="357" t="s">
        <v>1940</v>
      </c>
      <c r="I7" s="357" t="s">
        <v>3349</v>
      </c>
      <c r="J7" s="357" t="s">
        <v>1941</v>
      </c>
      <c r="K7" s="357" t="s">
        <v>3350</v>
      </c>
      <c r="L7" s="357" t="s">
        <v>1942</v>
      </c>
      <c r="M7" s="558" t="str">
        <f>TEXT(P4,"MMMM DD, YYYY")</f>
        <v>June 30, 2006</v>
      </c>
      <c r="P7" s="560"/>
    </row>
    <row r="8" spans="1:16" s="564" customFormat="1" ht="12.75">
      <c r="A8" s="561"/>
      <c r="B8" s="554"/>
      <c r="C8" s="561"/>
      <c r="D8" s="562"/>
      <c r="E8" s="563"/>
      <c r="F8" s="326"/>
      <c r="G8" s="326"/>
      <c r="H8" s="326"/>
      <c r="I8" s="326"/>
      <c r="J8" s="326"/>
      <c r="K8" s="326"/>
      <c r="L8" s="326"/>
      <c r="M8" s="326"/>
      <c r="P8" s="560"/>
    </row>
    <row r="9" ht="12.75" customHeight="1">
      <c r="C9" s="457" t="s">
        <v>3352</v>
      </c>
    </row>
    <row r="10" spans="1:13" ht="12.75" outlineLevel="1">
      <c r="A10" s="534" t="s">
        <v>1943</v>
      </c>
      <c r="B10" s="535" t="s">
        <v>1944</v>
      </c>
      <c r="D10" s="529" t="str">
        <f aca="true" t="shared" si="0" ref="D10:D28">UPPER(B10)</f>
        <v>UNSPECIFIED PROGRAM</v>
      </c>
      <c r="E10" s="255" t="s">
        <v>1945</v>
      </c>
      <c r="F10" s="363">
        <v>-650837.9</v>
      </c>
      <c r="G10" s="363">
        <v>0</v>
      </c>
      <c r="H10" s="363">
        <v>0</v>
      </c>
      <c r="I10" s="363">
        <v>0</v>
      </c>
      <c r="J10" s="363">
        <v>0</v>
      </c>
      <c r="K10" s="363">
        <v>-85496.01</v>
      </c>
      <c r="L10" s="363">
        <v>621719.77</v>
      </c>
      <c r="M10" s="363">
        <f aca="true" t="shared" si="1" ref="M10:M28">F10+G10+H10+I10+J10+L10-K10</f>
        <v>56377.87999999999</v>
      </c>
    </row>
    <row r="11" spans="1:13" ht="12.75" outlineLevel="1">
      <c r="A11" s="534" t="s">
        <v>1946</v>
      </c>
      <c r="B11" s="535" t="s">
        <v>1947</v>
      </c>
      <c r="D11" s="529" t="str">
        <f t="shared" si="0"/>
        <v>KEMPER GIFT 5283</v>
      </c>
      <c r="E11" s="246" t="s">
        <v>1948</v>
      </c>
      <c r="F11" s="326">
        <v>569536.5</v>
      </c>
      <c r="G11" s="326">
        <v>0</v>
      </c>
      <c r="H11" s="326">
        <v>0</v>
      </c>
      <c r="I11" s="326">
        <v>0</v>
      </c>
      <c r="J11" s="326">
        <v>0</v>
      </c>
      <c r="K11" s="326">
        <v>0</v>
      </c>
      <c r="L11" s="326">
        <v>-569536.5</v>
      </c>
      <c r="M11" s="326">
        <f t="shared" si="1"/>
        <v>0</v>
      </c>
    </row>
    <row r="12" spans="1:13" ht="12.75" outlineLevel="1">
      <c r="A12" s="534" t="s">
        <v>1949</v>
      </c>
      <c r="B12" s="535" t="s">
        <v>1950</v>
      </c>
      <c r="D12" s="529" t="str">
        <f t="shared" si="0"/>
        <v>NICHOLS GIFT 5281</v>
      </c>
      <c r="E12" s="246" t="s">
        <v>1951</v>
      </c>
      <c r="F12" s="326">
        <v>-24099.88</v>
      </c>
      <c r="G12" s="326">
        <v>0</v>
      </c>
      <c r="H12" s="326">
        <v>0</v>
      </c>
      <c r="I12" s="326">
        <v>0</v>
      </c>
      <c r="J12" s="326">
        <v>0</v>
      </c>
      <c r="K12" s="326">
        <v>0</v>
      </c>
      <c r="L12" s="326">
        <v>-11578.66</v>
      </c>
      <c r="M12" s="326">
        <f t="shared" si="1"/>
        <v>-35678.54</v>
      </c>
    </row>
    <row r="13" spans="1:13" ht="12.75" outlineLevel="1">
      <c r="A13" s="534" t="s">
        <v>1952</v>
      </c>
      <c r="B13" s="535" t="s">
        <v>1953</v>
      </c>
      <c r="D13" s="529" t="str">
        <f t="shared" si="0"/>
        <v>ORTHO RENOVATIONS-03</v>
      </c>
      <c r="E13" s="246" t="s">
        <v>1954</v>
      </c>
      <c r="F13" s="326">
        <v>0</v>
      </c>
      <c r="G13" s="326">
        <v>0</v>
      </c>
      <c r="H13" s="326">
        <v>0</v>
      </c>
      <c r="I13" s="326">
        <v>0</v>
      </c>
      <c r="J13" s="326">
        <v>0</v>
      </c>
      <c r="K13" s="326">
        <v>30316.57</v>
      </c>
      <c r="L13" s="326">
        <v>0</v>
      </c>
      <c r="M13" s="326">
        <f t="shared" si="1"/>
        <v>-30316.57</v>
      </c>
    </row>
    <row r="14" spans="1:13" ht="12.75" outlineLevel="1">
      <c r="A14" s="534" t="s">
        <v>1955</v>
      </c>
      <c r="B14" s="535" t="s">
        <v>1956</v>
      </c>
      <c r="D14" s="529" t="str">
        <f t="shared" si="0"/>
        <v>KCITY DENTAL SCHOOL CAPITAL</v>
      </c>
      <c r="E14" s="246" t="s">
        <v>1957</v>
      </c>
      <c r="F14" s="326">
        <v>0</v>
      </c>
      <c r="G14" s="326">
        <v>0</v>
      </c>
      <c r="H14" s="326">
        <v>0</v>
      </c>
      <c r="I14" s="326">
        <v>0</v>
      </c>
      <c r="J14" s="326">
        <v>0</v>
      </c>
      <c r="K14" s="326">
        <v>0</v>
      </c>
      <c r="L14" s="326">
        <v>0</v>
      </c>
      <c r="M14" s="326">
        <f t="shared" si="1"/>
        <v>0</v>
      </c>
    </row>
    <row r="15" spans="1:13" ht="12.75" outlineLevel="1">
      <c r="A15" s="534" t="s">
        <v>1958</v>
      </c>
      <c r="B15" s="535" t="s">
        <v>1959</v>
      </c>
      <c r="D15" s="529" t="str">
        <f t="shared" si="0"/>
        <v>HEALTH SCIENCE BLDG CONSTRUCTI</v>
      </c>
      <c r="E15" s="246" t="s">
        <v>1960</v>
      </c>
      <c r="F15" s="326">
        <v>-97473.71</v>
      </c>
      <c r="G15" s="326">
        <v>7521540.21</v>
      </c>
      <c r="H15" s="326">
        <v>0</v>
      </c>
      <c r="I15" s="326">
        <v>0</v>
      </c>
      <c r="J15" s="326">
        <v>0</v>
      </c>
      <c r="K15" s="326">
        <v>7521540.8</v>
      </c>
      <c r="L15" s="326">
        <v>0</v>
      </c>
      <c r="M15" s="326">
        <f t="shared" si="1"/>
        <v>-97474.29999999981</v>
      </c>
    </row>
    <row r="16" spans="1:13" ht="12.75" outlineLevel="1">
      <c r="A16" s="534" t="s">
        <v>1961</v>
      </c>
      <c r="B16" s="535" t="s">
        <v>1962</v>
      </c>
      <c r="D16" s="529" t="str">
        <f t="shared" si="0"/>
        <v>DENTAL CLINIC EQUIP REPLACEMNT</v>
      </c>
      <c r="E16" s="246" t="s">
        <v>1963</v>
      </c>
      <c r="F16" s="326">
        <v>-89249.14</v>
      </c>
      <c r="G16" s="326">
        <v>981036.21</v>
      </c>
      <c r="H16" s="326">
        <v>0</v>
      </c>
      <c r="I16" s="326">
        <v>0</v>
      </c>
      <c r="J16" s="326">
        <v>0</v>
      </c>
      <c r="K16" s="326">
        <v>981037.46</v>
      </c>
      <c r="L16" s="326">
        <v>0</v>
      </c>
      <c r="M16" s="326">
        <f t="shared" si="1"/>
        <v>-89250.39000000001</v>
      </c>
    </row>
    <row r="17" spans="1:13" ht="12.75" outlineLevel="1">
      <c r="A17" s="534" t="s">
        <v>1964</v>
      </c>
      <c r="B17" s="535" t="s">
        <v>1965</v>
      </c>
      <c r="D17" s="529" t="str">
        <f t="shared" si="0"/>
        <v>PARKING STRUCTURE</v>
      </c>
      <c r="E17" s="246" t="s">
        <v>1966</v>
      </c>
      <c r="F17" s="326">
        <v>-2501.97</v>
      </c>
      <c r="G17" s="326">
        <v>0</v>
      </c>
      <c r="H17" s="326">
        <v>0</v>
      </c>
      <c r="I17" s="326">
        <v>0</v>
      </c>
      <c r="J17" s="326">
        <v>0</v>
      </c>
      <c r="K17" s="326">
        <v>-2501.97</v>
      </c>
      <c r="L17" s="326">
        <v>0</v>
      </c>
      <c r="M17" s="326">
        <f t="shared" si="1"/>
        <v>0</v>
      </c>
    </row>
    <row r="18" spans="1:13" ht="12.75" outlineLevel="1">
      <c r="A18" s="534" t="s">
        <v>1967</v>
      </c>
      <c r="B18" s="535" t="s">
        <v>1968</v>
      </c>
      <c r="D18" s="529" t="str">
        <f t="shared" si="0"/>
        <v>ARCHIPENKO #5278</v>
      </c>
      <c r="E18" s="246" t="s">
        <v>1969</v>
      </c>
      <c r="F18" s="326">
        <v>0</v>
      </c>
      <c r="G18" s="326">
        <v>0</v>
      </c>
      <c r="H18" s="326">
        <v>0</v>
      </c>
      <c r="I18" s="326">
        <v>0</v>
      </c>
      <c r="J18" s="326">
        <v>0</v>
      </c>
      <c r="K18" s="326">
        <v>0</v>
      </c>
      <c r="L18" s="326">
        <v>-60840.15</v>
      </c>
      <c r="M18" s="326">
        <f t="shared" si="1"/>
        <v>-60840.15</v>
      </c>
    </row>
    <row r="19" spans="1:13" ht="12.75" outlineLevel="1">
      <c r="A19" s="534" t="s">
        <v>1970</v>
      </c>
      <c r="B19" s="535" t="s">
        <v>1971</v>
      </c>
      <c r="D19" s="529" t="str">
        <f t="shared" si="0"/>
        <v>TWIN OAKS RENOVATION</v>
      </c>
      <c r="E19" s="246" t="s">
        <v>1972</v>
      </c>
      <c r="F19" s="326">
        <v>-439133.42</v>
      </c>
      <c r="G19" s="326">
        <v>0</v>
      </c>
      <c r="H19" s="326">
        <v>0</v>
      </c>
      <c r="I19" s="326">
        <v>0</v>
      </c>
      <c r="J19" s="326">
        <v>0</v>
      </c>
      <c r="K19" s="326">
        <v>0</v>
      </c>
      <c r="L19" s="326">
        <v>0</v>
      </c>
      <c r="M19" s="326">
        <f t="shared" si="1"/>
        <v>-439133.42</v>
      </c>
    </row>
    <row r="20" spans="1:13" ht="12.75" outlineLevel="1">
      <c r="A20" s="534" t="s">
        <v>1973</v>
      </c>
      <c r="B20" s="535" t="s">
        <v>1974</v>
      </c>
      <c r="D20" s="529" t="str">
        <f t="shared" si="0"/>
        <v>HOSPITAL HILL PARKING STRUCTUR</v>
      </c>
      <c r="E20" s="246" t="s">
        <v>1975</v>
      </c>
      <c r="F20" s="326">
        <v>0</v>
      </c>
      <c r="G20" s="326">
        <v>0</v>
      </c>
      <c r="H20" s="326">
        <v>0</v>
      </c>
      <c r="I20" s="326">
        <v>220176.26</v>
      </c>
      <c r="J20" s="326">
        <v>12901006.52</v>
      </c>
      <c r="K20" s="326">
        <v>13913735.48</v>
      </c>
      <c r="L20" s="326">
        <v>0</v>
      </c>
      <c r="M20" s="326">
        <f t="shared" si="1"/>
        <v>-792552.7000000011</v>
      </c>
    </row>
    <row r="21" spans="1:13" ht="12.75" outlineLevel="1">
      <c r="A21" s="534" t="s">
        <v>1976</v>
      </c>
      <c r="B21" s="535" t="s">
        <v>1977</v>
      </c>
      <c r="D21" s="529" t="str">
        <f t="shared" si="0"/>
        <v>UNIVERSITY WAY</v>
      </c>
      <c r="E21" s="246" t="s">
        <v>1978</v>
      </c>
      <c r="F21" s="326">
        <v>230493.42</v>
      </c>
      <c r="G21" s="326">
        <v>0</v>
      </c>
      <c r="H21" s="326">
        <v>0</v>
      </c>
      <c r="I21" s="326">
        <v>2303.8</v>
      </c>
      <c r="J21" s="326">
        <v>0</v>
      </c>
      <c r="K21" s="326">
        <v>360095.07</v>
      </c>
      <c r="L21" s="326">
        <v>127297.85</v>
      </c>
      <c r="M21" s="326">
        <f t="shared" si="1"/>
        <v>0</v>
      </c>
    </row>
    <row r="22" spans="1:13" ht="12.75" outlineLevel="1">
      <c r="A22" s="534" t="s">
        <v>1979</v>
      </c>
      <c r="B22" s="535" t="s">
        <v>1980</v>
      </c>
      <c r="D22" s="529" t="str">
        <f t="shared" si="0"/>
        <v>OAK STREET HOUSING</v>
      </c>
      <c r="E22" s="246" t="s">
        <v>1981</v>
      </c>
      <c r="F22" s="326">
        <v>38865.73</v>
      </c>
      <c r="G22" s="326">
        <v>0</v>
      </c>
      <c r="H22" s="326">
        <v>0</v>
      </c>
      <c r="I22" s="326">
        <v>-1249.35</v>
      </c>
      <c r="J22" s="326">
        <v>0</v>
      </c>
      <c r="K22" s="326">
        <v>282959.57</v>
      </c>
      <c r="L22" s="326">
        <v>199999.12</v>
      </c>
      <c r="M22" s="326">
        <f t="shared" si="1"/>
        <v>-45344.07000000001</v>
      </c>
    </row>
    <row r="23" spans="1:13" ht="12.75" outlineLevel="1">
      <c r="A23" s="534" t="s">
        <v>1982</v>
      </c>
      <c r="B23" s="535" t="s">
        <v>1983</v>
      </c>
      <c r="D23" s="529" t="str">
        <f t="shared" si="0"/>
        <v>MNL EXPANSION</v>
      </c>
      <c r="E23" s="246" t="s">
        <v>1984</v>
      </c>
      <c r="F23" s="326">
        <v>-297999.8</v>
      </c>
      <c r="G23" s="326">
        <v>0</v>
      </c>
      <c r="H23" s="326">
        <v>0</v>
      </c>
      <c r="I23" s="326">
        <v>-3343.95</v>
      </c>
      <c r="J23" s="326">
        <v>0</v>
      </c>
      <c r="K23" s="326">
        <v>25041.88</v>
      </c>
      <c r="L23" s="326">
        <v>297999.8</v>
      </c>
      <c r="M23" s="326">
        <f t="shared" si="1"/>
        <v>-28385.830000000013</v>
      </c>
    </row>
    <row r="24" spans="1:13" ht="12.75" outlineLevel="1">
      <c r="A24" s="534" t="s">
        <v>1985</v>
      </c>
      <c r="B24" s="535" t="s">
        <v>1986</v>
      </c>
      <c r="D24" s="529" t="str">
        <f t="shared" si="0"/>
        <v>HEALTH SCIENCE II PROJECT</v>
      </c>
      <c r="E24" s="246" t="s">
        <v>1987</v>
      </c>
      <c r="F24" s="326">
        <v>3703438</v>
      </c>
      <c r="G24" s="326">
        <v>0</v>
      </c>
      <c r="H24" s="326">
        <v>1000000</v>
      </c>
      <c r="I24" s="326">
        <v>50461.62</v>
      </c>
      <c r="J24" s="326">
        <v>0</v>
      </c>
      <c r="K24" s="326">
        <v>0</v>
      </c>
      <c r="L24" s="326">
        <v>-2703438</v>
      </c>
      <c r="M24" s="326">
        <f t="shared" si="1"/>
        <v>2050461.62</v>
      </c>
    </row>
    <row r="25" spans="1:13" ht="12.75" outlineLevel="1">
      <c r="A25" s="534" t="s">
        <v>1988</v>
      </c>
      <c r="B25" s="535" t="s">
        <v>1989</v>
      </c>
      <c r="D25" s="529" t="str">
        <f t="shared" si="0"/>
        <v>BIXBY LN-CHERRY ST SIDEWALK EX</v>
      </c>
      <c r="E25" s="246" t="s">
        <v>1990</v>
      </c>
      <c r="F25" s="326">
        <v>283196</v>
      </c>
      <c r="G25" s="326">
        <v>0</v>
      </c>
      <c r="H25" s="326">
        <v>0</v>
      </c>
      <c r="I25" s="326">
        <v>8780.19</v>
      </c>
      <c r="J25" s="326">
        <v>0</v>
      </c>
      <c r="K25" s="326">
        <v>235804.25</v>
      </c>
      <c r="L25" s="326">
        <v>-32782.26</v>
      </c>
      <c r="M25" s="326">
        <f t="shared" si="1"/>
        <v>23389.679999999993</v>
      </c>
    </row>
    <row r="26" spans="1:13" ht="12.75" outlineLevel="1">
      <c r="A26" s="534" t="s">
        <v>1991</v>
      </c>
      <c r="B26" s="535" t="s">
        <v>1992</v>
      </c>
      <c r="D26" s="529" t="str">
        <f t="shared" si="0"/>
        <v>COURTROOM PROJECT</v>
      </c>
      <c r="E26" s="246" t="s">
        <v>1993</v>
      </c>
      <c r="F26" s="326">
        <v>0</v>
      </c>
      <c r="G26" s="326">
        <v>0</v>
      </c>
      <c r="H26" s="326">
        <v>0</v>
      </c>
      <c r="I26" s="326">
        <v>19708.96</v>
      </c>
      <c r="J26" s="326">
        <v>0</v>
      </c>
      <c r="K26" s="326">
        <v>0</v>
      </c>
      <c r="L26" s="326">
        <v>1000000</v>
      </c>
      <c r="M26" s="326">
        <f t="shared" si="1"/>
        <v>1019708.96</v>
      </c>
    </row>
    <row r="27" spans="1:13" ht="12.75" outlineLevel="1">
      <c r="A27" s="534" t="s">
        <v>1994</v>
      </c>
      <c r="B27" s="535" t="s">
        <v>1995</v>
      </c>
      <c r="D27" s="529" t="str">
        <f t="shared" si="0"/>
        <v>DS ORTHODONTICS RENOVAT</v>
      </c>
      <c r="E27" s="246" t="s">
        <v>1996</v>
      </c>
      <c r="F27" s="326">
        <v>0</v>
      </c>
      <c r="G27" s="326">
        <v>0</v>
      </c>
      <c r="H27" s="326">
        <v>0</v>
      </c>
      <c r="I27" s="326">
        <v>-747.77</v>
      </c>
      <c r="J27" s="326">
        <v>0</v>
      </c>
      <c r="K27" s="326">
        <v>456374.66</v>
      </c>
      <c r="L27" s="326">
        <v>407439</v>
      </c>
      <c r="M27" s="326">
        <f t="shared" si="1"/>
        <v>-49683.42999999999</v>
      </c>
    </row>
    <row r="28" spans="1:13" s="567" customFormat="1" ht="12.75" customHeight="1">
      <c r="A28" s="542" t="s">
        <v>1997</v>
      </c>
      <c r="B28" s="565" t="s">
        <v>1998</v>
      </c>
      <c r="C28" s="512"/>
      <c r="D28" s="526" t="str">
        <f t="shared" si="0"/>
        <v>    TOTAL RESTRICTED</v>
      </c>
      <c r="E28" s="566"/>
      <c r="F28" s="368">
        <v>3224233.58</v>
      </c>
      <c r="G28" s="368">
        <v>8502576.42</v>
      </c>
      <c r="H28" s="368">
        <v>1000000</v>
      </c>
      <c r="I28" s="368">
        <v>296089.76</v>
      </c>
      <c r="J28" s="368">
        <v>12901006.52</v>
      </c>
      <c r="K28" s="368">
        <v>23718907.76</v>
      </c>
      <c r="L28" s="368">
        <v>-723720.03</v>
      </c>
      <c r="M28" s="368">
        <f t="shared" si="1"/>
        <v>1481278.4899999984</v>
      </c>
    </row>
    <row r="29" spans="1:13" s="462" customFormat="1" ht="12.75" customHeight="1">
      <c r="A29" s="542"/>
      <c r="B29" s="535"/>
      <c r="C29" s="542"/>
      <c r="D29" s="529"/>
      <c r="E29" s="246"/>
      <c r="F29" s="326"/>
      <c r="G29" s="326"/>
      <c r="H29" s="326"/>
      <c r="I29" s="326"/>
      <c r="J29" s="326"/>
      <c r="K29" s="326"/>
      <c r="L29" s="326"/>
      <c r="M29" s="326"/>
    </row>
    <row r="30" ht="12.75" customHeight="1">
      <c r="C30" s="457" t="s">
        <v>3545</v>
      </c>
    </row>
    <row r="31" spans="1:13" ht="12.75" outlineLevel="1">
      <c r="A31" s="534" t="s">
        <v>1943</v>
      </c>
      <c r="B31" s="535" t="s">
        <v>1944</v>
      </c>
      <c r="D31" s="529" t="str">
        <f aca="true" t="shared" si="2" ref="D31:D55">UPPER(B31)</f>
        <v>UNSPECIFIED PROGRAM</v>
      </c>
      <c r="E31" s="246" t="s">
        <v>1945</v>
      </c>
      <c r="F31" s="326">
        <v>1800057.79</v>
      </c>
      <c r="G31" s="326">
        <v>0</v>
      </c>
      <c r="H31" s="326">
        <v>0</v>
      </c>
      <c r="I31" s="326">
        <v>0</v>
      </c>
      <c r="J31" s="326">
        <v>0</v>
      </c>
      <c r="K31" s="326">
        <v>-617505.15</v>
      </c>
      <c r="L31" s="326">
        <v>340816.24</v>
      </c>
      <c r="M31" s="326">
        <f>F31+G31+H31+I31+J31+L31-K31</f>
        <v>2758379.18</v>
      </c>
    </row>
    <row r="32" spans="1:13" ht="12.75" outlineLevel="1">
      <c r="A32" s="534" t="s">
        <v>1999</v>
      </c>
      <c r="B32" s="535" t="s">
        <v>2000</v>
      </c>
      <c r="D32" s="529" t="str">
        <f t="shared" si="2"/>
        <v>SWINNEY REC CENTER R&amp;M</v>
      </c>
      <c r="E32" s="246" t="s">
        <v>2001</v>
      </c>
      <c r="F32" s="326">
        <v>193520.5</v>
      </c>
      <c r="G32" s="326">
        <v>0</v>
      </c>
      <c r="H32" s="326">
        <v>0</v>
      </c>
      <c r="I32" s="326">
        <v>0</v>
      </c>
      <c r="J32" s="326">
        <v>0</v>
      </c>
      <c r="K32" s="326">
        <v>158823.35</v>
      </c>
      <c r="L32" s="326">
        <v>450931</v>
      </c>
      <c r="M32" s="326">
        <f>F32+G32+H32+I32+J32+L32-K32</f>
        <v>485628.15</v>
      </c>
    </row>
    <row r="33" spans="1:13" ht="12.75" outlineLevel="1">
      <c r="A33" s="534" t="s">
        <v>2002</v>
      </c>
      <c r="B33" s="535" t="s">
        <v>2003</v>
      </c>
      <c r="D33" s="529" t="str">
        <f t="shared" si="2"/>
        <v>U CENTER CAP POOL R&amp;M</v>
      </c>
      <c r="E33" s="246" t="s">
        <v>2004</v>
      </c>
      <c r="F33" s="326">
        <v>0</v>
      </c>
      <c r="G33" s="326">
        <v>0</v>
      </c>
      <c r="H33" s="326">
        <v>0</v>
      </c>
      <c r="I33" s="326">
        <v>0</v>
      </c>
      <c r="J33" s="326">
        <v>0</v>
      </c>
      <c r="K33" s="326">
        <v>350.9</v>
      </c>
      <c r="L33" s="326">
        <v>351</v>
      </c>
      <c r="M33" s="326">
        <v>0</v>
      </c>
    </row>
    <row r="34" spans="1:13" ht="12.75" outlineLevel="1">
      <c r="A34" s="534" t="s">
        <v>2005</v>
      </c>
      <c r="B34" s="535" t="s">
        <v>2006</v>
      </c>
      <c r="D34" s="529" t="str">
        <f t="shared" si="2"/>
        <v>BOOKSTORE CAP POOL REPAIR MAIN</v>
      </c>
      <c r="E34" s="246" t="s">
        <v>2007</v>
      </c>
      <c r="F34" s="326">
        <v>73233.42</v>
      </c>
      <c r="G34" s="326">
        <v>0</v>
      </c>
      <c r="H34" s="326">
        <v>0</v>
      </c>
      <c r="I34" s="326">
        <v>0</v>
      </c>
      <c r="J34" s="326">
        <v>0</v>
      </c>
      <c r="K34" s="326">
        <v>47452.81</v>
      </c>
      <c r="L34" s="326">
        <v>0</v>
      </c>
      <c r="M34" s="326">
        <f aca="true" t="shared" si="3" ref="M34:M55">F34+G34+H34+I34+J34+L34-K34</f>
        <v>25780.61</v>
      </c>
    </row>
    <row r="35" spans="1:13" ht="12.75" outlineLevel="1">
      <c r="A35" s="534" t="s">
        <v>2008</v>
      </c>
      <c r="B35" s="535" t="s">
        <v>2009</v>
      </c>
      <c r="D35" s="529" t="str">
        <f t="shared" si="2"/>
        <v>SRC IMPROVEMENTS</v>
      </c>
      <c r="E35" s="246" t="s">
        <v>2010</v>
      </c>
      <c r="F35" s="326">
        <v>-221.14</v>
      </c>
      <c r="G35" s="326">
        <v>0</v>
      </c>
      <c r="H35" s="326">
        <v>0</v>
      </c>
      <c r="I35" s="326">
        <v>0</v>
      </c>
      <c r="J35" s="326">
        <v>0</v>
      </c>
      <c r="K35" s="326">
        <v>0.74</v>
      </c>
      <c r="L35" s="326">
        <v>0</v>
      </c>
      <c r="M35" s="326">
        <f t="shared" si="3"/>
        <v>-221.88</v>
      </c>
    </row>
    <row r="36" spans="1:13" ht="12.75" outlineLevel="1">
      <c r="A36" s="534" t="s">
        <v>2011</v>
      </c>
      <c r="B36" s="535" t="s">
        <v>2012</v>
      </c>
      <c r="D36" s="529" t="str">
        <f t="shared" si="2"/>
        <v>VENDING PR CAP ACT</v>
      </c>
      <c r="E36" s="246" t="s">
        <v>2013</v>
      </c>
      <c r="F36" s="326">
        <v>140900.29</v>
      </c>
      <c r="G36" s="326">
        <v>0</v>
      </c>
      <c r="H36" s="326">
        <v>0</v>
      </c>
      <c r="I36" s="326">
        <v>5765.73</v>
      </c>
      <c r="J36" s="326">
        <v>0</v>
      </c>
      <c r="K36" s="326">
        <v>13170</v>
      </c>
      <c r="L36" s="326">
        <v>0</v>
      </c>
      <c r="M36" s="326">
        <f t="shared" si="3"/>
        <v>133496.02000000002</v>
      </c>
    </row>
    <row r="37" spans="1:13" ht="12.75" outlineLevel="1">
      <c r="A37" s="534" t="s">
        <v>2014</v>
      </c>
      <c r="B37" s="535" t="s">
        <v>2015</v>
      </c>
      <c r="D37" s="529" t="str">
        <f t="shared" si="2"/>
        <v>SYSTEM CONTRIBUTION</v>
      </c>
      <c r="E37" s="246" t="s">
        <v>2016</v>
      </c>
      <c r="F37" s="326">
        <v>0</v>
      </c>
      <c r="G37" s="326">
        <v>0</v>
      </c>
      <c r="H37" s="326">
        <v>0</v>
      </c>
      <c r="I37" s="326">
        <v>0</v>
      </c>
      <c r="J37" s="326">
        <v>0</v>
      </c>
      <c r="K37" s="326">
        <v>1859674.41</v>
      </c>
      <c r="L37" s="326">
        <v>1000000</v>
      </c>
      <c r="M37" s="326">
        <f t="shared" si="3"/>
        <v>-859674.4099999999</v>
      </c>
    </row>
    <row r="38" spans="1:13" ht="12.75" outlineLevel="1">
      <c r="A38" s="534" t="s">
        <v>2017</v>
      </c>
      <c r="B38" s="535" t="s">
        <v>2018</v>
      </c>
      <c r="D38" s="529" t="str">
        <f t="shared" si="2"/>
        <v>CAMPUS CONTRIBUTION</v>
      </c>
      <c r="E38" s="246" t="s">
        <v>2019</v>
      </c>
      <c r="F38" s="326">
        <v>0</v>
      </c>
      <c r="G38" s="326">
        <v>0</v>
      </c>
      <c r="H38" s="326">
        <v>0</v>
      </c>
      <c r="I38" s="326">
        <v>0</v>
      </c>
      <c r="J38" s="326">
        <v>0</v>
      </c>
      <c r="K38" s="326">
        <v>0</v>
      </c>
      <c r="L38" s="326">
        <v>200000</v>
      </c>
      <c r="M38" s="326">
        <f t="shared" si="3"/>
        <v>200000</v>
      </c>
    </row>
    <row r="39" spans="1:13" ht="12.75" outlineLevel="1">
      <c r="A39" s="534" t="s">
        <v>2020</v>
      </c>
      <c r="B39" s="535" t="s">
        <v>2021</v>
      </c>
      <c r="D39" s="529" t="str">
        <f t="shared" si="2"/>
        <v>OAK STREET WEST DEVELOPMENT</v>
      </c>
      <c r="E39" s="246" t="s">
        <v>2022</v>
      </c>
      <c r="F39" s="326">
        <v>0</v>
      </c>
      <c r="G39" s="326">
        <v>0</v>
      </c>
      <c r="H39" s="326">
        <v>0</v>
      </c>
      <c r="I39" s="326">
        <v>0</v>
      </c>
      <c r="J39" s="326">
        <v>0</v>
      </c>
      <c r="K39" s="326">
        <v>747807.9</v>
      </c>
      <c r="L39" s="326">
        <v>748000</v>
      </c>
      <c r="M39" s="326">
        <f t="shared" si="3"/>
        <v>192.09999999997672</v>
      </c>
    </row>
    <row r="40" spans="1:13" ht="12.75" outlineLevel="1">
      <c r="A40" s="534" t="s">
        <v>2023</v>
      </c>
      <c r="B40" s="535" t="s">
        <v>2024</v>
      </c>
      <c r="D40" s="529" t="str">
        <f t="shared" si="2"/>
        <v>HS CAMPUS FUNDS</v>
      </c>
      <c r="E40" s="246" t="s">
        <v>2025</v>
      </c>
      <c r="F40" s="326">
        <v>0</v>
      </c>
      <c r="G40" s="326">
        <v>0</v>
      </c>
      <c r="H40" s="326">
        <v>0</v>
      </c>
      <c r="I40" s="326">
        <v>0</v>
      </c>
      <c r="J40" s="326">
        <v>0</v>
      </c>
      <c r="K40" s="326">
        <v>13485599.41</v>
      </c>
      <c r="L40" s="326">
        <v>2703438</v>
      </c>
      <c r="M40" s="326">
        <f t="shared" si="3"/>
        <v>-10782161.41</v>
      </c>
    </row>
    <row r="41" spans="1:13" ht="12.75" outlineLevel="1">
      <c r="A41" s="534" t="s">
        <v>2026</v>
      </c>
      <c r="B41" s="535" t="s">
        <v>2027</v>
      </c>
      <c r="D41" s="529" t="str">
        <f t="shared" si="2"/>
        <v>FACILITIES CONTRIBUTION</v>
      </c>
      <c r="E41" s="246" t="s">
        <v>2028</v>
      </c>
      <c r="F41" s="326">
        <v>0</v>
      </c>
      <c r="G41" s="326">
        <v>0</v>
      </c>
      <c r="H41" s="326">
        <v>0</v>
      </c>
      <c r="I41" s="326">
        <v>0</v>
      </c>
      <c r="J41" s="326">
        <v>0</v>
      </c>
      <c r="K41" s="326">
        <v>7914.61</v>
      </c>
      <c r="L41" s="326">
        <v>0</v>
      </c>
      <c r="M41" s="326">
        <f t="shared" si="3"/>
        <v>-7914.61</v>
      </c>
    </row>
    <row r="42" spans="1:13" ht="12.75" outlineLevel="1">
      <c r="A42" s="534" t="s">
        <v>2029</v>
      </c>
      <c r="B42" s="535" t="s">
        <v>2030</v>
      </c>
      <c r="D42" s="529" t="str">
        <f t="shared" si="2"/>
        <v>SCHOOL ED INSTRUCTION</v>
      </c>
      <c r="E42" s="246" t="s">
        <v>2031</v>
      </c>
      <c r="F42" s="326">
        <v>0</v>
      </c>
      <c r="G42" s="326">
        <v>0</v>
      </c>
      <c r="H42" s="326">
        <v>0</v>
      </c>
      <c r="I42" s="326">
        <v>0</v>
      </c>
      <c r="J42" s="326">
        <v>0</v>
      </c>
      <c r="K42" s="326">
        <v>2795</v>
      </c>
      <c r="L42" s="326">
        <v>0</v>
      </c>
      <c r="M42" s="326">
        <f t="shared" si="3"/>
        <v>-2795</v>
      </c>
    </row>
    <row r="43" spans="1:13" ht="12.75" outlineLevel="1">
      <c r="A43" s="534" t="s">
        <v>2032</v>
      </c>
      <c r="B43" s="535" t="s">
        <v>2033</v>
      </c>
      <c r="D43" s="529" t="str">
        <f t="shared" si="2"/>
        <v>FINANCE CONTRIBUTION</v>
      </c>
      <c r="E43" s="246" t="s">
        <v>2034</v>
      </c>
      <c r="F43" s="326">
        <v>0</v>
      </c>
      <c r="G43" s="326">
        <v>0</v>
      </c>
      <c r="H43" s="326">
        <v>0</v>
      </c>
      <c r="I43" s="326">
        <v>0</v>
      </c>
      <c r="J43" s="326">
        <v>0</v>
      </c>
      <c r="K43" s="326">
        <v>8378.22</v>
      </c>
      <c r="L43" s="326">
        <v>0</v>
      </c>
      <c r="M43" s="326">
        <f t="shared" si="3"/>
        <v>-8378.22</v>
      </c>
    </row>
    <row r="44" spans="1:13" ht="12.75" outlineLevel="1">
      <c r="A44" s="534" t="s">
        <v>2035</v>
      </c>
      <c r="B44" s="535" t="s">
        <v>2036</v>
      </c>
      <c r="D44" s="529" t="str">
        <f t="shared" si="2"/>
        <v>HOSPITAL HILL PARKING 2006A</v>
      </c>
      <c r="E44" s="246" t="s">
        <v>2037</v>
      </c>
      <c r="F44" s="326">
        <v>0</v>
      </c>
      <c r="G44" s="326">
        <v>0</v>
      </c>
      <c r="H44" s="326">
        <v>0</v>
      </c>
      <c r="I44" s="326">
        <v>2.56</v>
      </c>
      <c r="J44" s="326">
        <v>0</v>
      </c>
      <c r="K44" s="326">
        <v>35.15</v>
      </c>
      <c r="L44" s="326">
        <v>382.44</v>
      </c>
      <c r="M44" s="326">
        <f t="shared" si="3"/>
        <v>349.85</v>
      </c>
    </row>
    <row r="45" spans="1:13" ht="12.75" outlineLevel="1">
      <c r="A45" s="534" t="s">
        <v>2038</v>
      </c>
      <c r="B45" s="535" t="s">
        <v>2039</v>
      </c>
      <c r="D45" s="529" t="str">
        <f t="shared" si="2"/>
        <v>BOOKSTORE</v>
      </c>
      <c r="E45" s="246" t="s">
        <v>2040</v>
      </c>
      <c r="F45" s="326">
        <v>0</v>
      </c>
      <c r="G45" s="326">
        <v>0</v>
      </c>
      <c r="H45" s="326">
        <v>0</v>
      </c>
      <c r="I45" s="326">
        <v>-88989.53</v>
      </c>
      <c r="J45" s="326">
        <v>0</v>
      </c>
      <c r="K45" s="326">
        <v>620</v>
      </c>
      <c r="L45" s="326">
        <v>340213.19</v>
      </c>
      <c r="M45" s="326">
        <f t="shared" si="3"/>
        <v>250603.66</v>
      </c>
    </row>
    <row r="46" spans="1:13" ht="12.75" outlineLevel="1">
      <c r="A46" s="534" t="s">
        <v>2041</v>
      </c>
      <c r="B46" s="535" t="s">
        <v>2042</v>
      </c>
      <c r="D46" s="529" t="str">
        <f t="shared" si="2"/>
        <v>REC FACILITY</v>
      </c>
      <c r="E46" s="246" t="s">
        <v>2043</v>
      </c>
      <c r="F46" s="326">
        <v>0</v>
      </c>
      <c r="G46" s="326">
        <v>0</v>
      </c>
      <c r="H46" s="326">
        <v>0</v>
      </c>
      <c r="I46" s="326">
        <v>119172.76</v>
      </c>
      <c r="J46" s="326">
        <v>0</v>
      </c>
      <c r="K46" s="326">
        <v>1378.96</v>
      </c>
      <c r="L46" s="326">
        <v>2196718.9</v>
      </c>
      <c r="M46" s="326">
        <f t="shared" si="3"/>
        <v>2314512.6999999997</v>
      </c>
    </row>
    <row r="47" spans="1:13" ht="12.75" outlineLevel="1">
      <c r="A47" s="534" t="s">
        <v>2044</v>
      </c>
      <c r="B47" s="535" t="s">
        <v>2045</v>
      </c>
      <c r="D47" s="529" t="str">
        <f t="shared" si="2"/>
        <v>HOUSING</v>
      </c>
      <c r="E47" s="246" t="s">
        <v>2046</v>
      </c>
      <c r="F47" s="326">
        <v>0</v>
      </c>
      <c r="G47" s="326">
        <v>0</v>
      </c>
      <c r="H47" s="326">
        <v>0</v>
      </c>
      <c r="I47" s="326">
        <v>33678.86</v>
      </c>
      <c r="J47" s="326">
        <v>0</v>
      </c>
      <c r="K47" s="326">
        <v>0</v>
      </c>
      <c r="L47" s="326">
        <v>201431.37</v>
      </c>
      <c r="M47" s="326">
        <f t="shared" si="3"/>
        <v>235110.22999999998</v>
      </c>
    </row>
    <row r="48" spans="1:13" ht="12.75" outlineLevel="1">
      <c r="A48" s="534" t="s">
        <v>2047</v>
      </c>
      <c r="B48" s="535" t="s">
        <v>2048</v>
      </c>
      <c r="D48" s="529" t="str">
        <f t="shared" si="2"/>
        <v>DORM RENOVATIONS</v>
      </c>
      <c r="E48" s="246" t="s">
        <v>2049</v>
      </c>
      <c r="F48" s="326">
        <v>0</v>
      </c>
      <c r="G48" s="326">
        <v>0</v>
      </c>
      <c r="H48" s="326">
        <v>0</v>
      </c>
      <c r="I48" s="326">
        <v>2818.6</v>
      </c>
      <c r="J48" s="326">
        <v>0</v>
      </c>
      <c r="K48" s="326">
        <v>2494.62</v>
      </c>
      <c r="L48" s="326">
        <v>70997.01</v>
      </c>
      <c r="M48" s="326">
        <f t="shared" si="3"/>
        <v>71320.99</v>
      </c>
    </row>
    <row r="49" spans="1:13" ht="12.75" outlineLevel="1">
      <c r="A49" s="534" t="s">
        <v>2050</v>
      </c>
      <c r="B49" s="535" t="s">
        <v>2051</v>
      </c>
      <c r="D49" s="529" t="str">
        <f t="shared" si="2"/>
        <v>TWIN OAKS</v>
      </c>
      <c r="E49" s="246" t="s">
        <v>2052</v>
      </c>
      <c r="F49" s="326">
        <v>0</v>
      </c>
      <c r="G49" s="326">
        <v>0</v>
      </c>
      <c r="H49" s="326">
        <v>0</v>
      </c>
      <c r="I49" s="326">
        <v>68.1</v>
      </c>
      <c r="J49" s="326">
        <v>0</v>
      </c>
      <c r="K49" s="326">
        <v>6000.73</v>
      </c>
      <c r="L49" s="326">
        <v>12416.84</v>
      </c>
      <c r="M49" s="326">
        <f t="shared" si="3"/>
        <v>6484.210000000001</v>
      </c>
    </row>
    <row r="50" spans="1:13" ht="12.75" outlineLevel="1">
      <c r="A50" s="534" t="s">
        <v>2053</v>
      </c>
      <c r="B50" s="535" t="s">
        <v>2054</v>
      </c>
      <c r="D50" s="529" t="str">
        <f t="shared" si="2"/>
        <v>PARKING</v>
      </c>
      <c r="E50" s="246" t="s">
        <v>2055</v>
      </c>
      <c r="F50" s="326">
        <v>0</v>
      </c>
      <c r="G50" s="326">
        <v>0</v>
      </c>
      <c r="H50" s="326">
        <v>0</v>
      </c>
      <c r="I50" s="326">
        <v>162903.86</v>
      </c>
      <c r="J50" s="326">
        <v>0</v>
      </c>
      <c r="K50" s="326">
        <v>0</v>
      </c>
      <c r="L50" s="326">
        <v>695446.87</v>
      </c>
      <c r="M50" s="326">
        <f t="shared" si="3"/>
        <v>858350.73</v>
      </c>
    </row>
    <row r="51" spans="1:13" ht="12.75" outlineLevel="1">
      <c r="A51" s="534" t="s">
        <v>2056</v>
      </c>
      <c r="B51" s="535" t="s">
        <v>2057</v>
      </c>
      <c r="D51" s="529" t="str">
        <f t="shared" si="2"/>
        <v>PARKING 2000</v>
      </c>
      <c r="E51" s="246" t="s">
        <v>2058</v>
      </c>
      <c r="F51" s="326">
        <v>0</v>
      </c>
      <c r="G51" s="326">
        <v>0</v>
      </c>
      <c r="H51" s="326">
        <v>0</v>
      </c>
      <c r="I51" s="326">
        <v>8894.59</v>
      </c>
      <c r="J51" s="326">
        <v>0</v>
      </c>
      <c r="K51" s="326">
        <v>10385.65</v>
      </c>
      <c r="L51" s="326">
        <v>223228.23</v>
      </c>
      <c r="M51" s="326">
        <f t="shared" si="3"/>
        <v>221737.17</v>
      </c>
    </row>
    <row r="52" spans="1:13" ht="12.75" outlineLevel="1">
      <c r="A52" s="534" t="s">
        <v>2059</v>
      </c>
      <c r="B52" s="535" t="s">
        <v>2060</v>
      </c>
      <c r="D52" s="529" t="str">
        <f t="shared" si="2"/>
        <v>UNIVERSITY CENTER</v>
      </c>
      <c r="E52" s="246" t="s">
        <v>2061</v>
      </c>
      <c r="F52" s="326">
        <v>0</v>
      </c>
      <c r="G52" s="326">
        <v>0</v>
      </c>
      <c r="H52" s="326">
        <v>0</v>
      </c>
      <c r="I52" s="326">
        <v>1175.68</v>
      </c>
      <c r="J52" s="326">
        <v>0</v>
      </c>
      <c r="K52" s="326">
        <v>0</v>
      </c>
      <c r="L52" s="326">
        <v>27107.64</v>
      </c>
      <c r="M52" s="326">
        <f t="shared" si="3"/>
        <v>28283.32</v>
      </c>
    </row>
    <row r="53" spans="1:13" ht="12.75" outlineLevel="1">
      <c r="A53" s="534" t="s">
        <v>2062</v>
      </c>
      <c r="B53" s="535" t="s">
        <v>2063</v>
      </c>
      <c r="D53" s="529" t="str">
        <f t="shared" si="2"/>
        <v>OAK STREET HOUSING 2003A</v>
      </c>
      <c r="E53" s="246" t="s">
        <v>2064</v>
      </c>
      <c r="F53" s="326">
        <v>0</v>
      </c>
      <c r="G53" s="326">
        <v>0</v>
      </c>
      <c r="H53" s="326">
        <v>0</v>
      </c>
      <c r="I53" s="326">
        <v>21947.71</v>
      </c>
      <c r="J53" s="326">
        <v>0</v>
      </c>
      <c r="K53" s="326">
        <v>2310.4</v>
      </c>
      <c r="L53" s="326">
        <v>148467.12</v>
      </c>
      <c r="M53" s="326">
        <f t="shared" si="3"/>
        <v>168104.43</v>
      </c>
    </row>
    <row r="54" spans="1:13" ht="12.75" outlineLevel="1">
      <c r="A54" s="534" t="s">
        <v>2065</v>
      </c>
      <c r="B54" s="535" t="s">
        <v>2066</v>
      </c>
      <c r="D54" s="529" t="str">
        <f t="shared" si="2"/>
        <v>HOSPITAL HILL PARKING 2006B</v>
      </c>
      <c r="E54" s="246" t="s">
        <v>2067</v>
      </c>
      <c r="F54" s="326">
        <v>0</v>
      </c>
      <c r="G54" s="326">
        <v>0</v>
      </c>
      <c r="H54" s="326">
        <v>0</v>
      </c>
      <c r="I54" s="326">
        <v>3.17</v>
      </c>
      <c r="J54" s="326">
        <v>0</v>
      </c>
      <c r="K54" s="326">
        <v>985.64</v>
      </c>
      <c r="L54" s="326">
        <v>1541.83</v>
      </c>
      <c r="M54" s="326">
        <f t="shared" si="3"/>
        <v>559.36</v>
      </c>
    </row>
    <row r="55" spans="1:13" s="567" customFormat="1" ht="12.75" customHeight="1">
      <c r="A55" s="542" t="s">
        <v>2068</v>
      </c>
      <c r="B55" s="565" t="s">
        <v>2069</v>
      </c>
      <c r="C55" s="512"/>
      <c r="D55" s="526" t="str">
        <f t="shared" si="2"/>
        <v>    TOTAL UNRESTRICTED</v>
      </c>
      <c r="E55" s="568"/>
      <c r="F55" s="368">
        <v>2207490.86</v>
      </c>
      <c r="G55" s="368">
        <v>0</v>
      </c>
      <c r="H55" s="368">
        <v>0</v>
      </c>
      <c r="I55" s="368">
        <v>267442.09</v>
      </c>
      <c r="J55" s="368">
        <v>0</v>
      </c>
      <c r="K55" s="368">
        <v>15738673.35</v>
      </c>
      <c r="L55" s="368">
        <v>9361487.680000002</v>
      </c>
      <c r="M55" s="368">
        <f t="shared" si="3"/>
        <v>-3902252.719999999</v>
      </c>
    </row>
    <row r="56" ht="12.75" customHeight="1"/>
    <row r="57" spans="1:13" s="462" customFormat="1" ht="12.75" customHeight="1">
      <c r="A57" s="542"/>
      <c r="B57" s="569"/>
      <c r="C57" s="542"/>
      <c r="D57" s="528" t="s">
        <v>2070</v>
      </c>
      <c r="E57" s="568"/>
      <c r="F57" s="373">
        <f aca="true" t="shared" si="4" ref="F57:L57">F28+F55</f>
        <v>5431724.4399999995</v>
      </c>
      <c r="G57" s="373">
        <f t="shared" si="4"/>
        <v>8502576.42</v>
      </c>
      <c r="H57" s="373">
        <f t="shared" si="4"/>
        <v>1000000</v>
      </c>
      <c r="I57" s="373">
        <f t="shared" si="4"/>
        <v>563531.8500000001</v>
      </c>
      <c r="J57" s="373">
        <f t="shared" si="4"/>
        <v>12901006.52</v>
      </c>
      <c r="K57" s="373">
        <f t="shared" si="4"/>
        <v>39457581.11</v>
      </c>
      <c r="L57" s="373">
        <f t="shared" si="4"/>
        <v>8637767.650000002</v>
      </c>
      <c r="M57" s="373">
        <f>F57+G57+H57+I57+J57+L57-K57</f>
        <v>-2420974.230000004</v>
      </c>
    </row>
    <row r="59" ht="12.75">
      <c r="A59" s="534" t="s">
        <v>3783</v>
      </c>
    </row>
    <row r="60" ht="12.75">
      <c r="A60" s="534" t="s">
        <v>3783</v>
      </c>
    </row>
  </sheetData>
  <printOptions horizontalCentered="1"/>
  <pageMargins left="0.5" right="0.5" top="0.75" bottom="0.5" header="0.5" footer="0.5"/>
  <pageSetup horizontalDpi="600" verticalDpi="600" orientation="landscape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workbookViewId="0" topLeftCell="B2">
      <selection activeCell="C36" sqref="C36"/>
    </sheetView>
  </sheetViews>
  <sheetFormatPr defaultColWidth="9.140625" defaultRowHeight="12.75"/>
  <cols>
    <col min="1" max="1" width="3.00390625" style="1" hidden="1" customWidth="1"/>
    <col min="2" max="2" width="2.57421875" style="2" customWidth="1"/>
    <col min="3" max="3" width="75.7109375" style="1" customWidth="1"/>
    <col min="4" max="4" width="7.140625" style="2" customWidth="1"/>
    <col min="5" max="5" width="20.7109375" style="2" hidden="1" customWidth="1"/>
    <col min="6" max="9" width="20.7109375" style="2" customWidth="1"/>
    <col min="10" max="10" width="9.140625" style="213" hidden="1" customWidth="1"/>
    <col min="11" max="13" width="0" style="213" hidden="1" customWidth="1"/>
    <col min="14" max="14" width="9.421875" style="213" bestFit="1" customWidth="1" collapsed="1"/>
    <col min="15" max="16384" width="9.140625" style="213" customWidth="1"/>
  </cols>
  <sheetData>
    <row r="1" spans="1:5" ht="12.75" customHeight="1" hidden="1">
      <c r="A1" s="1" t="s">
        <v>3783</v>
      </c>
      <c r="B1" s="2" t="s">
        <v>3783</v>
      </c>
      <c r="C1" s="1" t="s">
        <v>3783</v>
      </c>
      <c r="D1" s="2" t="s">
        <v>3783</v>
      </c>
      <c r="E1" s="2" t="s">
        <v>2071</v>
      </c>
    </row>
    <row r="2" spans="1:9" s="219" customFormat="1" ht="15.75" customHeight="1">
      <c r="A2" s="570"/>
      <c r="B2" s="571" t="str">
        <f>"University of Missouri - "&amp;RBN</f>
        <v>University of Missouri - Kansas City</v>
      </c>
      <c r="C2" s="572"/>
      <c r="D2" s="573"/>
      <c r="E2" s="573"/>
      <c r="F2" s="573"/>
      <c r="G2" s="573"/>
      <c r="H2" s="573"/>
      <c r="I2" s="573"/>
    </row>
    <row r="3" spans="1:9" s="223" customFormat="1" ht="15.75" customHeight="1">
      <c r="A3" s="10"/>
      <c r="B3" s="51" t="s">
        <v>2072</v>
      </c>
      <c r="C3" s="574"/>
      <c r="D3" s="12"/>
      <c r="E3" s="12"/>
      <c r="F3" s="12"/>
      <c r="G3" s="12"/>
      <c r="H3" s="12"/>
      <c r="I3" s="12"/>
    </row>
    <row r="4" spans="2:13" ht="15.75" customHeight="1">
      <c r="B4" s="225" t="str">
        <f>"  As of "&amp;TEXT(J4,"MMMM DD, YYY")</f>
        <v>  As of June 30, 2006</v>
      </c>
      <c r="C4" s="575"/>
      <c r="D4" s="16"/>
      <c r="E4" s="16"/>
      <c r="F4" s="16"/>
      <c r="G4" s="16"/>
      <c r="H4" s="16"/>
      <c r="I4" s="16"/>
      <c r="J4" s="229" t="s">
        <v>3862</v>
      </c>
      <c r="M4" s="230" t="s">
        <v>3861</v>
      </c>
    </row>
    <row r="5" spans="2:10" ht="12.75" customHeight="1">
      <c r="B5" s="231"/>
      <c r="C5" s="575"/>
      <c r="D5" s="16"/>
      <c r="E5" s="16"/>
      <c r="F5" s="16"/>
      <c r="G5" s="16"/>
      <c r="H5" s="16"/>
      <c r="I5" s="16"/>
      <c r="J5" s="1"/>
    </row>
    <row r="6" spans="1:9" ht="15" customHeight="1">
      <c r="A6" s="22"/>
      <c r="B6" s="243"/>
      <c r="C6" s="29"/>
      <c r="D6" s="244"/>
      <c r="E6" s="199" t="s">
        <v>3343</v>
      </c>
      <c r="F6" s="199" t="s">
        <v>3343</v>
      </c>
      <c r="G6" s="199"/>
      <c r="H6" s="199"/>
      <c r="I6" s="199" t="s">
        <v>3343</v>
      </c>
    </row>
    <row r="7" spans="1:9" ht="12.75">
      <c r="A7" s="22"/>
      <c r="B7" s="248"/>
      <c r="C7" s="249"/>
      <c r="D7" s="250"/>
      <c r="E7" s="576" t="s">
        <v>2073</v>
      </c>
      <c r="F7" s="576" t="s">
        <v>2074</v>
      </c>
      <c r="G7" s="207" t="s">
        <v>3569</v>
      </c>
      <c r="H7" s="207" t="s">
        <v>2075</v>
      </c>
      <c r="I7" s="207" t="str">
        <f>TEXT(J4,"MMMM DD, YYY")</f>
        <v>June 30, 2006</v>
      </c>
    </row>
    <row r="8" spans="1:9" ht="12.75" customHeight="1">
      <c r="A8" s="22"/>
      <c r="B8" s="23" t="s">
        <v>2076</v>
      </c>
      <c r="C8" s="251"/>
      <c r="D8" s="24"/>
      <c r="E8" s="27"/>
      <c r="F8" s="27"/>
      <c r="G8" s="27"/>
      <c r="H8" s="27"/>
      <c r="I8" s="27"/>
    </row>
    <row r="9" spans="1:14" ht="12.75" customHeight="1">
      <c r="A9" s="2" t="s">
        <v>2077</v>
      </c>
      <c r="B9" s="30" t="s">
        <v>2078</v>
      </c>
      <c r="C9" s="252"/>
      <c r="D9" s="31"/>
      <c r="E9" s="32">
        <v>241658000.95</v>
      </c>
      <c r="F9" s="34">
        <f aca="true" t="shared" si="0" ref="F9:F17">E9</f>
        <v>241658000.95</v>
      </c>
      <c r="G9" s="34">
        <f>8315530.16-118750+66494.14+20453.86+43460+17820</f>
        <v>8345008.16</v>
      </c>
      <c r="H9" s="34">
        <f>-118750+118750</f>
        <v>0</v>
      </c>
      <c r="I9" s="34">
        <f aca="true" t="shared" si="1" ref="I9:I16">F9+G9+H9</f>
        <v>250003009.10999998</v>
      </c>
      <c r="N9" s="577"/>
    </row>
    <row r="10" spans="1:9" ht="12.75" customHeight="1">
      <c r="A10" s="2" t="s">
        <v>2079</v>
      </c>
      <c r="B10" s="30" t="s">
        <v>2080</v>
      </c>
      <c r="C10" s="252"/>
      <c r="D10" s="31"/>
      <c r="E10" s="32">
        <v>11018251.29</v>
      </c>
      <c r="F10" s="36">
        <f t="shared" si="0"/>
        <v>11018251.29</v>
      </c>
      <c r="G10" s="36">
        <v>125000</v>
      </c>
      <c r="H10" s="36">
        <v>0</v>
      </c>
      <c r="I10" s="36">
        <f t="shared" si="1"/>
        <v>11143251.29</v>
      </c>
    </row>
    <row r="11" spans="1:14" ht="12.75" customHeight="1">
      <c r="A11" s="2" t="s">
        <v>2081</v>
      </c>
      <c r="B11" s="30" t="s">
        <v>2082</v>
      </c>
      <c r="C11" s="252"/>
      <c r="D11" s="31"/>
      <c r="E11" s="32">
        <v>22605889.03</v>
      </c>
      <c r="F11" s="36">
        <f t="shared" si="0"/>
        <v>22605889.03</v>
      </c>
      <c r="G11" s="36">
        <f>4394878.32+6130</f>
        <v>4401008.32</v>
      </c>
      <c r="H11" s="36">
        <v>0</v>
      </c>
      <c r="I11" s="36">
        <f t="shared" si="1"/>
        <v>27006897.35</v>
      </c>
      <c r="N11" s="578"/>
    </row>
    <row r="12" spans="1:15" ht="12.75" customHeight="1">
      <c r="A12" s="252" t="s">
        <v>2083</v>
      </c>
      <c r="B12" s="30" t="s">
        <v>2084</v>
      </c>
      <c r="C12" s="252"/>
      <c r="D12" s="31"/>
      <c r="E12" s="32">
        <f>26437142.55+536296</f>
        <v>26973438.55</v>
      </c>
      <c r="F12" s="36">
        <f t="shared" si="0"/>
        <v>26973438.55</v>
      </c>
      <c r="G12" s="36">
        <f>3586308.13-13310-9999-66494.14-20453.86-43460-17820-6130</f>
        <v>3408641.13</v>
      </c>
      <c r="H12" s="36">
        <f>-1343104.04+13310+9999</f>
        <v>-1319795.04</v>
      </c>
      <c r="I12" s="36">
        <f t="shared" si="1"/>
        <v>29062284.64</v>
      </c>
      <c r="N12" s="578"/>
      <c r="O12" s="577"/>
    </row>
    <row r="13" spans="1:9" ht="12.75" customHeight="1">
      <c r="A13" s="252" t="s">
        <v>2085</v>
      </c>
      <c r="B13" s="30" t="s">
        <v>2086</v>
      </c>
      <c r="C13" s="252"/>
      <c r="D13" s="31"/>
      <c r="E13" s="32">
        <v>0</v>
      </c>
      <c r="F13" s="36">
        <f t="shared" si="0"/>
        <v>0</v>
      </c>
      <c r="G13" s="36">
        <v>0</v>
      </c>
      <c r="H13" s="36">
        <v>0</v>
      </c>
      <c r="I13" s="36">
        <f t="shared" si="1"/>
        <v>0</v>
      </c>
    </row>
    <row r="14" spans="1:9" ht="12.75" customHeight="1">
      <c r="A14" s="252" t="s">
        <v>2087</v>
      </c>
      <c r="B14" s="30" t="s">
        <v>2088</v>
      </c>
      <c r="C14" s="252"/>
      <c r="D14" s="31"/>
      <c r="E14" s="32">
        <v>171828.45</v>
      </c>
      <c r="F14" s="36">
        <f t="shared" si="0"/>
        <v>171828.45</v>
      </c>
      <c r="G14" s="36">
        <v>5010</v>
      </c>
      <c r="H14" s="36">
        <v>0</v>
      </c>
      <c r="I14" s="36">
        <f t="shared" si="1"/>
        <v>176838.45</v>
      </c>
    </row>
    <row r="15" spans="1:9" ht="12.75" customHeight="1">
      <c r="A15" s="252" t="s">
        <v>2089</v>
      </c>
      <c r="B15" s="30" t="s">
        <v>2090</v>
      </c>
      <c r="C15" s="252"/>
      <c r="D15" s="31"/>
      <c r="E15" s="32">
        <v>33598817.8</v>
      </c>
      <c r="F15" s="36">
        <f t="shared" si="0"/>
        <v>33598817.8</v>
      </c>
      <c r="G15" s="36">
        <f>35840973.32-33598817.8</f>
        <v>2242155.5200000033</v>
      </c>
      <c r="H15" s="36">
        <v>0</v>
      </c>
      <c r="I15" s="36">
        <f t="shared" si="1"/>
        <v>35840973.32</v>
      </c>
    </row>
    <row r="16" spans="1:9" ht="12.75" customHeight="1">
      <c r="A16" s="252" t="s">
        <v>2091</v>
      </c>
      <c r="B16" s="30" t="s">
        <v>2092</v>
      </c>
      <c r="C16" s="252"/>
      <c r="D16" s="31"/>
      <c r="E16" s="32">
        <v>15760817.76</v>
      </c>
      <c r="F16" s="36">
        <f t="shared" si="0"/>
        <v>15760817.76</v>
      </c>
      <c r="G16" s="36">
        <v>28610715.88</v>
      </c>
      <c r="H16" s="36">
        <v>0</v>
      </c>
      <c r="I16" s="36">
        <f t="shared" si="1"/>
        <v>44371533.64</v>
      </c>
    </row>
    <row r="17" spans="1:9" s="259" customFormat="1" ht="12.75" customHeight="1">
      <c r="A17" s="251" t="s">
        <v>3783</v>
      </c>
      <c r="B17" s="23"/>
      <c r="C17" s="251"/>
      <c r="D17" s="24"/>
      <c r="E17" s="27"/>
      <c r="F17" s="39">
        <f t="shared" si="0"/>
        <v>0</v>
      </c>
      <c r="G17" s="39"/>
      <c r="H17" s="39"/>
      <c r="I17" s="39"/>
    </row>
    <row r="18" spans="1:9" s="259" customFormat="1" ht="12.75" customHeight="1">
      <c r="A18" s="251" t="s">
        <v>3783</v>
      </c>
      <c r="B18" s="23" t="s">
        <v>2093</v>
      </c>
      <c r="C18" s="251"/>
      <c r="D18" s="24"/>
      <c r="E18" s="27">
        <f>E16+E15+E14+E13+E12+E11+E10+E9</f>
        <v>351787043.83</v>
      </c>
      <c r="F18" s="39">
        <f>F16+F15+F14+F13+F12+F11+F10+F9</f>
        <v>351787043.83</v>
      </c>
      <c r="G18" s="39">
        <f>G16+G15+G14+G13+G12+G11+G10+G9</f>
        <v>47137539.010000005</v>
      </c>
      <c r="H18" s="39">
        <f>H16+H15+H14+H13+H12+H11+H10+H9</f>
        <v>-1319795.04</v>
      </c>
      <c r="I18" s="39">
        <f>I16+I15+I14+I13+I12+I11+I10+I9</f>
        <v>397604787.79999995</v>
      </c>
    </row>
    <row r="19" spans="1:9" s="259" customFormat="1" ht="12.75" customHeight="1">
      <c r="A19" s="251" t="s">
        <v>3783</v>
      </c>
      <c r="B19" s="23"/>
      <c r="C19" s="251"/>
      <c r="D19" s="24"/>
      <c r="E19" s="27"/>
      <c r="F19" s="39"/>
      <c r="G19" s="39"/>
      <c r="H19" s="39"/>
      <c r="I19" s="39"/>
    </row>
    <row r="20" spans="1:9" s="259" customFormat="1" ht="12.75" customHeight="1">
      <c r="A20" s="251" t="s">
        <v>3783</v>
      </c>
      <c r="B20" s="23" t="s">
        <v>2094</v>
      </c>
      <c r="C20" s="251"/>
      <c r="D20" s="24"/>
      <c r="E20" s="27"/>
      <c r="F20" s="39"/>
      <c r="G20" s="39"/>
      <c r="H20" s="39"/>
      <c r="I20" s="39"/>
    </row>
    <row r="21" spans="1:14" ht="12.75" customHeight="1">
      <c r="A21" s="252" t="s">
        <v>2095</v>
      </c>
      <c r="B21" s="30"/>
      <c r="C21" s="252" t="s">
        <v>2096</v>
      </c>
      <c r="D21" s="31"/>
      <c r="E21" s="32">
        <v>-132574020.55</v>
      </c>
      <c r="F21" s="36">
        <f>-E21</f>
        <v>132574020.55</v>
      </c>
      <c r="G21" s="36">
        <v>8863523</v>
      </c>
      <c r="H21" s="36">
        <f>865</f>
        <v>865</v>
      </c>
      <c r="I21" s="36">
        <f>F21+G21+H21</f>
        <v>141438408.55</v>
      </c>
      <c r="N21" s="578"/>
    </row>
    <row r="22" spans="1:9" ht="12.75" customHeight="1">
      <c r="A22" s="252" t="s">
        <v>2097</v>
      </c>
      <c r="B22" s="30"/>
      <c r="C22" s="252" t="s">
        <v>3222</v>
      </c>
      <c r="D22" s="31"/>
      <c r="E22" s="32">
        <v>-9125279.59</v>
      </c>
      <c r="F22" s="36">
        <f>-E22</f>
        <v>9125279.59</v>
      </c>
      <c r="G22" s="36">
        <v>997815.8788</v>
      </c>
      <c r="H22" s="36">
        <v>0</v>
      </c>
      <c r="I22" s="36">
        <f>F22+G22+H22</f>
        <v>10123095.468799999</v>
      </c>
    </row>
    <row r="23" spans="1:9" ht="12.75" customHeight="1">
      <c r="A23" s="252" t="s">
        <v>2098</v>
      </c>
      <c r="B23" s="30"/>
      <c r="C23" s="252" t="s">
        <v>2099</v>
      </c>
      <c r="D23" s="31"/>
      <c r="E23" s="32">
        <v>-19629290.82</v>
      </c>
      <c r="F23" s="36">
        <f>-E23</f>
        <v>19629290.82</v>
      </c>
      <c r="G23" s="36">
        <f>20847709.16-19629291</f>
        <v>1218418.1600000001</v>
      </c>
      <c r="H23" s="36">
        <v>0</v>
      </c>
      <c r="I23" s="36">
        <f>F23+G23+H23</f>
        <v>20847708.98</v>
      </c>
    </row>
    <row r="24" spans="1:15" ht="12.75" customHeight="1">
      <c r="A24" s="252" t="s">
        <v>2100</v>
      </c>
      <c r="B24" s="30"/>
      <c r="C24" s="252" t="s">
        <v>2101</v>
      </c>
      <c r="D24" s="31"/>
      <c r="E24" s="32">
        <v>-16170456.75</v>
      </c>
      <c r="F24" s="36">
        <f>-E24</f>
        <v>16170456.75</v>
      </c>
      <c r="G24" s="36">
        <f>2652314.3721+1373</f>
        <v>2653687.3721</v>
      </c>
      <c r="H24" s="36">
        <f>-1101274.65-865</f>
        <v>-1102139.65</v>
      </c>
      <c r="I24" s="36">
        <f>F24+G24+H24</f>
        <v>17722004.4721</v>
      </c>
      <c r="N24" s="578"/>
      <c r="O24" s="578"/>
    </row>
    <row r="25" spans="1:9" ht="12.75" customHeight="1">
      <c r="A25" s="2"/>
      <c r="B25" s="30"/>
      <c r="C25" s="252"/>
      <c r="D25" s="31"/>
      <c r="E25" s="32"/>
      <c r="F25" s="36"/>
      <c r="G25" s="36"/>
      <c r="H25" s="36"/>
      <c r="I25" s="36"/>
    </row>
    <row r="26" spans="1:9" s="259" customFormat="1" ht="12.75" customHeight="1">
      <c r="A26" s="29"/>
      <c r="B26" s="23" t="s">
        <v>2102</v>
      </c>
      <c r="C26" s="251"/>
      <c r="D26" s="24"/>
      <c r="E26" s="27">
        <f>E21+E22+E24</f>
        <v>-157869756.89</v>
      </c>
      <c r="F26" s="39">
        <f>F21+F22+F24+F23</f>
        <v>177499047.70999998</v>
      </c>
      <c r="G26" s="39">
        <f>G21+G22+G24+G23</f>
        <v>13733444.410899999</v>
      </c>
      <c r="H26" s="39">
        <f>H21+H22+H24+H23</f>
        <v>-1101274.65</v>
      </c>
      <c r="I26" s="39">
        <f>I21+I22+I24+I23</f>
        <v>190131217.4709</v>
      </c>
    </row>
    <row r="27" spans="1:9" ht="12.75" customHeight="1">
      <c r="A27" s="2"/>
      <c r="B27" s="30"/>
      <c r="C27" s="252"/>
      <c r="D27" s="31"/>
      <c r="E27" s="32"/>
      <c r="F27" s="36"/>
      <c r="G27" s="36"/>
      <c r="H27" s="36"/>
      <c r="I27" s="36"/>
    </row>
    <row r="28" spans="1:9" ht="12.75" customHeight="1">
      <c r="A28" s="29"/>
      <c r="B28" s="23" t="s">
        <v>2103</v>
      </c>
      <c r="C28" s="251"/>
      <c r="D28" s="24"/>
      <c r="E28" s="27">
        <f>E18-E26</f>
        <v>509656800.71999997</v>
      </c>
      <c r="F28" s="41">
        <f>F18-F26</f>
        <v>174287996.12</v>
      </c>
      <c r="G28" s="41">
        <f>G18-G26</f>
        <v>33404094.59910001</v>
      </c>
      <c r="H28" s="41">
        <f>H18-H26</f>
        <v>-218520.39000000013</v>
      </c>
      <c r="I28" s="41">
        <f>I18-I26</f>
        <v>207473570.32909995</v>
      </c>
    </row>
    <row r="35" ht="12.75">
      <c r="C35" s="579"/>
    </row>
    <row r="36" ht="12.75">
      <c r="C36" s="579"/>
    </row>
    <row r="37" ht="12.75">
      <c r="C37" s="579"/>
    </row>
    <row r="38" ht="12.75">
      <c r="C38" s="579"/>
    </row>
    <row r="39" ht="12.75">
      <c r="C39" s="579"/>
    </row>
    <row r="40" ht="12.75">
      <c r="C40" s="579"/>
    </row>
    <row r="64" spans="5:6" ht="12.75">
      <c r="E64" s="580"/>
      <c r="F64" s="580"/>
    </row>
  </sheetData>
  <printOptions horizontalCentered="1"/>
  <pageMargins left="0.5" right="0.5" top="0.75" bottom="0.25" header="0.25" footer="0.5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0"/>
  <sheetViews>
    <sheetView zoomScale="75" zoomScaleNormal="75" workbookViewId="0" topLeftCell="A1">
      <pane xSplit="1" topLeftCell="B1" activePane="topRight" state="frozen"/>
      <selection pane="topLeft" activeCell="B39" sqref="B39"/>
      <selection pane="topRight" activeCell="B5" sqref="B5:B6"/>
    </sheetView>
  </sheetViews>
  <sheetFormatPr defaultColWidth="9.7109375" defaultRowHeight="12.75"/>
  <cols>
    <col min="1" max="1" width="97.140625" style="584" customWidth="1"/>
    <col min="2" max="3" width="15.7109375" style="584" customWidth="1"/>
    <col min="4" max="4" width="15.140625" style="584" customWidth="1"/>
    <col min="5" max="5" width="15.140625" style="584" hidden="1" customWidth="1"/>
    <col min="6" max="6" width="15.7109375" style="213" customWidth="1"/>
    <col min="7" max="7" width="15.7109375" style="213" hidden="1" customWidth="1"/>
    <col min="8" max="8" width="15.7109375" style="618" customWidth="1"/>
    <col min="9" max="9" width="13.7109375" style="584" customWidth="1"/>
    <col min="10" max="10" width="9.7109375" style="584" customWidth="1"/>
    <col min="11" max="11" width="14.7109375" style="584" customWidth="1"/>
    <col min="12" max="16384" width="9.7109375" style="584" customWidth="1"/>
  </cols>
  <sheetData>
    <row r="1" spans="1:8" ht="15.75" customHeight="1">
      <c r="A1" s="581" t="s">
        <v>2104</v>
      </c>
      <c r="B1" s="582" t="s">
        <v>2105</v>
      </c>
      <c r="C1" s="582"/>
      <c r="D1" s="582"/>
      <c r="E1" s="582"/>
      <c r="F1" s="582"/>
      <c r="G1" s="582"/>
      <c r="H1" s="583"/>
    </row>
    <row r="2" spans="1:8" ht="15.75" customHeight="1">
      <c r="A2" s="438" t="s">
        <v>2106</v>
      </c>
      <c r="B2" s="441" t="s">
        <v>2105</v>
      </c>
      <c r="C2" s="441"/>
      <c r="D2" s="441"/>
      <c r="E2" s="441"/>
      <c r="F2" s="441"/>
      <c r="G2" s="441"/>
      <c r="H2" s="585"/>
    </row>
    <row r="3" spans="1:8" ht="15.75" customHeight="1">
      <c r="A3" s="586" t="s">
        <v>2107</v>
      </c>
      <c r="B3" s="441"/>
      <c r="C3" s="441"/>
      <c r="D3" s="441"/>
      <c r="E3" s="441"/>
      <c r="F3" s="441"/>
      <c r="G3" s="441"/>
      <c r="H3" s="585"/>
    </row>
    <row r="4" spans="1:8" ht="12.75" customHeight="1">
      <c r="A4" s="586"/>
      <c r="B4" s="441"/>
      <c r="C4" s="441"/>
      <c r="D4" s="441"/>
      <c r="E4" s="441"/>
      <c r="F4" s="441"/>
      <c r="G4" s="441"/>
      <c r="H4" s="585"/>
    </row>
    <row r="5" spans="1:9" s="213" customFormat="1" ht="15" customHeight="1">
      <c r="A5" s="587" t="s">
        <v>2108</v>
      </c>
      <c r="B5" s="589" t="s">
        <v>2109</v>
      </c>
      <c r="C5" s="588" t="s">
        <v>3343</v>
      </c>
      <c r="D5" s="588"/>
      <c r="E5" s="588"/>
      <c r="F5" s="589"/>
      <c r="G5" s="588"/>
      <c r="H5" s="590" t="s">
        <v>3343</v>
      </c>
      <c r="I5" s="591"/>
    </row>
    <row r="6" spans="1:9" ht="12.75" customHeight="1">
      <c r="A6" s="592" t="s">
        <v>2108</v>
      </c>
      <c r="B6" s="595" t="s">
        <v>2110</v>
      </c>
      <c r="C6" s="593">
        <v>38534</v>
      </c>
      <c r="D6" s="594" t="s">
        <v>3569</v>
      </c>
      <c r="E6" s="594" t="s">
        <v>2111</v>
      </c>
      <c r="F6" s="595" t="s">
        <v>2112</v>
      </c>
      <c r="G6" s="596" t="s">
        <v>2113</v>
      </c>
      <c r="H6" s="597">
        <v>38898</v>
      </c>
      <c r="I6" s="598"/>
    </row>
    <row r="7" spans="1:9" ht="12.75" customHeight="1">
      <c r="A7" s="599" t="s">
        <v>2114</v>
      </c>
      <c r="B7" s="600" t="s">
        <v>2105</v>
      </c>
      <c r="C7" s="600"/>
      <c r="D7" s="600"/>
      <c r="E7" s="600"/>
      <c r="F7" s="600"/>
      <c r="G7" s="600"/>
      <c r="H7" s="601"/>
      <c r="I7" s="598"/>
    </row>
    <row r="8" spans="1:9" ht="12.75" customHeight="1">
      <c r="A8" s="602"/>
      <c r="B8" s="603"/>
      <c r="C8" s="603"/>
      <c r="D8" s="603"/>
      <c r="E8" s="603"/>
      <c r="F8" s="604"/>
      <c r="G8" s="604"/>
      <c r="H8" s="603"/>
      <c r="I8" s="598"/>
    </row>
    <row r="9" spans="1:9" ht="12.75" customHeight="1">
      <c r="A9" s="605" t="s">
        <v>2591</v>
      </c>
      <c r="B9" s="603"/>
      <c r="C9" s="603"/>
      <c r="D9" s="603"/>
      <c r="E9" s="603"/>
      <c r="F9" s="604"/>
      <c r="G9" s="604"/>
      <c r="H9" s="603"/>
      <c r="I9" s="598"/>
    </row>
    <row r="10" spans="1:9" ht="12.75" customHeight="1">
      <c r="A10" s="605" t="s">
        <v>2592</v>
      </c>
      <c r="B10" s="606">
        <v>2748612.65</v>
      </c>
      <c r="C10" s="607">
        <v>170291</v>
      </c>
      <c r="D10" s="606">
        <v>0</v>
      </c>
      <c r="E10" s="606">
        <v>0</v>
      </c>
      <c r="F10" s="607">
        <v>53956</v>
      </c>
      <c r="G10" s="607"/>
      <c r="H10" s="606">
        <f>C10+D10-E10-F10</f>
        <v>116335</v>
      </c>
      <c r="I10" s="598"/>
    </row>
    <row r="11" spans="1:9" ht="12.75" customHeight="1">
      <c r="A11" s="605"/>
      <c r="B11" s="608"/>
      <c r="C11" s="609"/>
      <c r="D11" s="608"/>
      <c r="E11" s="608"/>
      <c r="F11" s="609"/>
      <c r="G11" s="609"/>
      <c r="H11" s="608"/>
      <c r="I11" s="598"/>
    </row>
    <row r="12" spans="1:9" ht="12.75" customHeight="1">
      <c r="A12" s="605" t="s">
        <v>2593</v>
      </c>
      <c r="B12" s="608"/>
      <c r="C12" s="609"/>
      <c r="D12" s="608"/>
      <c r="E12" s="608"/>
      <c r="F12" s="609"/>
      <c r="G12" s="609"/>
      <c r="H12" s="608"/>
      <c r="I12" s="598"/>
    </row>
    <row r="13" spans="1:9" ht="12.75" customHeight="1">
      <c r="A13" s="605" t="s">
        <v>2594</v>
      </c>
      <c r="B13" s="608"/>
      <c r="C13" s="609"/>
      <c r="D13" s="608"/>
      <c r="E13" s="608"/>
      <c r="F13" s="609"/>
      <c r="G13" s="609"/>
      <c r="H13" s="608"/>
      <c r="I13" s="598"/>
    </row>
    <row r="14" spans="1:9" ht="12.75" customHeight="1">
      <c r="A14" s="605" t="s">
        <v>2595</v>
      </c>
      <c r="B14" s="608">
        <v>23041747.67</v>
      </c>
      <c r="C14" s="609">
        <v>20123162</v>
      </c>
      <c r="D14" s="608">
        <v>0</v>
      </c>
      <c r="E14" s="608">
        <v>0</v>
      </c>
      <c r="F14" s="609">
        <v>833153</v>
      </c>
      <c r="G14" s="609"/>
      <c r="H14" s="608">
        <f>C14+D14-E14-F14</f>
        <v>19290009</v>
      </c>
      <c r="I14" s="598"/>
    </row>
    <row r="15" spans="1:9" ht="12.75" customHeight="1">
      <c r="A15" s="605"/>
      <c r="B15" s="608"/>
      <c r="C15" s="609"/>
      <c r="D15" s="608"/>
      <c r="E15" s="608"/>
      <c r="F15" s="609"/>
      <c r="G15" s="609"/>
      <c r="H15" s="608"/>
      <c r="I15" s="598"/>
    </row>
    <row r="16" spans="1:9" ht="12.75" customHeight="1">
      <c r="A16" s="605" t="s">
        <v>2596</v>
      </c>
      <c r="B16" s="608"/>
      <c r="C16" s="609"/>
      <c r="D16" s="608"/>
      <c r="E16" s="608"/>
      <c r="F16" s="609"/>
      <c r="G16" s="609"/>
      <c r="H16" s="608"/>
      <c r="I16" s="598"/>
    </row>
    <row r="17" spans="1:9" ht="12.75" customHeight="1">
      <c r="A17" s="605" t="s">
        <v>2597</v>
      </c>
      <c r="B17" s="608"/>
      <c r="C17" s="609"/>
      <c r="D17" s="608"/>
      <c r="E17" s="608"/>
      <c r="F17" s="609"/>
      <c r="G17" s="609"/>
      <c r="H17" s="608"/>
      <c r="I17" s="598"/>
    </row>
    <row r="18" spans="1:9" ht="12.75" customHeight="1">
      <c r="A18" s="605" t="s">
        <v>2598</v>
      </c>
      <c r="B18" s="609">
        <v>2367496.96</v>
      </c>
      <c r="C18" s="609">
        <v>2360127</v>
      </c>
      <c r="D18" s="609">
        <v>0</v>
      </c>
      <c r="E18" s="608">
        <v>0</v>
      </c>
      <c r="F18" s="609">
        <v>2632</v>
      </c>
      <c r="G18" s="609"/>
      <c r="H18" s="608">
        <f>C18+D18-E18-F18</f>
        <v>2357495</v>
      </c>
      <c r="I18" s="598"/>
    </row>
    <row r="19" spans="1:9" ht="12.75" customHeight="1">
      <c r="A19" s="605"/>
      <c r="B19" s="609"/>
      <c r="C19" s="609"/>
      <c r="D19" s="609"/>
      <c r="E19" s="608"/>
      <c r="F19" s="609"/>
      <c r="G19" s="609"/>
      <c r="H19" s="608"/>
      <c r="I19" s="598"/>
    </row>
    <row r="20" spans="1:9" ht="12.75" customHeight="1">
      <c r="A20" s="605" t="s">
        <v>2599</v>
      </c>
      <c r="B20" s="609"/>
      <c r="C20" s="609"/>
      <c r="D20" s="609"/>
      <c r="E20" s="608"/>
      <c r="F20" s="609"/>
      <c r="G20" s="609"/>
      <c r="H20" s="608"/>
      <c r="I20" s="598"/>
    </row>
    <row r="21" spans="1:9" ht="12.75" customHeight="1">
      <c r="A21" s="610" t="s">
        <v>2600</v>
      </c>
      <c r="B21" s="609">
        <v>19490000</v>
      </c>
      <c r="C21" s="609">
        <v>19490000</v>
      </c>
      <c r="D21" s="609">
        <v>0</v>
      </c>
      <c r="E21" s="608">
        <v>0</v>
      </c>
      <c r="F21" s="609">
        <v>275000</v>
      </c>
      <c r="G21" s="609"/>
      <c r="H21" s="608">
        <f>C21+D21-E21-F21</f>
        <v>19215000</v>
      </c>
      <c r="I21" s="598"/>
    </row>
    <row r="22" spans="1:9" ht="12.75" customHeight="1">
      <c r="A22" s="605"/>
      <c r="B22" s="609"/>
      <c r="C22" s="609"/>
      <c r="D22" s="609"/>
      <c r="E22" s="608"/>
      <c r="F22" s="609"/>
      <c r="G22" s="609"/>
      <c r="H22" s="608"/>
      <c r="I22" s="598"/>
    </row>
    <row r="23" spans="1:9" ht="12.75" customHeight="1">
      <c r="A23" s="605" t="s">
        <v>2599</v>
      </c>
      <c r="B23" s="609"/>
      <c r="C23" s="609"/>
      <c r="D23" s="609"/>
      <c r="E23" s="608"/>
      <c r="F23" s="609"/>
      <c r="G23" s="609"/>
      <c r="H23" s="608"/>
      <c r="I23" s="598"/>
    </row>
    <row r="24" spans="1:9" ht="12.75" customHeight="1">
      <c r="A24" s="610" t="s">
        <v>2601</v>
      </c>
      <c r="B24" s="609">
        <v>2128856</v>
      </c>
      <c r="C24" s="609">
        <v>2051646</v>
      </c>
      <c r="D24" s="609">
        <v>0</v>
      </c>
      <c r="E24" s="608">
        <v>0</v>
      </c>
      <c r="F24" s="609">
        <v>78931</v>
      </c>
      <c r="G24" s="609"/>
      <c r="H24" s="608">
        <f>C24+D24-E24-F24</f>
        <v>1972715</v>
      </c>
      <c r="I24" s="598"/>
    </row>
    <row r="25" spans="1:9" ht="12.75" customHeight="1">
      <c r="A25" s="605"/>
      <c r="B25" s="609"/>
      <c r="C25" s="609"/>
      <c r="D25" s="609"/>
      <c r="E25" s="608"/>
      <c r="F25" s="609"/>
      <c r="G25" s="609"/>
      <c r="H25" s="608"/>
      <c r="I25" s="598"/>
    </row>
    <row r="26" spans="1:9" ht="12.75" customHeight="1">
      <c r="A26" s="605" t="s">
        <v>2602</v>
      </c>
      <c r="B26" s="609"/>
      <c r="C26" s="609"/>
      <c r="D26" s="609"/>
      <c r="E26" s="608"/>
      <c r="F26" s="609"/>
      <c r="G26" s="609"/>
      <c r="H26" s="608"/>
      <c r="I26" s="598"/>
    </row>
    <row r="27" spans="1:9" ht="12.75" customHeight="1">
      <c r="A27" s="611" t="s">
        <v>2607</v>
      </c>
      <c r="B27" s="609">
        <v>9625000</v>
      </c>
      <c r="C27" s="609">
        <v>0</v>
      </c>
      <c r="D27" s="609">
        <f>SUM(9625000,)</f>
        <v>9625000</v>
      </c>
      <c r="E27" s="608"/>
      <c r="F27" s="609">
        <v>0</v>
      </c>
      <c r="G27" s="609"/>
      <c r="H27" s="608">
        <f>C27+D27+E27-F27</f>
        <v>9625000</v>
      </c>
      <c r="I27" s="598"/>
    </row>
    <row r="28" spans="1:9" ht="12.75" customHeight="1">
      <c r="A28" s="605"/>
      <c r="B28" s="609"/>
      <c r="C28" s="609"/>
      <c r="D28" s="609"/>
      <c r="E28" s="608"/>
      <c r="F28" s="609"/>
      <c r="G28" s="609"/>
      <c r="H28" s="608"/>
      <c r="I28" s="598"/>
    </row>
    <row r="29" spans="1:9" ht="12.75" customHeight="1">
      <c r="A29" s="605" t="s">
        <v>2602</v>
      </c>
      <c r="B29" s="609"/>
      <c r="C29" s="609"/>
      <c r="D29" s="609"/>
      <c r="E29" s="608"/>
      <c r="F29" s="609"/>
      <c r="G29" s="609"/>
      <c r="H29" s="608"/>
      <c r="I29" s="598"/>
    </row>
    <row r="30" spans="1:9" ht="12.75" customHeight="1">
      <c r="A30" s="605" t="s">
        <v>2603</v>
      </c>
      <c r="B30" s="609">
        <v>5825000</v>
      </c>
      <c r="C30" s="609">
        <v>0</v>
      </c>
      <c r="D30" s="609">
        <f>SUM(5825000)</f>
        <v>5825000</v>
      </c>
      <c r="E30" s="608"/>
      <c r="F30" s="609">
        <v>0</v>
      </c>
      <c r="G30" s="609"/>
      <c r="H30" s="608">
        <f>C30+D30+E30-F30</f>
        <v>5825000</v>
      </c>
      <c r="I30" s="598"/>
    </row>
    <row r="31" spans="1:9" ht="12.75" customHeight="1">
      <c r="A31" s="605"/>
      <c r="B31" s="609"/>
      <c r="C31" s="609"/>
      <c r="D31" s="609"/>
      <c r="E31" s="608"/>
      <c r="F31" s="609"/>
      <c r="G31" s="609"/>
      <c r="H31" s="608"/>
      <c r="I31" s="598"/>
    </row>
    <row r="32" spans="1:9" ht="12.75" customHeight="1">
      <c r="A32" s="612" t="s">
        <v>2604</v>
      </c>
      <c r="B32" s="609">
        <v>0</v>
      </c>
      <c r="C32" s="609">
        <v>664720</v>
      </c>
      <c r="D32" s="609">
        <v>533471</v>
      </c>
      <c r="E32" s="608">
        <v>0</v>
      </c>
      <c r="F32" s="609">
        <v>-34107</v>
      </c>
      <c r="G32" s="609"/>
      <c r="H32" s="608">
        <f>SUM(B32:G32)</f>
        <v>1164084</v>
      </c>
      <c r="I32" s="598"/>
    </row>
    <row r="33" spans="1:9" ht="12.75" customHeight="1">
      <c r="A33" s="612" t="s">
        <v>2605</v>
      </c>
      <c r="B33" s="609">
        <v>0</v>
      </c>
      <c r="C33" s="609">
        <v>-104650</v>
      </c>
      <c r="D33" s="609">
        <v>0</v>
      </c>
      <c r="E33" s="608">
        <v>0</v>
      </c>
      <c r="F33" s="609">
        <v>23555</v>
      </c>
      <c r="G33" s="609"/>
      <c r="H33" s="608">
        <f>SUM(B33:G33)</f>
        <v>-81095</v>
      </c>
      <c r="I33" s="598"/>
    </row>
    <row r="34" spans="1:9" ht="12.75" customHeight="1">
      <c r="A34" s="605" t="s">
        <v>2108</v>
      </c>
      <c r="B34" s="608" t="s">
        <v>2105</v>
      </c>
      <c r="C34" s="608"/>
      <c r="D34" s="608"/>
      <c r="E34" s="608"/>
      <c r="F34" s="609"/>
      <c r="G34" s="609"/>
      <c r="H34" s="608"/>
      <c r="I34" s="598"/>
    </row>
    <row r="35" spans="1:9" s="622" customFormat="1" ht="12.75" customHeight="1">
      <c r="A35" s="613" t="s">
        <v>2606</v>
      </c>
      <c r="B35" s="619">
        <f>SUM(B8:B34)+1</f>
        <v>65226714.28</v>
      </c>
      <c r="C35" s="619">
        <f aca="true" t="shared" si="0" ref="C35:H35">SUM(C8:C34)</f>
        <v>44755296</v>
      </c>
      <c r="D35" s="620">
        <f t="shared" si="0"/>
        <v>15983471</v>
      </c>
      <c r="E35" s="620">
        <f t="shared" si="0"/>
        <v>0</v>
      </c>
      <c r="F35" s="620">
        <f t="shared" si="0"/>
        <v>1233120</v>
      </c>
      <c r="G35" s="620">
        <f t="shared" si="0"/>
        <v>0</v>
      </c>
      <c r="H35" s="619">
        <f t="shared" si="0"/>
        <v>59484543</v>
      </c>
      <c r="I35" s="621"/>
    </row>
    <row r="36" spans="1:9" ht="12.75" customHeight="1">
      <c r="A36" s="614" t="s">
        <v>2108</v>
      </c>
      <c r="B36" s="614" t="s">
        <v>2105</v>
      </c>
      <c r="C36" s="614"/>
      <c r="D36" s="614"/>
      <c r="E36" s="614"/>
      <c r="F36" s="591"/>
      <c r="G36" s="591"/>
      <c r="H36" s="615"/>
      <c r="I36" s="598"/>
    </row>
    <row r="37" spans="1:9" ht="12.75" customHeight="1">
      <c r="A37" s="614" t="s">
        <v>2108</v>
      </c>
      <c r="B37" s="614"/>
      <c r="C37" s="614"/>
      <c r="D37" s="614"/>
      <c r="E37" s="614"/>
      <c r="F37" s="591"/>
      <c r="G37" s="591"/>
      <c r="H37" s="615"/>
      <c r="I37" s="598"/>
    </row>
    <row r="38" spans="1:9" ht="12.75" customHeight="1">
      <c r="A38" s="614"/>
      <c r="B38" s="614"/>
      <c r="C38" s="614"/>
      <c r="D38" s="614"/>
      <c r="E38" s="614"/>
      <c r="F38" s="616"/>
      <c r="G38" s="616"/>
      <c r="H38" s="615"/>
      <c r="I38" s="598"/>
    </row>
    <row r="39" spans="1:9" ht="12.75" customHeight="1">
      <c r="A39" s="614"/>
      <c r="B39" s="614"/>
      <c r="C39" s="614"/>
      <c r="D39" s="614"/>
      <c r="E39" s="614"/>
      <c r="F39" s="591"/>
      <c r="G39" s="591"/>
      <c r="H39" s="615"/>
      <c r="I39" s="598"/>
    </row>
    <row r="40" spans="6:7" ht="12.75" customHeight="1">
      <c r="F40" s="617"/>
      <c r="G40" s="617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printOptions horizontalCentered="1"/>
  <pageMargins left="0.41" right="0.5" top="0.75" bottom="0.5" header="0.5" footer="0"/>
  <pageSetup horizontalDpi="600" verticalDpi="6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121"/>
  <sheetViews>
    <sheetView workbookViewId="0" topLeftCell="C2">
      <selection activeCell="C8" sqref="C8"/>
    </sheetView>
  </sheetViews>
  <sheetFormatPr defaultColWidth="9.140625" defaultRowHeight="12.75" outlineLevelRow="1"/>
  <cols>
    <col min="1" max="2" width="9.140625" style="423" hidden="1" customWidth="1"/>
    <col min="3" max="3" width="89.7109375" style="423" customWidth="1"/>
    <col min="4" max="4" width="19.7109375" style="423" hidden="1" customWidth="1"/>
    <col min="5" max="5" width="12.421875" style="423" hidden="1" customWidth="1"/>
    <col min="6" max="8" width="20.7109375" style="623" customWidth="1"/>
    <col min="9" max="9" width="20.7109375" style="624" customWidth="1"/>
    <col min="10" max="16384" width="9.140625" style="423" customWidth="1"/>
  </cols>
  <sheetData>
    <row r="1" spans="1:9" ht="12.75" hidden="1">
      <c r="A1" s="423" t="s">
        <v>2608</v>
      </c>
      <c r="B1" s="423" t="s">
        <v>3784</v>
      </c>
      <c r="C1" s="423" t="s">
        <v>3785</v>
      </c>
      <c r="D1" s="423" t="s">
        <v>2609</v>
      </c>
      <c r="F1" s="623" t="s">
        <v>2610</v>
      </c>
      <c r="G1" s="623" t="s">
        <v>2611</v>
      </c>
      <c r="H1" s="623" t="s">
        <v>2612</v>
      </c>
      <c r="I1" s="624" t="s">
        <v>3785</v>
      </c>
    </row>
    <row r="2" spans="3:24" s="436" customFormat="1" ht="15.75" customHeight="1">
      <c r="C2" s="625" t="str">
        <f>"University of Missouri - "&amp;X4</f>
        <v>University of Missouri - Kansas City</v>
      </c>
      <c r="D2" s="626"/>
      <c r="E2" s="626"/>
      <c r="F2" s="627"/>
      <c r="G2" s="627"/>
      <c r="H2" s="627"/>
      <c r="I2" s="628"/>
      <c r="K2" s="435" t="s">
        <v>3861</v>
      </c>
      <c r="X2" s="435" t="s">
        <v>2613</v>
      </c>
    </row>
    <row r="3" spans="3:24" s="436" customFormat="1" ht="15.75" customHeight="1">
      <c r="C3" s="626" t="s">
        <v>2614</v>
      </c>
      <c r="D3" s="626"/>
      <c r="E3" s="626"/>
      <c r="F3" s="627"/>
      <c r="G3" s="627"/>
      <c r="H3" s="627"/>
      <c r="I3" s="628"/>
      <c r="X3" s="435" t="s">
        <v>2615</v>
      </c>
    </row>
    <row r="4" spans="3:24" ht="15.75" customHeight="1">
      <c r="C4" s="629" t="str">
        <f>"As of "&amp;TEXT(K5,"MMMM DD, YYY")</f>
        <v>As of June 30, 2006</v>
      </c>
      <c r="D4" s="629"/>
      <c r="E4" s="629"/>
      <c r="F4" s="630"/>
      <c r="G4" s="630"/>
      <c r="H4" s="630"/>
      <c r="I4" s="631"/>
      <c r="X4" s="445" t="s">
        <v>3861</v>
      </c>
    </row>
    <row r="5" spans="3:24" ht="12.75" customHeight="1">
      <c r="C5" s="544"/>
      <c r="D5" s="544"/>
      <c r="E5" s="544"/>
      <c r="F5" s="630"/>
      <c r="G5" s="630"/>
      <c r="H5" s="630"/>
      <c r="I5" s="631"/>
      <c r="K5" s="445" t="s">
        <v>3862</v>
      </c>
      <c r="X5" s="632" t="s">
        <v>3862</v>
      </c>
    </row>
    <row r="6" spans="1:9" s="462" customFormat="1" ht="30" customHeight="1">
      <c r="A6" s="462" t="s">
        <v>3784</v>
      </c>
      <c r="B6" s="500" t="s">
        <v>2616</v>
      </c>
      <c r="C6" s="500" t="s">
        <v>2616</v>
      </c>
      <c r="D6" s="633" t="s">
        <v>2617</v>
      </c>
      <c r="E6" s="633"/>
      <c r="F6" s="634" t="s">
        <v>2618</v>
      </c>
      <c r="G6" s="634" t="s">
        <v>3297</v>
      </c>
      <c r="H6" s="634" t="s">
        <v>2619</v>
      </c>
      <c r="I6" s="635" t="s">
        <v>2620</v>
      </c>
    </row>
    <row r="7" spans="1:9" ht="12.75" outlineLevel="1">
      <c r="A7" s="423" t="s">
        <v>2621</v>
      </c>
      <c r="B7" s="423" t="s">
        <v>2622</v>
      </c>
      <c r="C7" s="423" t="str">
        <f aca="true" t="shared" si="0" ref="C7:C38">UPPER(B7)</f>
        <v>AGENCY SCHOLARSHIP</v>
      </c>
      <c r="D7" s="423" t="s">
        <v>2623</v>
      </c>
      <c r="F7" s="636">
        <v>46588.3</v>
      </c>
      <c r="G7" s="636">
        <v>0</v>
      </c>
      <c r="H7" s="636">
        <v>1065227.31</v>
      </c>
      <c r="I7" s="636">
        <f aca="true" t="shared" si="1" ref="I7:I38">(F7+G7-H7)</f>
        <v>-1018639.01</v>
      </c>
    </row>
    <row r="8" spans="1:9" ht="12.75" outlineLevel="1">
      <c r="A8" s="423" t="s">
        <v>2624</v>
      </c>
      <c r="B8" s="423" t="s">
        <v>2625</v>
      </c>
      <c r="C8" s="423" t="str">
        <f t="shared" si="0"/>
        <v>STIUDENT INSURANCE</v>
      </c>
      <c r="D8" s="423" t="s">
        <v>2626</v>
      </c>
      <c r="F8" s="637">
        <v>-10854.68</v>
      </c>
      <c r="G8" s="637">
        <v>524170.5</v>
      </c>
      <c r="H8" s="637">
        <v>265350.36</v>
      </c>
      <c r="I8" s="637">
        <f t="shared" si="1"/>
        <v>247965.46000000002</v>
      </c>
    </row>
    <row r="9" spans="1:9" ht="12.75" outlineLevel="1">
      <c r="A9" s="423" t="s">
        <v>2627</v>
      </c>
      <c r="B9" s="423" t="s">
        <v>2628</v>
      </c>
      <c r="C9" s="423" t="str">
        <f t="shared" si="0"/>
        <v>BREAKAGE DEPOSIT</v>
      </c>
      <c r="D9" s="423" t="s">
        <v>2629</v>
      </c>
      <c r="F9" s="637">
        <v>23750.77</v>
      </c>
      <c r="G9" s="637">
        <v>395.8</v>
      </c>
      <c r="H9" s="637">
        <v>0</v>
      </c>
      <c r="I9" s="637">
        <f t="shared" si="1"/>
        <v>24146.57</v>
      </c>
    </row>
    <row r="10" spans="1:9" ht="12.75" outlineLevel="1">
      <c r="A10" s="423" t="s">
        <v>2630</v>
      </c>
      <c r="B10" s="423" t="s">
        <v>2631</v>
      </c>
      <c r="C10" s="423" t="str">
        <f t="shared" si="0"/>
        <v>ROY J RINEHART FOUNDATION</v>
      </c>
      <c r="D10" s="423" t="s">
        <v>2632</v>
      </c>
      <c r="F10" s="637">
        <v>0</v>
      </c>
      <c r="G10" s="637">
        <v>19737.22</v>
      </c>
      <c r="H10" s="637">
        <v>17884.18</v>
      </c>
      <c r="I10" s="637">
        <f t="shared" si="1"/>
        <v>1853.0400000000009</v>
      </c>
    </row>
    <row r="11" spans="1:9" ht="12.75" outlineLevel="1">
      <c r="A11" s="423" t="s">
        <v>2633</v>
      </c>
      <c r="B11" s="423" t="s">
        <v>2634</v>
      </c>
      <c r="C11" s="423" t="str">
        <f t="shared" si="0"/>
        <v>UNIVERSITY OF KANSAS CITY</v>
      </c>
      <c r="D11" s="423" t="s">
        <v>2635</v>
      </c>
      <c r="F11" s="637">
        <v>165653.53</v>
      </c>
      <c r="G11" s="637">
        <v>490081.06</v>
      </c>
      <c r="H11" s="637">
        <v>68590.83</v>
      </c>
      <c r="I11" s="637">
        <f t="shared" si="1"/>
        <v>587143.76</v>
      </c>
    </row>
    <row r="12" spans="1:9" ht="12.75" outlineLevel="1">
      <c r="A12" s="423" t="s">
        <v>2636</v>
      </c>
      <c r="B12" s="423" t="s">
        <v>2637</v>
      </c>
      <c r="C12" s="423" t="str">
        <f t="shared" si="0"/>
        <v>UMKC FAC/STAFF RETIREMT ASSN</v>
      </c>
      <c r="D12" s="423" t="s">
        <v>2638</v>
      </c>
      <c r="F12" s="637">
        <v>3531.93</v>
      </c>
      <c r="G12" s="637">
        <v>5194</v>
      </c>
      <c r="H12" s="637">
        <v>6156.56</v>
      </c>
      <c r="I12" s="637">
        <f t="shared" si="1"/>
        <v>2569.37</v>
      </c>
    </row>
    <row r="13" spans="1:9" ht="12.75" outlineLevel="1">
      <c r="A13" s="423" t="s">
        <v>2639</v>
      </c>
      <c r="B13" s="423" t="s">
        <v>2640</v>
      </c>
      <c r="C13" s="423" t="str">
        <f t="shared" si="0"/>
        <v>WAGE EARNINGS ATTACHMENTS</v>
      </c>
      <c r="D13" s="423" t="s">
        <v>2641</v>
      </c>
      <c r="F13" s="637">
        <v>-8.93</v>
      </c>
      <c r="G13" s="637">
        <v>0</v>
      </c>
      <c r="H13" s="637">
        <v>0</v>
      </c>
      <c r="I13" s="637">
        <f t="shared" si="1"/>
        <v>-8.93</v>
      </c>
    </row>
    <row r="14" spans="1:9" ht="12.75" outlineLevel="1">
      <c r="A14" s="423" t="s">
        <v>2642</v>
      </c>
      <c r="B14" s="423" t="s">
        <v>2643</v>
      </c>
      <c r="C14" s="423" t="str">
        <f t="shared" si="0"/>
        <v>REAL ESTATE OFFICE</v>
      </c>
      <c r="D14" s="423" t="s">
        <v>2644</v>
      </c>
      <c r="F14" s="637">
        <v>-18825.86</v>
      </c>
      <c r="G14" s="637">
        <v>0</v>
      </c>
      <c r="H14" s="637">
        <v>0</v>
      </c>
      <c r="I14" s="637">
        <f t="shared" si="1"/>
        <v>-18825.86</v>
      </c>
    </row>
    <row r="15" spans="1:9" ht="12.75" outlineLevel="1">
      <c r="A15" s="423" t="s">
        <v>2645</v>
      </c>
      <c r="B15" s="423" t="s">
        <v>2646</v>
      </c>
      <c r="C15" s="423" t="str">
        <f t="shared" si="0"/>
        <v>VAC PAY ACRL- AGEN</v>
      </c>
      <c r="D15" s="423" t="s">
        <v>2647</v>
      </c>
      <c r="F15" s="637">
        <v>-861.12</v>
      </c>
      <c r="G15" s="637">
        <v>0</v>
      </c>
      <c r="H15" s="637">
        <v>20.49</v>
      </c>
      <c r="I15" s="637">
        <f t="shared" si="1"/>
        <v>-881.61</v>
      </c>
    </row>
    <row r="16" spans="1:9" ht="12.75" outlineLevel="1">
      <c r="A16" s="423" t="s">
        <v>2648</v>
      </c>
      <c r="B16" s="423" t="s">
        <v>2649</v>
      </c>
      <c r="C16" s="423" t="str">
        <f t="shared" si="0"/>
        <v>STUDENT REV DEFERRAL-AGENCY</v>
      </c>
      <c r="D16" s="423" t="s">
        <v>2650</v>
      </c>
      <c r="F16" s="637">
        <v>-1824550.69</v>
      </c>
      <c r="G16" s="637">
        <v>2932.25</v>
      </c>
      <c r="H16" s="637">
        <v>481055.2</v>
      </c>
      <c r="I16" s="637">
        <f t="shared" si="1"/>
        <v>-2302673.64</v>
      </c>
    </row>
    <row r="17" spans="1:9" ht="12.75" outlineLevel="1">
      <c r="A17" s="423" t="s">
        <v>2651</v>
      </c>
      <c r="B17" s="423" t="s">
        <v>2652</v>
      </c>
      <c r="C17" s="423" t="str">
        <f t="shared" si="0"/>
        <v>SOCCER KICKIN' ROO'S CLUB</v>
      </c>
      <c r="D17" s="423" t="s">
        <v>2653</v>
      </c>
      <c r="F17" s="637">
        <v>1475.08</v>
      </c>
      <c r="G17" s="637">
        <v>1978.5</v>
      </c>
      <c r="H17" s="637">
        <v>2707.05</v>
      </c>
      <c r="I17" s="637">
        <f t="shared" si="1"/>
        <v>746.5299999999997</v>
      </c>
    </row>
    <row r="18" spans="1:9" ht="12.75" outlineLevel="1">
      <c r="A18" s="423" t="s">
        <v>2654</v>
      </c>
      <c r="B18" s="423" t="s">
        <v>2655</v>
      </c>
      <c r="C18" s="423" t="str">
        <f t="shared" si="0"/>
        <v>ATHLETIC ASSOCIATION INC</v>
      </c>
      <c r="D18" s="423" t="s">
        <v>2656</v>
      </c>
      <c r="F18" s="637">
        <v>192.42</v>
      </c>
      <c r="G18" s="637">
        <v>0</v>
      </c>
      <c r="H18" s="637">
        <v>0</v>
      </c>
      <c r="I18" s="637">
        <f t="shared" si="1"/>
        <v>192.42</v>
      </c>
    </row>
    <row r="19" spans="1:9" ht="12.75" outlineLevel="1">
      <c r="A19" s="423" t="s">
        <v>2657</v>
      </c>
      <c r="B19" s="423" t="s">
        <v>2658</v>
      </c>
      <c r="C19" s="423" t="str">
        <f t="shared" si="0"/>
        <v>HOSPITAL HILL RUN</v>
      </c>
      <c r="D19" s="423" t="s">
        <v>2659</v>
      </c>
      <c r="F19" s="637">
        <v>38346.13</v>
      </c>
      <c r="G19" s="637">
        <v>-9093.17</v>
      </c>
      <c r="H19" s="637">
        <v>29252.96</v>
      </c>
      <c r="I19" s="637">
        <f t="shared" si="1"/>
        <v>0</v>
      </c>
    </row>
    <row r="20" spans="1:9" ht="12.75" outlineLevel="1">
      <c r="A20" s="423" t="s">
        <v>2660</v>
      </c>
      <c r="B20" s="423" t="s">
        <v>2661</v>
      </c>
      <c r="C20" s="423" t="str">
        <f t="shared" si="0"/>
        <v>UNIV RESIDENCE CNTR</v>
      </c>
      <c r="D20" s="423" t="s">
        <v>2662</v>
      </c>
      <c r="F20" s="637">
        <v>24847.2</v>
      </c>
      <c r="G20" s="637">
        <v>0</v>
      </c>
      <c r="H20" s="637">
        <v>0</v>
      </c>
      <c r="I20" s="637">
        <f t="shared" si="1"/>
        <v>24847.2</v>
      </c>
    </row>
    <row r="21" spans="1:9" ht="12.75" outlineLevel="1">
      <c r="A21" s="423" t="s">
        <v>2663</v>
      </c>
      <c r="B21" s="423" t="s">
        <v>2664</v>
      </c>
      <c r="C21" s="423" t="str">
        <f t="shared" si="0"/>
        <v>TWIN OAK HOUSING</v>
      </c>
      <c r="D21" s="423" t="s">
        <v>2665</v>
      </c>
      <c r="F21" s="637">
        <v>106046.77</v>
      </c>
      <c r="G21" s="637">
        <v>-96464.27</v>
      </c>
      <c r="H21" s="637">
        <v>0</v>
      </c>
      <c r="I21" s="637">
        <f t="shared" si="1"/>
        <v>9582.5</v>
      </c>
    </row>
    <row r="22" spans="1:9" ht="12.75" outlineLevel="1">
      <c r="A22" s="423" t="s">
        <v>2666</v>
      </c>
      <c r="B22" s="423" t="s">
        <v>2667</v>
      </c>
      <c r="C22" s="423" t="str">
        <f t="shared" si="0"/>
        <v>RESIDENCE HALL COUNCIL DUES</v>
      </c>
      <c r="D22" s="423" t="s">
        <v>2668</v>
      </c>
      <c r="F22" s="637">
        <v>3590.25</v>
      </c>
      <c r="G22" s="637">
        <v>180</v>
      </c>
      <c r="H22" s="637">
        <v>3244.18</v>
      </c>
      <c r="I22" s="637">
        <f t="shared" si="1"/>
        <v>526.0700000000002</v>
      </c>
    </row>
    <row r="23" spans="1:9" ht="12.75" outlineLevel="1">
      <c r="A23" s="423" t="s">
        <v>2669</v>
      </c>
      <c r="B23" s="423" t="s">
        <v>2670</v>
      </c>
      <c r="C23" s="423" t="str">
        <f t="shared" si="0"/>
        <v>MO STUDENT GRANT PROGRAM</v>
      </c>
      <c r="D23" s="423" t="s">
        <v>2671</v>
      </c>
      <c r="F23" s="637">
        <v>0</v>
      </c>
      <c r="G23" s="637">
        <v>301500</v>
      </c>
      <c r="H23" s="637">
        <v>301500</v>
      </c>
      <c r="I23" s="637">
        <f t="shared" si="1"/>
        <v>0</v>
      </c>
    </row>
    <row r="24" spans="1:9" ht="12.75" outlineLevel="1">
      <c r="A24" s="423" t="s">
        <v>2672</v>
      </c>
      <c r="B24" s="423" t="s">
        <v>2673</v>
      </c>
      <c r="C24" s="423" t="str">
        <f t="shared" si="0"/>
        <v>MO HIGHER EDUCATION BRIGHT FLI</v>
      </c>
      <c r="D24" s="423" t="s">
        <v>2674</v>
      </c>
      <c r="F24" s="637">
        <v>0</v>
      </c>
      <c r="G24" s="637">
        <v>627000</v>
      </c>
      <c r="H24" s="637">
        <v>627000</v>
      </c>
      <c r="I24" s="637">
        <f t="shared" si="1"/>
        <v>0</v>
      </c>
    </row>
    <row r="25" spans="1:9" ht="12.75" outlineLevel="1">
      <c r="A25" s="423" t="s">
        <v>2675</v>
      </c>
      <c r="B25" s="423" t="s">
        <v>2676</v>
      </c>
      <c r="C25" s="423" t="str">
        <f t="shared" si="0"/>
        <v>ADVANTAGE MISSOURI LOAN PROGRA</v>
      </c>
      <c r="D25" s="423" t="s">
        <v>2677</v>
      </c>
      <c r="F25" s="637">
        <v>0</v>
      </c>
      <c r="G25" s="637">
        <v>0</v>
      </c>
      <c r="H25" s="637">
        <v>0</v>
      </c>
      <c r="I25" s="637">
        <f t="shared" si="1"/>
        <v>0</v>
      </c>
    </row>
    <row r="26" spans="1:9" ht="12.75" outlineLevel="1">
      <c r="A26" s="423" t="s">
        <v>2678</v>
      </c>
      <c r="B26" s="423" t="s">
        <v>2679</v>
      </c>
      <c r="C26" s="423" t="str">
        <f t="shared" si="0"/>
        <v>MARGUERITE R BARNETT SCHOLARSH</v>
      </c>
      <c r="D26" s="423" t="s">
        <v>2680</v>
      </c>
      <c r="F26" s="637">
        <v>0</v>
      </c>
      <c r="G26" s="637">
        <v>3897</v>
      </c>
      <c r="H26" s="637">
        <v>3897</v>
      </c>
      <c r="I26" s="637">
        <f t="shared" si="1"/>
        <v>0</v>
      </c>
    </row>
    <row r="27" spans="1:9" ht="12.75" outlineLevel="1">
      <c r="A27" s="423" t="s">
        <v>2681</v>
      </c>
      <c r="B27" s="423" t="s">
        <v>2682</v>
      </c>
      <c r="C27" s="423" t="str">
        <f t="shared" si="0"/>
        <v>MO COLLEGE GUARANTEE PROG</v>
      </c>
      <c r="D27" s="423" t="s">
        <v>2683</v>
      </c>
      <c r="F27" s="637">
        <v>0</v>
      </c>
      <c r="G27" s="637">
        <v>342325</v>
      </c>
      <c r="H27" s="637">
        <v>342325</v>
      </c>
      <c r="I27" s="637">
        <f t="shared" si="1"/>
        <v>0</v>
      </c>
    </row>
    <row r="28" spans="1:9" ht="12.75" outlineLevel="1">
      <c r="A28" s="423" t="s">
        <v>2684</v>
      </c>
      <c r="B28" s="423" t="s">
        <v>2685</v>
      </c>
      <c r="C28" s="423" t="str">
        <f t="shared" si="0"/>
        <v>FEDERAL FAMILY EDUCATION LOAN</v>
      </c>
      <c r="D28" s="423" t="s">
        <v>2686</v>
      </c>
      <c r="F28" s="637">
        <v>-15.98</v>
      </c>
      <c r="G28" s="637">
        <v>0</v>
      </c>
      <c r="H28" s="637">
        <v>0</v>
      </c>
      <c r="I28" s="637">
        <f t="shared" si="1"/>
        <v>-15.98</v>
      </c>
    </row>
    <row r="29" spans="1:9" ht="12.75" outlineLevel="1">
      <c r="A29" s="423" t="s">
        <v>2687</v>
      </c>
      <c r="B29" s="423" t="s">
        <v>2688</v>
      </c>
      <c r="C29" s="423" t="str">
        <f t="shared" si="0"/>
        <v>CASL PREMIER 01-02</v>
      </c>
      <c r="D29" s="423" t="s">
        <v>2689</v>
      </c>
      <c r="F29" s="637">
        <v>-1.55</v>
      </c>
      <c r="G29" s="637">
        <v>1.55</v>
      </c>
      <c r="H29" s="637">
        <v>0</v>
      </c>
      <c r="I29" s="637">
        <f t="shared" si="1"/>
        <v>0</v>
      </c>
    </row>
    <row r="30" spans="1:9" ht="12.75" outlineLevel="1">
      <c r="A30" s="423" t="s">
        <v>2690</v>
      </c>
      <c r="B30" s="423" t="s">
        <v>2691</v>
      </c>
      <c r="C30" s="423" t="str">
        <f t="shared" si="0"/>
        <v>2002-2003 CASL</v>
      </c>
      <c r="D30" s="423" t="s">
        <v>2692</v>
      </c>
      <c r="F30" s="637">
        <v>495141</v>
      </c>
      <c r="G30" s="637">
        <v>11163485.34</v>
      </c>
      <c r="H30" s="637">
        <v>10760152.44</v>
      </c>
      <c r="I30" s="637">
        <f t="shared" si="1"/>
        <v>898473.9000000004</v>
      </c>
    </row>
    <row r="31" spans="1:9" ht="12.75" outlineLevel="1">
      <c r="A31" s="423" t="s">
        <v>2693</v>
      </c>
      <c r="B31" s="423" t="s">
        <v>2694</v>
      </c>
      <c r="C31" s="423" t="str">
        <f t="shared" si="0"/>
        <v>2002-2003 FFELP</v>
      </c>
      <c r="D31" s="423" t="s">
        <v>2695</v>
      </c>
      <c r="F31" s="637">
        <v>4068180.45</v>
      </c>
      <c r="G31" s="637">
        <v>83074558.42</v>
      </c>
      <c r="H31" s="637">
        <v>84158703.91</v>
      </c>
      <c r="I31" s="637">
        <f t="shared" si="1"/>
        <v>2984034.9600000083</v>
      </c>
    </row>
    <row r="32" spans="1:9" ht="12.75" outlineLevel="1">
      <c r="A32" s="423" t="s">
        <v>2696</v>
      </c>
      <c r="B32" s="423" t="s">
        <v>2697</v>
      </c>
      <c r="C32" s="423" t="str">
        <f t="shared" si="0"/>
        <v>UMKC LENDER FEES</v>
      </c>
      <c r="D32" s="423" t="s">
        <v>2698</v>
      </c>
      <c r="F32" s="637">
        <v>790226.57</v>
      </c>
      <c r="G32" s="637">
        <v>3579749.11</v>
      </c>
      <c r="H32" s="637">
        <v>1968976.71</v>
      </c>
      <c r="I32" s="637">
        <f t="shared" si="1"/>
        <v>2400998.9699999997</v>
      </c>
    </row>
    <row r="33" spans="1:9" ht="12.75" outlineLevel="1">
      <c r="A33" s="423" t="s">
        <v>2699</v>
      </c>
      <c r="B33" s="423" t="s">
        <v>2700</v>
      </c>
      <c r="C33" s="423" t="str">
        <f t="shared" si="0"/>
        <v>UNIVERSITY ASSOCIATES</v>
      </c>
      <c r="D33" s="423" t="s">
        <v>2701</v>
      </c>
      <c r="F33" s="637">
        <v>3130.04</v>
      </c>
      <c r="G33" s="637">
        <v>135</v>
      </c>
      <c r="H33" s="637">
        <v>10.37</v>
      </c>
      <c r="I33" s="637">
        <f t="shared" si="1"/>
        <v>3254.67</v>
      </c>
    </row>
    <row r="34" spans="1:9" ht="12.75" outlineLevel="1">
      <c r="A34" s="423" t="s">
        <v>2702</v>
      </c>
      <c r="B34" s="423" t="s">
        <v>2703</v>
      </c>
      <c r="C34" s="423" t="str">
        <f t="shared" si="0"/>
        <v>UMKC ALUMNI ASSOCIATION</v>
      </c>
      <c r="D34" s="423" t="s">
        <v>2704</v>
      </c>
      <c r="F34" s="637">
        <v>-7305.64</v>
      </c>
      <c r="G34" s="637">
        <v>90061.04</v>
      </c>
      <c r="H34" s="637">
        <v>83829.86</v>
      </c>
      <c r="I34" s="637">
        <f t="shared" si="1"/>
        <v>-1074.4600000000064</v>
      </c>
    </row>
    <row r="35" spans="1:9" ht="12.75" outlineLevel="1">
      <c r="A35" s="423" t="s">
        <v>2705</v>
      </c>
      <c r="B35" s="423" t="s">
        <v>2706</v>
      </c>
      <c r="C35" s="423" t="str">
        <f t="shared" si="0"/>
        <v>WOMEN'S COUNCIL GRAD ASST FD</v>
      </c>
      <c r="D35" s="423" t="s">
        <v>2707</v>
      </c>
      <c r="F35" s="637">
        <v>52727.42</v>
      </c>
      <c r="G35" s="637">
        <v>66872.14</v>
      </c>
      <c r="H35" s="637">
        <v>95529.93</v>
      </c>
      <c r="I35" s="637">
        <f t="shared" si="1"/>
        <v>24069.630000000005</v>
      </c>
    </row>
    <row r="36" spans="1:9" ht="12.75" outlineLevel="1">
      <c r="A36" s="423" t="s">
        <v>2708</v>
      </c>
      <c r="B36" s="423" t="s">
        <v>2709</v>
      </c>
      <c r="C36" s="423" t="str">
        <f t="shared" si="0"/>
        <v>PROF DIRECT MARKETERS ASSN</v>
      </c>
      <c r="D36" s="423" t="s">
        <v>2710</v>
      </c>
      <c r="F36" s="637">
        <v>732.05</v>
      </c>
      <c r="G36" s="637">
        <v>0</v>
      </c>
      <c r="H36" s="637">
        <v>0</v>
      </c>
      <c r="I36" s="637">
        <f t="shared" si="1"/>
        <v>732.05</v>
      </c>
    </row>
    <row r="37" spans="1:9" ht="12.75" outlineLevel="1">
      <c r="A37" s="423" t="s">
        <v>2711</v>
      </c>
      <c r="B37" s="423" t="s">
        <v>2712</v>
      </c>
      <c r="C37" s="423" t="str">
        <f t="shared" si="0"/>
        <v>25TH ANNIV BALL ASSN MEDICINE</v>
      </c>
      <c r="D37" s="423" t="s">
        <v>2713</v>
      </c>
      <c r="F37" s="637">
        <v>1706.02</v>
      </c>
      <c r="G37" s="637">
        <v>1368</v>
      </c>
      <c r="H37" s="637">
        <v>2216.56</v>
      </c>
      <c r="I37" s="637">
        <f t="shared" si="1"/>
        <v>857.46</v>
      </c>
    </row>
    <row r="38" spans="1:9" ht="12.75" outlineLevel="1">
      <c r="A38" s="423" t="s">
        <v>2714</v>
      </c>
      <c r="B38" s="423" t="s">
        <v>2715</v>
      </c>
      <c r="C38" s="423" t="str">
        <f t="shared" si="0"/>
        <v>YOUNGBLOOD SOCIETY</v>
      </c>
      <c r="D38" s="423" t="s">
        <v>2716</v>
      </c>
      <c r="F38" s="637">
        <v>14537</v>
      </c>
      <c r="G38" s="637">
        <v>4100</v>
      </c>
      <c r="H38" s="637">
        <v>11497.08</v>
      </c>
      <c r="I38" s="637">
        <f t="shared" si="1"/>
        <v>7139.92</v>
      </c>
    </row>
    <row r="39" spans="1:9" ht="12.75" outlineLevel="1">
      <c r="A39" s="423" t="s">
        <v>2717</v>
      </c>
      <c r="B39" s="423" t="s">
        <v>2718</v>
      </c>
      <c r="C39" s="423" t="str">
        <f aca="true" t="shared" si="2" ref="C39:C70">UPPER(B39)</f>
        <v>LAW FDN</v>
      </c>
      <c r="D39" s="423" t="s">
        <v>2719</v>
      </c>
      <c r="F39" s="637">
        <v>-205.13</v>
      </c>
      <c r="G39" s="637">
        <v>45954.81</v>
      </c>
      <c r="H39" s="637">
        <v>51652.78</v>
      </c>
      <c r="I39" s="637">
        <f aca="true" t="shared" si="3" ref="I39:I70">(F39+G39-H39)</f>
        <v>-5903.0999999999985</v>
      </c>
    </row>
    <row r="40" spans="1:9" ht="12.75" outlineLevel="1">
      <c r="A40" s="423" t="s">
        <v>2720</v>
      </c>
      <c r="B40" s="423" t="s">
        <v>2721</v>
      </c>
      <c r="C40" s="423" t="str">
        <f t="shared" si="2"/>
        <v>EDGAR SNOW FUND AGENCY</v>
      </c>
      <c r="D40" s="423" t="s">
        <v>2722</v>
      </c>
      <c r="F40" s="637">
        <v>3167.8</v>
      </c>
      <c r="G40" s="637">
        <v>10420</v>
      </c>
      <c r="H40" s="637">
        <v>1462.85</v>
      </c>
      <c r="I40" s="637">
        <f t="shared" si="3"/>
        <v>12124.949999999999</v>
      </c>
    </row>
    <row r="41" spans="1:9" ht="12.75" outlineLevel="1">
      <c r="A41" s="423" t="s">
        <v>2723</v>
      </c>
      <c r="B41" s="423" t="s">
        <v>2724</v>
      </c>
      <c r="C41" s="423" t="str">
        <f t="shared" si="2"/>
        <v>ST LOUIS FRIENDS SCHOOL OF MED</v>
      </c>
      <c r="D41" s="423" t="s">
        <v>2725</v>
      </c>
      <c r="F41" s="637">
        <v>2406.49</v>
      </c>
      <c r="G41" s="637">
        <v>6700</v>
      </c>
      <c r="H41" s="637">
        <v>1911.32</v>
      </c>
      <c r="I41" s="637">
        <f t="shared" si="3"/>
        <v>7195.17</v>
      </c>
    </row>
    <row r="42" spans="1:9" ht="12.75" outlineLevel="1">
      <c r="A42" s="423" t="s">
        <v>2726</v>
      </c>
      <c r="B42" s="423" t="s">
        <v>2727</v>
      </c>
      <c r="C42" s="423" t="str">
        <f t="shared" si="2"/>
        <v>NATIONAL DEBATE TOURNAMENT - S</v>
      </c>
      <c r="D42" s="423" t="s">
        <v>2728</v>
      </c>
      <c r="F42" s="637">
        <v>-33165.94</v>
      </c>
      <c r="G42" s="637">
        <v>33165.94</v>
      </c>
      <c r="H42" s="637">
        <v>0</v>
      </c>
      <c r="I42" s="637">
        <f t="shared" si="3"/>
        <v>0</v>
      </c>
    </row>
    <row r="43" spans="1:9" ht="12.75" outlineLevel="1">
      <c r="A43" s="423" t="s">
        <v>2729</v>
      </c>
      <c r="B43" s="423" t="s">
        <v>2730</v>
      </c>
      <c r="C43" s="423" t="str">
        <f t="shared" si="2"/>
        <v>SPARK UNRESTRICTED GIFTS</v>
      </c>
      <c r="D43" s="423" t="s">
        <v>2731</v>
      </c>
      <c r="F43" s="637">
        <v>20</v>
      </c>
      <c r="G43" s="637">
        <v>0</v>
      </c>
      <c r="H43" s="637">
        <v>0</v>
      </c>
      <c r="I43" s="637">
        <f t="shared" si="3"/>
        <v>20</v>
      </c>
    </row>
    <row r="44" spans="1:9" ht="12.75" outlineLevel="1">
      <c r="A44" s="423" t="s">
        <v>2732</v>
      </c>
      <c r="B44" s="423" t="s">
        <v>2733</v>
      </c>
      <c r="C44" s="423" t="str">
        <f t="shared" si="2"/>
        <v>SENIOR PEERS ACTIVELY RENEWING</v>
      </c>
      <c r="D44" s="423" t="s">
        <v>2734</v>
      </c>
      <c r="F44" s="637">
        <v>118</v>
      </c>
      <c r="G44" s="637">
        <v>0</v>
      </c>
      <c r="H44" s="637">
        <v>0</v>
      </c>
      <c r="I44" s="637">
        <f t="shared" si="3"/>
        <v>118</v>
      </c>
    </row>
    <row r="45" spans="1:9" ht="12.75" outlineLevel="1">
      <c r="A45" s="423" t="s">
        <v>2735</v>
      </c>
      <c r="B45" s="423" t="s">
        <v>2736</v>
      </c>
      <c r="C45" s="423" t="str">
        <f t="shared" si="2"/>
        <v>UMKC CONSERVATORY TRUSTEES - A</v>
      </c>
      <c r="D45" s="423" t="s">
        <v>2737</v>
      </c>
      <c r="F45" s="637">
        <v>2294.6</v>
      </c>
      <c r="G45" s="637">
        <v>4578.59</v>
      </c>
      <c r="H45" s="637">
        <v>5000</v>
      </c>
      <c r="I45" s="637">
        <f t="shared" si="3"/>
        <v>1873.1900000000005</v>
      </c>
    </row>
    <row r="46" spans="1:9" ht="12.75" outlineLevel="1">
      <c r="A46" s="423" t="s">
        <v>2738</v>
      </c>
      <c r="B46" s="423" t="s">
        <v>2739</v>
      </c>
      <c r="C46" s="423" t="str">
        <f t="shared" si="2"/>
        <v>UMKC CONSERVATORY TRUSTEES - B</v>
      </c>
      <c r="D46" s="423" t="s">
        <v>2740</v>
      </c>
      <c r="F46" s="637">
        <v>544267.78</v>
      </c>
      <c r="G46" s="637">
        <v>110422.39</v>
      </c>
      <c r="H46" s="637">
        <v>53883.89</v>
      </c>
      <c r="I46" s="637">
        <f t="shared" si="3"/>
        <v>600806.28</v>
      </c>
    </row>
    <row r="47" spans="1:9" ht="12.75" outlineLevel="1">
      <c r="A47" s="423" t="s">
        <v>2741</v>
      </c>
      <c r="B47" s="423" t="s">
        <v>2742</v>
      </c>
      <c r="C47" s="423" t="str">
        <f t="shared" si="2"/>
        <v>CONSERVATORY LOCK DEPOSIT</v>
      </c>
      <c r="D47" s="423" t="s">
        <v>2743</v>
      </c>
      <c r="F47" s="637">
        <v>98966.56</v>
      </c>
      <c r="G47" s="637">
        <v>10512.47</v>
      </c>
      <c r="H47" s="637">
        <v>2825.14</v>
      </c>
      <c r="I47" s="637">
        <f t="shared" si="3"/>
        <v>106653.89</v>
      </c>
    </row>
    <row r="48" spans="1:9" ht="12.75" outlineLevel="1">
      <c r="A48" s="423" t="s">
        <v>2744</v>
      </c>
      <c r="B48" s="423" t="s">
        <v>2745</v>
      </c>
      <c r="C48" s="423" t="str">
        <f t="shared" si="2"/>
        <v>UMKC CONSERVATORY TRUSTEES - M</v>
      </c>
      <c r="D48" s="423" t="s">
        <v>2746</v>
      </c>
      <c r="F48" s="637">
        <v>98325.05</v>
      </c>
      <c r="G48" s="637">
        <v>22011.86</v>
      </c>
      <c r="H48" s="637">
        <v>14665.31</v>
      </c>
      <c r="I48" s="637">
        <f t="shared" si="3"/>
        <v>105671.6</v>
      </c>
    </row>
    <row r="49" spans="1:9" ht="12.75" outlineLevel="1">
      <c r="A49" s="423" t="s">
        <v>2747</v>
      </c>
      <c r="B49" s="423" t="s">
        <v>2748</v>
      </c>
      <c r="C49" s="423" t="str">
        <f t="shared" si="2"/>
        <v>ROY J RINEHART MEM FDN</v>
      </c>
      <c r="D49" s="423" t="s">
        <v>2749</v>
      </c>
      <c r="F49" s="637">
        <v>200</v>
      </c>
      <c r="G49" s="637">
        <v>6387.5</v>
      </c>
      <c r="H49" s="637">
        <v>4817.5</v>
      </c>
      <c r="I49" s="637">
        <f t="shared" si="3"/>
        <v>1770</v>
      </c>
    </row>
    <row r="50" spans="1:9" ht="12.75" outlineLevel="1">
      <c r="A50" s="423" t="s">
        <v>2750</v>
      </c>
      <c r="B50" s="423" t="s">
        <v>2751</v>
      </c>
      <c r="C50" s="423" t="str">
        <f t="shared" si="2"/>
        <v>UMKC SCHOOL OF DENTISTRY DENTA</v>
      </c>
      <c r="D50" s="423" t="s">
        <v>2752</v>
      </c>
      <c r="F50" s="637">
        <v>-86907.7</v>
      </c>
      <c r="G50" s="637">
        <v>86907.7</v>
      </c>
      <c r="H50" s="637">
        <v>0</v>
      </c>
      <c r="I50" s="637">
        <f t="shared" si="3"/>
        <v>0</v>
      </c>
    </row>
    <row r="51" spans="1:9" ht="12.75" outlineLevel="1">
      <c r="A51" s="423" t="s">
        <v>2753</v>
      </c>
      <c r="B51" s="423" t="s">
        <v>2754</v>
      </c>
      <c r="C51" s="423" t="str">
        <f t="shared" si="2"/>
        <v>ICIMS DEPOSIT- REV</v>
      </c>
      <c r="D51" s="423" t="s">
        <v>2755</v>
      </c>
      <c r="F51" s="637">
        <v>99237.85</v>
      </c>
      <c r="G51" s="637">
        <v>68503</v>
      </c>
      <c r="H51" s="637">
        <v>4163.15</v>
      </c>
      <c r="I51" s="637">
        <f t="shared" si="3"/>
        <v>163577.7</v>
      </c>
    </row>
    <row r="52" spans="1:9" ht="12.75" outlineLevel="1">
      <c r="A52" s="423" t="s">
        <v>2756</v>
      </c>
      <c r="B52" s="423" t="s">
        <v>2757</v>
      </c>
      <c r="C52" s="423" t="str">
        <f t="shared" si="2"/>
        <v>INNOCENCE PROJECT</v>
      </c>
      <c r="D52" s="423" t="s">
        <v>2758</v>
      </c>
      <c r="F52" s="637">
        <v>240</v>
      </c>
      <c r="G52" s="637">
        <v>800</v>
      </c>
      <c r="H52" s="637">
        <v>0</v>
      </c>
      <c r="I52" s="637">
        <f t="shared" si="3"/>
        <v>1040</v>
      </c>
    </row>
    <row r="53" spans="1:9" ht="12.75" outlineLevel="1">
      <c r="A53" s="423" t="s">
        <v>2759</v>
      </c>
      <c r="B53" s="423" t="s">
        <v>2760</v>
      </c>
      <c r="C53" s="423" t="str">
        <f t="shared" si="2"/>
        <v>FRIENDS OF THE LIBRARY</v>
      </c>
      <c r="D53" s="423" t="s">
        <v>2761</v>
      </c>
      <c r="F53" s="637">
        <v>484914.73</v>
      </c>
      <c r="G53" s="637">
        <v>84503.77</v>
      </c>
      <c r="H53" s="637">
        <v>32204.37</v>
      </c>
      <c r="I53" s="637">
        <f t="shared" si="3"/>
        <v>537214.13</v>
      </c>
    </row>
    <row r="54" spans="1:9" ht="12.75" outlineLevel="1">
      <c r="A54" s="423" t="s">
        <v>2762</v>
      </c>
      <c r="B54" s="423" t="s">
        <v>2763</v>
      </c>
      <c r="C54" s="423" t="str">
        <f t="shared" si="2"/>
        <v>DEAN SCHOOL OF MEDICINE 1151</v>
      </c>
      <c r="D54" s="423" t="s">
        <v>2764</v>
      </c>
      <c r="F54" s="637">
        <v>13512825.85</v>
      </c>
      <c r="G54" s="637">
        <v>2225824.45</v>
      </c>
      <c r="H54" s="637">
        <v>1049102.95</v>
      </c>
      <c r="I54" s="637">
        <f t="shared" si="3"/>
        <v>14689547.350000001</v>
      </c>
    </row>
    <row r="55" spans="1:9" ht="12.75" outlineLevel="1">
      <c r="A55" s="423" t="s">
        <v>2765</v>
      </c>
      <c r="B55" s="423" t="s">
        <v>2766</v>
      </c>
      <c r="C55" s="423" t="str">
        <f t="shared" si="2"/>
        <v>SCHOOL OF PHARMACY FDN</v>
      </c>
      <c r="D55" s="423" t="s">
        <v>2767</v>
      </c>
      <c r="F55" s="637">
        <v>-7625.97</v>
      </c>
      <c r="G55" s="637">
        <v>41023.71</v>
      </c>
      <c r="H55" s="637">
        <v>41005.09</v>
      </c>
      <c r="I55" s="637">
        <f t="shared" si="3"/>
        <v>-7607.3499999999985</v>
      </c>
    </row>
    <row r="56" spans="1:9" ht="12.75" outlineLevel="1">
      <c r="A56" s="423" t="s">
        <v>2768</v>
      </c>
      <c r="B56" s="423" t="s">
        <v>2769</v>
      </c>
      <c r="C56" s="423" t="str">
        <f t="shared" si="2"/>
        <v>RENT 4405-07 HARRIS.</v>
      </c>
      <c r="D56" s="423" t="s">
        <v>2770</v>
      </c>
      <c r="F56" s="637">
        <v>-185.05</v>
      </c>
      <c r="G56" s="637">
        <v>0</v>
      </c>
      <c r="H56" s="637">
        <v>0</v>
      </c>
      <c r="I56" s="637">
        <f t="shared" si="3"/>
        <v>-185.05</v>
      </c>
    </row>
    <row r="57" spans="1:9" ht="12.75" outlineLevel="1">
      <c r="A57" s="423" t="s">
        <v>2771</v>
      </c>
      <c r="B57" s="423" t="s">
        <v>2772</v>
      </c>
      <c r="C57" s="423" t="str">
        <f t="shared" si="2"/>
        <v>UKC-RENTAL OPERATION</v>
      </c>
      <c r="D57" s="423" t="s">
        <v>2773</v>
      </c>
      <c r="F57" s="637">
        <v>35901.02</v>
      </c>
      <c r="G57" s="637">
        <v>13536.41</v>
      </c>
      <c r="H57" s="637">
        <v>0</v>
      </c>
      <c r="I57" s="637">
        <f t="shared" si="3"/>
        <v>49437.42999999999</v>
      </c>
    </row>
    <row r="58" spans="1:9" ht="12.75" outlineLevel="1">
      <c r="A58" s="423" t="s">
        <v>2774</v>
      </c>
      <c r="B58" s="423" t="s">
        <v>2775</v>
      </c>
      <c r="C58" s="423" t="str">
        <f t="shared" si="2"/>
        <v>UKC REAL ESTATE 5305 CHARLOTTE</v>
      </c>
      <c r="D58" s="423" t="s">
        <v>2776</v>
      </c>
      <c r="F58" s="637">
        <v>0</v>
      </c>
      <c r="G58" s="637">
        <v>12870.72</v>
      </c>
      <c r="H58" s="637">
        <v>12870.72</v>
      </c>
      <c r="I58" s="637">
        <f t="shared" si="3"/>
        <v>0</v>
      </c>
    </row>
    <row r="59" spans="1:9" ht="12.75" outlineLevel="1">
      <c r="A59" s="423" t="s">
        <v>2777</v>
      </c>
      <c r="B59" s="423" t="s">
        <v>2778</v>
      </c>
      <c r="C59" s="423" t="str">
        <f t="shared" si="2"/>
        <v>UKC REAL ESTATE     5409 CHARL</v>
      </c>
      <c r="D59" s="423" t="s">
        <v>2779</v>
      </c>
      <c r="F59" s="637">
        <v>0</v>
      </c>
      <c r="G59" s="637">
        <v>8057.88</v>
      </c>
      <c r="H59" s="637">
        <v>8057.88</v>
      </c>
      <c r="I59" s="637">
        <f t="shared" si="3"/>
        <v>0</v>
      </c>
    </row>
    <row r="60" spans="1:9" ht="12.75" outlineLevel="1">
      <c r="A60" s="423" t="s">
        <v>2780</v>
      </c>
      <c r="B60" s="423" t="s">
        <v>2781</v>
      </c>
      <c r="C60" s="423" t="str">
        <f t="shared" si="2"/>
        <v>UKC REAL ESTATE     5436 CHARL</v>
      </c>
      <c r="D60" s="423" t="s">
        <v>2782</v>
      </c>
      <c r="F60" s="637">
        <v>0</v>
      </c>
      <c r="G60" s="637">
        <v>9350</v>
      </c>
      <c r="H60" s="637">
        <v>9350</v>
      </c>
      <c r="I60" s="637">
        <f t="shared" si="3"/>
        <v>0</v>
      </c>
    </row>
    <row r="61" spans="1:9" ht="12.75" outlineLevel="1">
      <c r="A61" s="423" t="s">
        <v>2783</v>
      </c>
      <c r="B61" s="423" t="s">
        <v>2784</v>
      </c>
      <c r="C61" s="423" t="str">
        <f t="shared" si="2"/>
        <v>UKC REAL ESTATE 5439 CHARLOTTE</v>
      </c>
      <c r="D61" s="423" t="s">
        <v>2785</v>
      </c>
      <c r="F61" s="637">
        <v>0</v>
      </c>
      <c r="G61" s="637">
        <v>5960</v>
      </c>
      <c r="H61" s="637">
        <v>5960</v>
      </c>
      <c r="I61" s="637">
        <f t="shared" si="3"/>
        <v>0</v>
      </c>
    </row>
    <row r="62" spans="1:9" ht="12.75" outlineLevel="1">
      <c r="A62" s="423" t="s">
        <v>2786</v>
      </c>
      <c r="B62" s="423" t="s">
        <v>2787</v>
      </c>
      <c r="C62" s="423" t="str">
        <f t="shared" si="2"/>
        <v>UKC REAL ESTATE 5446 CHARLOTTE</v>
      </c>
      <c r="D62" s="423" t="s">
        <v>2788</v>
      </c>
      <c r="F62" s="637">
        <v>0</v>
      </c>
      <c r="G62" s="637">
        <v>18635</v>
      </c>
      <c r="H62" s="637">
        <v>18635</v>
      </c>
      <c r="I62" s="637">
        <f t="shared" si="3"/>
        <v>0</v>
      </c>
    </row>
    <row r="63" spans="1:9" ht="12.75" outlineLevel="1">
      <c r="A63" s="423" t="s">
        <v>2789</v>
      </c>
      <c r="B63" s="423" t="s">
        <v>2790</v>
      </c>
      <c r="C63" s="423" t="str">
        <f t="shared" si="2"/>
        <v>UKC REAL ESTATE 5347 CHARLOTTE</v>
      </c>
      <c r="D63" s="423" t="s">
        <v>2791</v>
      </c>
      <c r="F63" s="637">
        <v>0</v>
      </c>
      <c r="G63" s="637">
        <v>8950</v>
      </c>
      <c r="H63" s="637">
        <v>8950</v>
      </c>
      <c r="I63" s="637">
        <f t="shared" si="3"/>
        <v>0</v>
      </c>
    </row>
    <row r="64" spans="1:9" ht="12.75" outlineLevel="1">
      <c r="A64" s="423" t="s">
        <v>2792</v>
      </c>
      <c r="B64" s="423" t="s">
        <v>2793</v>
      </c>
      <c r="C64" s="423" t="str">
        <f t="shared" si="2"/>
        <v>UKC REAL ESTATE 5414 CHARLOTTE</v>
      </c>
      <c r="D64" s="423" t="s">
        <v>2794</v>
      </c>
      <c r="F64" s="637">
        <v>0</v>
      </c>
      <c r="G64" s="637">
        <v>8635</v>
      </c>
      <c r="H64" s="637">
        <v>8635</v>
      </c>
      <c r="I64" s="637">
        <f t="shared" si="3"/>
        <v>0</v>
      </c>
    </row>
    <row r="65" spans="1:9" ht="12.75" outlineLevel="1">
      <c r="A65" s="423" t="s">
        <v>2795</v>
      </c>
      <c r="B65" s="423" t="s">
        <v>2796</v>
      </c>
      <c r="C65" s="423" t="str">
        <f t="shared" si="2"/>
        <v>UKC REAL ESTATE 5303 CHARLOTTE</v>
      </c>
      <c r="D65" s="423" t="s">
        <v>2797</v>
      </c>
      <c r="F65" s="637">
        <v>0</v>
      </c>
      <c r="G65" s="637">
        <v>12950</v>
      </c>
      <c r="H65" s="637">
        <v>12950</v>
      </c>
      <c r="I65" s="637">
        <f t="shared" si="3"/>
        <v>0</v>
      </c>
    </row>
    <row r="66" spans="1:9" ht="12.75" outlineLevel="1">
      <c r="A66" s="423" t="s">
        <v>2798</v>
      </c>
      <c r="B66" s="423" t="s">
        <v>2799</v>
      </c>
      <c r="C66" s="423" t="str">
        <f t="shared" si="2"/>
        <v>UKC REAL ESTATE 5411 CHARLOTTE</v>
      </c>
      <c r="D66" s="423" t="s">
        <v>2800</v>
      </c>
      <c r="F66" s="637">
        <v>0</v>
      </c>
      <c r="G66" s="637">
        <v>9137</v>
      </c>
      <c r="H66" s="637">
        <v>9137</v>
      </c>
      <c r="I66" s="637">
        <f t="shared" si="3"/>
        <v>0</v>
      </c>
    </row>
    <row r="67" spans="1:9" ht="12.75" outlineLevel="1">
      <c r="A67" s="423" t="s">
        <v>2801</v>
      </c>
      <c r="B67" s="423" t="s">
        <v>2802</v>
      </c>
      <c r="C67" s="423" t="str">
        <f t="shared" si="2"/>
        <v>UKC REALESTATE 5408 HARRISON</v>
      </c>
      <c r="D67" s="423" t="s">
        <v>2803</v>
      </c>
      <c r="F67" s="637">
        <v>0</v>
      </c>
      <c r="G67" s="637">
        <v>7985</v>
      </c>
      <c r="H67" s="637">
        <v>7985</v>
      </c>
      <c r="I67" s="637">
        <f t="shared" si="3"/>
        <v>0</v>
      </c>
    </row>
    <row r="68" spans="1:9" ht="12.75" outlineLevel="1">
      <c r="A68" s="423" t="s">
        <v>2804</v>
      </c>
      <c r="B68" s="423" t="s">
        <v>2805</v>
      </c>
      <c r="C68" s="423" t="str">
        <f t="shared" si="2"/>
        <v>UKC-5435 HARRISON</v>
      </c>
      <c r="D68" s="423" t="s">
        <v>2806</v>
      </c>
      <c r="F68" s="637">
        <v>0</v>
      </c>
      <c r="G68" s="637">
        <v>8016</v>
      </c>
      <c r="H68" s="637">
        <v>8016</v>
      </c>
      <c r="I68" s="637">
        <f t="shared" si="3"/>
        <v>0</v>
      </c>
    </row>
    <row r="69" spans="1:9" ht="12.75" outlineLevel="1">
      <c r="A69" s="423" t="s">
        <v>2807</v>
      </c>
      <c r="B69" s="423" t="s">
        <v>2808</v>
      </c>
      <c r="C69" s="423" t="str">
        <f t="shared" si="2"/>
        <v>UKC REAL ESTATE 714 E 54 TERR</v>
      </c>
      <c r="D69" s="423" t="s">
        <v>2809</v>
      </c>
      <c r="F69" s="637">
        <v>0</v>
      </c>
      <c r="G69" s="637">
        <v>4215</v>
      </c>
      <c r="H69" s="637">
        <v>4215</v>
      </c>
      <c r="I69" s="637">
        <f t="shared" si="3"/>
        <v>0</v>
      </c>
    </row>
    <row r="70" spans="1:9" ht="12.75" outlineLevel="1">
      <c r="A70" s="423" t="s">
        <v>2810</v>
      </c>
      <c r="B70" s="423" t="s">
        <v>2811</v>
      </c>
      <c r="C70" s="423" t="str">
        <f t="shared" si="2"/>
        <v>UKC REAL ESTATE  707 E 54TH TE</v>
      </c>
      <c r="D70" s="423" t="s">
        <v>2812</v>
      </c>
      <c r="F70" s="637">
        <v>0</v>
      </c>
      <c r="G70" s="637">
        <v>8209</v>
      </c>
      <c r="H70" s="637">
        <v>8209</v>
      </c>
      <c r="I70" s="637">
        <f t="shared" si="3"/>
        <v>0</v>
      </c>
    </row>
    <row r="71" spans="1:9" ht="12.75" outlineLevel="1">
      <c r="A71" s="423" t="s">
        <v>2813</v>
      </c>
      <c r="B71" s="423" t="s">
        <v>2814</v>
      </c>
      <c r="C71" s="423" t="str">
        <f aca="true" t="shared" si="4" ref="C71:C102">UPPER(B71)</f>
        <v>UKC REAL ESTATE  709 E 54TH TE</v>
      </c>
      <c r="D71" s="423" t="s">
        <v>2815</v>
      </c>
      <c r="F71" s="637">
        <v>0</v>
      </c>
      <c r="G71" s="637">
        <v>6350</v>
      </c>
      <c r="H71" s="637">
        <v>6350</v>
      </c>
      <c r="I71" s="637">
        <f aca="true" t="shared" si="5" ref="I71:I102">(F71+G71-H71)</f>
        <v>0</v>
      </c>
    </row>
    <row r="72" spans="1:9" ht="12.75" outlineLevel="1">
      <c r="A72" s="423" t="s">
        <v>2816</v>
      </c>
      <c r="B72" s="423" t="s">
        <v>2817</v>
      </c>
      <c r="C72" s="423" t="str">
        <f t="shared" si="4"/>
        <v>UKC REAL ESTATE 709 E 54TH STR</v>
      </c>
      <c r="D72" s="423" t="s">
        <v>2818</v>
      </c>
      <c r="F72" s="637">
        <v>0</v>
      </c>
      <c r="G72" s="637">
        <v>9000</v>
      </c>
      <c r="H72" s="637">
        <v>9000</v>
      </c>
      <c r="I72" s="637">
        <f t="shared" si="5"/>
        <v>0</v>
      </c>
    </row>
    <row r="73" spans="1:9" ht="12.75" outlineLevel="1">
      <c r="A73" s="423" t="s">
        <v>2819</v>
      </c>
      <c r="B73" s="423" t="s">
        <v>2820</v>
      </c>
      <c r="C73" s="423" t="str">
        <f t="shared" si="4"/>
        <v>UKC REAL ESTATE 710 E 55TH</v>
      </c>
      <c r="D73" s="423" t="s">
        <v>2821</v>
      </c>
      <c r="F73" s="637">
        <v>0</v>
      </c>
      <c r="G73" s="637">
        <v>6617</v>
      </c>
      <c r="H73" s="637">
        <v>6617</v>
      </c>
      <c r="I73" s="637">
        <f t="shared" si="5"/>
        <v>0</v>
      </c>
    </row>
    <row r="74" spans="1:9" ht="12.75" outlineLevel="1">
      <c r="A74" s="423" t="s">
        <v>2822</v>
      </c>
      <c r="B74" s="423" t="s">
        <v>2823</v>
      </c>
      <c r="C74" s="423" t="str">
        <f t="shared" si="4"/>
        <v>UKC REAL ESTATE 714 E. 55TH ST</v>
      </c>
      <c r="D74" s="423" t="s">
        <v>2824</v>
      </c>
      <c r="F74" s="637">
        <v>0</v>
      </c>
      <c r="G74" s="637">
        <v>7330</v>
      </c>
      <c r="H74" s="637">
        <v>7330</v>
      </c>
      <c r="I74" s="637">
        <f t="shared" si="5"/>
        <v>0</v>
      </c>
    </row>
    <row r="75" spans="1:9" ht="12.75" outlineLevel="1">
      <c r="A75" s="423" t="s">
        <v>2825</v>
      </c>
      <c r="B75" s="423" t="s">
        <v>2826</v>
      </c>
      <c r="C75" s="423" t="str">
        <f t="shared" si="4"/>
        <v>UKC REAL ESTATE 5428 HARRISON</v>
      </c>
      <c r="D75" s="423" t="s">
        <v>2827</v>
      </c>
      <c r="F75" s="637">
        <v>0</v>
      </c>
      <c r="G75" s="637">
        <v>8175</v>
      </c>
      <c r="H75" s="637">
        <v>8175</v>
      </c>
      <c r="I75" s="637">
        <f t="shared" si="5"/>
        <v>0</v>
      </c>
    </row>
    <row r="76" spans="1:9" ht="12.75" outlineLevel="1">
      <c r="A76" s="423" t="s">
        <v>2828</v>
      </c>
      <c r="B76" s="423" t="s">
        <v>2829</v>
      </c>
      <c r="C76" s="423" t="str">
        <f t="shared" si="4"/>
        <v>UKC REAL ESTATE     5405-7 HAR</v>
      </c>
      <c r="D76" s="423" t="s">
        <v>2830</v>
      </c>
      <c r="F76" s="637">
        <v>0</v>
      </c>
      <c r="G76" s="637">
        <v>14960</v>
      </c>
      <c r="H76" s="637">
        <v>14960</v>
      </c>
      <c r="I76" s="637">
        <f t="shared" si="5"/>
        <v>0</v>
      </c>
    </row>
    <row r="77" spans="1:9" ht="12.75" outlineLevel="1">
      <c r="A77" s="423" t="s">
        <v>2831</v>
      </c>
      <c r="B77" s="423" t="s">
        <v>2832</v>
      </c>
      <c r="C77" s="423" t="str">
        <f t="shared" si="4"/>
        <v>UKC REAL ESTATE     5409-11 HA</v>
      </c>
      <c r="D77" s="423" t="s">
        <v>2833</v>
      </c>
      <c r="F77" s="637">
        <v>0</v>
      </c>
      <c r="G77" s="637">
        <v>14485</v>
      </c>
      <c r="H77" s="637">
        <v>14485</v>
      </c>
      <c r="I77" s="637">
        <f t="shared" si="5"/>
        <v>0</v>
      </c>
    </row>
    <row r="78" spans="1:9" ht="12.75" outlineLevel="1">
      <c r="A78" s="423" t="s">
        <v>2834</v>
      </c>
      <c r="B78" s="423" t="s">
        <v>2835</v>
      </c>
      <c r="C78" s="423" t="str">
        <f t="shared" si="4"/>
        <v>UKC REAL ESTATE     5431 HARRI</v>
      </c>
      <c r="D78" s="423" t="s">
        <v>2836</v>
      </c>
      <c r="F78" s="637">
        <v>0</v>
      </c>
      <c r="G78" s="637">
        <v>8105</v>
      </c>
      <c r="H78" s="637">
        <v>8105</v>
      </c>
      <c r="I78" s="637">
        <f t="shared" si="5"/>
        <v>0</v>
      </c>
    </row>
    <row r="79" spans="1:9" ht="12.75" outlineLevel="1">
      <c r="A79" s="423" t="s">
        <v>2837</v>
      </c>
      <c r="B79" s="423" t="s">
        <v>2838</v>
      </c>
      <c r="C79" s="423" t="str">
        <f t="shared" si="4"/>
        <v>UKC REAL ESTATE     5436 HARRI</v>
      </c>
      <c r="D79" s="423" t="s">
        <v>2839</v>
      </c>
      <c r="F79" s="637">
        <v>0</v>
      </c>
      <c r="G79" s="637">
        <v>13530</v>
      </c>
      <c r="H79" s="637">
        <v>13530</v>
      </c>
      <c r="I79" s="637">
        <f t="shared" si="5"/>
        <v>0</v>
      </c>
    </row>
    <row r="80" spans="1:9" ht="12.75" outlineLevel="1">
      <c r="A80" s="423" t="s">
        <v>2840</v>
      </c>
      <c r="B80" s="423" t="s">
        <v>2841</v>
      </c>
      <c r="C80" s="423" t="str">
        <f t="shared" si="4"/>
        <v>UKC REAL ESTATE     5441 HARRI</v>
      </c>
      <c r="D80" s="423" t="s">
        <v>2842</v>
      </c>
      <c r="F80" s="637">
        <v>0</v>
      </c>
      <c r="G80" s="637">
        <v>11207.57</v>
      </c>
      <c r="H80" s="637">
        <v>11207.57</v>
      </c>
      <c r="I80" s="637">
        <f t="shared" si="5"/>
        <v>0</v>
      </c>
    </row>
    <row r="81" spans="1:9" ht="12.75" outlineLevel="1">
      <c r="A81" s="423" t="s">
        <v>2843</v>
      </c>
      <c r="B81" s="423" t="s">
        <v>2844</v>
      </c>
      <c r="C81" s="423" t="str">
        <f t="shared" si="4"/>
        <v>UKC REAL ESTATE - 5446 HARRISO</v>
      </c>
      <c r="D81" s="423" t="s">
        <v>2845</v>
      </c>
      <c r="F81" s="637">
        <v>0</v>
      </c>
      <c r="G81" s="637">
        <v>12895</v>
      </c>
      <c r="H81" s="637">
        <v>12895</v>
      </c>
      <c r="I81" s="637">
        <f t="shared" si="5"/>
        <v>0</v>
      </c>
    </row>
    <row r="82" spans="1:9" ht="12.75" outlineLevel="1">
      <c r="A82" s="423" t="s">
        <v>2846</v>
      </c>
      <c r="B82" s="423" t="s">
        <v>2847</v>
      </c>
      <c r="C82" s="423" t="str">
        <f t="shared" si="4"/>
        <v>UKC REAL ESTATE- 5425 HARRISON</v>
      </c>
      <c r="D82" s="423" t="s">
        <v>2848</v>
      </c>
      <c r="F82" s="637">
        <v>0</v>
      </c>
      <c r="G82" s="637">
        <v>6795</v>
      </c>
      <c r="H82" s="637">
        <v>6795</v>
      </c>
      <c r="I82" s="637">
        <f t="shared" si="5"/>
        <v>0</v>
      </c>
    </row>
    <row r="83" spans="1:9" ht="12.75" outlineLevel="1">
      <c r="A83" s="423" t="s">
        <v>2849</v>
      </c>
      <c r="B83" s="423" t="s">
        <v>2850</v>
      </c>
      <c r="C83" s="423" t="str">
        <f t="shared" si="4"/>
        <v>UKC REAL ESTATE - 5429 HARRISO</v>
      </c>
      <c r="D83" s="423" t="s">
        <v>2851</v>
      </c>
      <c r="F83" s="637">
        <v>0</v>
      </c>
      <c r="G83" s="637">
        <v>6650</v>
      </c>
      <c r="H83" s="637">
        <v>6650</v>
      </c>
      <c r="I83" s="637">
        <f t="shared" si="5"/>
        <v>0</v>
      </c>
    </row>
    <row r="84" spans="1:9" ht="12.75" outlineLevel="1">
      <c r="A84" s="423" t="s">
        <v>2852</v>
      </c>
      <c r="B84" s="423" t="s">
        <v>2853</v>
      </c>
      <c r="C84" s="423" t="str">
        <f t="shared" si="4"/>
        <v>UKC REAL ESTATE 5419 HOLMES</v>
      </c>
      <c r="D84" s="423" t="s">
        <v>2854</v>
      </c>
      <c r="F84" s="637">
        <v>0</v>
      </c>
      <c r="G84" s="637">
        <v>9165</v>
      </c>
      <c r="H84" s="637">
        <v>9165</v>
      </c>
      <c r="I84" s="637">
        <f t="shared" si="5"/>
        <v>0</v>
      </c>
    </row>
    <row r="85" spans="1:9" ht="12.75" outlineLevel="1">
      <c r="A85" s="423" t="s">
        <v>2855</v>
      </c>
      <c r="B85" s="423" t="s">
        <v>2856</v>
      </c>
      <c r="C85" s="423" t="str">
        <f t="shared" si="4"/>
        <v>UKC REAL ESTATE 5425 HOLMES</v>
      </c>
      <c r="D85" s="423" t="s">
        <v>2857</v>
      </c>
      <c r="F85" s="637">
        <v>0</v>
      </c>
      <c r="G85" s="637">
        <v>8775</v>
      </c>
      <c r="H85" s="637">
        <v>8775</v>
      </c>
      <c r="I85" s="637">
        <f t="shared" si="5"/>
        <v>0</v>
      </c>
    </row>
    <row r="86" spans="1:9" ht="12.75" outlineLevel="1">
      <c r="A86" s="423" t="s">
        <v>2858</v>
      </c>
      <c r="B86" s="423" t="s">
        <v>2859</v>
      </c>
      <c r="C86" s="423" t="str">
        <f t="shared" si="4"/>
        <v>UKC REAL ESTATE 5431 HOLMES</v>
      </c>
      <c r="D86" s="423" t="s">
        <v>2860</v>
      </c>
      <c r="F86" s="637">
        <v>0</v>
      </c>
      <c r="G86" s="637">
        <v>6425</v>
      </c>
      <c r="H86" s="637">
        <v>6425</v>
      </c>
      <c r="I86" s="637">
        <f t="shared" si="5"/>
        <v>0</v>
      </c>
    </row>
    <row r="87" spans="1:9" ht="12.75" outlineLevel="1">
      <c r="A87" s="423" t="s">
        <v>2861</v>
      </c>
      <c r="B87" s="423" t="s">
        <v>2862</v>
      </c>
      <c r="C87" s="423" t="str">
        <f t="shared" si="4"/>
        <v>UKC REAL ESTATE 5435 HOLMES</v>
      </c>
      <c r="D87" s="423" t="s">
        <v>2863</v>
      </c>
      <c r="F87" s="637">
        <v>0</v>
      </c>
      <c r="G87" s="637">
        <v>6395</v>
      </c>
      <c r="H87" s="637">
        <v>6395</v>
      </c>
      <c r="I87" s="637">
        <f t="shared" si="5"/>
        <v>0</v>
      </c>
    </row>
    <row r="88" spans="1:9" ht="12.75" outlineLevel="1">
      <c r="A88" s="423" t="s">
        <v>2864</v>
      </c>
      <c r="B88" s="423" t="s">
        <v>2865</v>
      </c>
      <c r="C88" s="423" t="str">
        <f t="shared" si="4"/>
        <v>UKC REAL ESTATE 5437 HOLMES</v>
      </c>
      <c r="D88" s="423" t="s">
        <v>2866</v>
      </c>
      <c r="F88" s="637">
        <v>0</v>
      </c>
      <c r="G88" s="637">
        <v>8030</v>
      </c>
      <c r="H88" s="637">
        <v>8030</v>
      </c>
      <c r="I88" s="637">
        <f t="shared" si="5"/>
        <v>0</v>
      </c>
    </row>
    <row r="89" spans="1:9" ht="12.75" outlineLevel="1">
      <c r="A89" s="423" t="s">
        <v>2867</v>
      </c>
      <c r="B89" s="423" t="s">
        <v>2868</v>
      </c>
      <c r="C89" s="423" t="str">
        <f t="shared" si="4"/>
        <v>UKC-REAL ESTATE 5424-26 HARRIS</v>
      </c>
      <c r="D89" s="423" t="s">
        <v>2869</v>
      </c>
      <c r="F89" s="637">
        <v>0</v>
      </c>
      <c r="G89" s="637">
        <v>9270.68</v>
      </c>
      <c r="H89" s="637">
        <v>9270.68</v>
      </c>
      <c r="I89" s="637">
        <f t="shared" si="5"/>
        <v>0</v>
      </c>
    </row>
    <row r="90" spans="1:9" ht="12.75" outlineLevel="1">
      <c r="A90" s="423" t="s">
        <v>2870</v>
      </c>
      <c r="B90" s="423" t="s">
        <v>2871</v>
      </c>
      <c r="C90" s="423" t="str">
        <f t="shared" si="4"/>
        <v>UKC REAL ESTATE 5312 ROCKHILL</v>
      </c>
      <c r="D90" s="423" t="s">
        <v>2872</v>
      </c>
      <c r="F90" s="637">
        <v>0</v>
      </c>
      <c r="G90" s="637">
        <v>29345</v>
      </c>
      <c r="H90" s="637">
        <v>29345</v>
      </c>
      <c r="I90" s="637">
        <f t="shared" si="5"/>
        <v>0</v>
      </c>
    </row>
    <row r="91" spans="1:9" ht="12.75" outlineLevel="1">
      <c r="A91" s="423" t="s">
        <v>2873</v>
      </c>
      <c r="B91" s="423" t="s">
        <v>2874</v>
      </c>
      <c r="C91" s="423" t="str">
        <f t="shared" si="4"/>
        <v>UKC REAL ESTATE 5340 ROCKHILL</v>
      </c>
      <c r="D91" s="423" t="s">
        <v>2875</v>
      </c>
      <c r="F91" s="637">
        <v>0</v>
      </c>
      <c r="G91" s="637">
        <v>6859.4</v>
      </c>
      <c r="H91" s="637">
        <v>6859.4</v>
      </c>
      <c r="I91" s="637">
        <f t="shared" si="5"/>
        <v>0</v>
      </c>
    </row>
    <row r="92" spans="1:9" ht="12.75" outlineLevel="1">
      <c r="A92" s="423" t="s">
        <v>2876</v>
      </c>
      <c r="B92" s="423" t="s">
        <v>2877</v>
      </c>
      <c r="C92" s="423" t="str">
        <f t="shared" si="4"/>
        <v>UKC REAL ESTATE 5401 ROCKHILL</v>
      </c>
      <c r="D92" s="423" t="s">
        <v>2878</v>
      </c>
      <c r="F92" s="637">
        <v>0</v>
      </c>
      <c r="G92" s="637">
        <v>10630</v>
      </c>
      <c r="H92" s="637">
        <v>10630</v>
      </c>
      <c r="I92" s="637">
        <f t="shared" si="5"/>
        <v>0</v>
      </c>
    </row>
    <row r="93" spans="1:9" ht="12.75" outlineLevel="1">
      <c r="A93" s="423" t="s">
        <v>2879</v>
      </c>
      <c r="B93" s="423" t="s">
        <v>2880</v>
      </c>
      <c r="C93" s="423" t="str">
        <f t="shared" si="4"/>
        <v>UKC REAL ESTATE 5408 ROCKHILL</v>
      </c>
      <c r="D93" s="423" t="s">
        <v>2881</v>
      </c>
      <c r="F93" s="637">
        <v>0</v>
      </c>
      <c r="G93" s="637">
        <v>7870</v>
      </c>
      <c r="H93" s="637">
        <v>7870</v>
      </c>
      <c r="I93" s="637">
        <f t="shared" si="5"/>
        <v>0</v>
      </c>
    </row>
    <row r="94" spans="1:9" ht="12.75" outlineLevel="1">
      <c r="A94" s="423" t="s">
        <v>2882</v>
      </c>
      <c r="B94" s="423" t="s">
        <v>2883</v>
      </c>
      <c r="C94" s="423" t="str">
        <f t="shared" si="4"/>
        <v>UKC REAL ESTATE 5411 ROCKHILL</v>
      </c>
      <c r="D94" s="423" t="s">
        <v>2884</v>
      </c>
      <c r="F94" s="637">
        <v>0</v>
      </c>
      <c r="G94" s="637">
        <v>5625</v>
      </c>
      <c r="H94" s="637">
        <v>5625</v>
      </c>
      <c r="I94" s="637">
        <f t="shared" si="5"/>
        <v>0</v>
      </c>
    </row>
    <row r="95" spans="1:9" ht="12.75" outlineLevel="1">
      <c r="A95" s="423" t="s">
        <v>2885</v>
      </c>
      <c r="B95" s="423" t="s">
        <v>2886</v>
      </c>
      <c r="C95" s="423" t="str">
        <f t="shared" si="4"/>
        <v>UKC REAL ESTATE 5418 ROCKHILL</v>
      </c>
      <c r="D95" s="423" t="s">
        <v>2887</v>
      </c>
      <c r="F95" s="637">
        <v>0</v>
      </c>
      <c r="G95" s="637">
        <v>7545</v>
      </c>
      <c r="H95" s="637">
        <v>7545</v>
      </c>
      <c r="I95" s="637">
        <f t="shared" si="5"/>
        <v>0</v>
      </c>
    </row>
    <row r="96" spans="1:9" ht="12.75" outlineLevel="1">
      <c r="A96" s="423" t="s">
        <v>2888</v>
      </c>
      <c r="B96" s="423" t="s">
        <v>2889</v>
      </c>
      <c r="C96" s="423" t="str">
        <f t="shared" si="4"/>
        <v>UKC REAL ESTATE 5433 ROCKHILL</v>
      </c>
      <c r="D96" s="423" t="s">
        <v>2890</v>
      </c>
      <c r="F96" s="637">
        <v>0</v>
      </c>
      <c r="G96" s="637">
        <v>9481.5</v>
      </c>
      <c r="H96" s="637">
        <v>9481.5</v>
      </c>
      <c r="I96" s="637">
        <f t="shared" si="5"/>
        <v>0</v>
      </c>
    </row>
    <row r="97" spans="1:9" ht="12.75" outlineLevel="1">
      <c r="A97" s="423" t="s">
        <v>2891</v>
      </c>
      <c r="B97" s="423" t="s">
        <v>2892</v>
      </c>
      <c r="C97" s="423" t="str">
        <f t="shared" si="4"/>
        <v>UKC REAL ESTATE 5434 ROCKHILL</v>
      </c>
      <c r="D97" s="423" t="s">
        <v>2893</v>
      </c>
      <c r="F97" s="637">
        <v>0</v>
      </c>
      <c r="G97" s="637">
        <v>11140</v>
      </c>
      <c r="H97" s="637">
        <v>11140</v>
      </c>
      <c r="I97" s="637">
        <f t="shared" si="5"/>
        <v>0</v>
      </c>
    </row>
    <row r="98" spans="1:9" ht="12.75" outlineLevel="1">
      <c r="A98" s="423" t="s">
        <v>2894</v>
      </c>
      <c r="B98" s="423" t="s">
        <v>2895</v>
      </c>
      <c r="C98" s="423" t="str">
        <f t="shared" si="4"/>
        <v>UKC REAL ESTATE 5441 ROCKHILL</v>
      </c>
      <c r="D98" s="423" t="s">
        <v>2896</v>
      </c>
      <c r="F98" s="637">
        <v>0</v>
      </c>
      <c r="G98" s="637">
        <v>12125</v>
      </c>
      <c r="H98" s="637">
        <v>12125</v>
      </c>
      <c r="I98" s="637">
        <f t="shared" si="5"/>
        <v>0</v>
      </c>
    </row>
    <row r="99" spans="1:9" ht="12.75" outlineLevel="1">
      <c r="A99" s="423" t="s">
        <v>2897</v>
      </c>
      <c r="B99" s="423" t="s">
        <v>2898</v>
      </c>
      <c r="C99" s="423" t="str">
        <f t="shared" si="4"/>
        <v>UKC - REAL ESTATE 5409 ROCKHIL</v>
      </c>
      <c r="D99" s="423" t="s">
        <v>2899</v>
      </c>
      <c r="F99" s="637">
        <v>0</v>
      </c>
      <c r="G99" s="637">
        <v>8805</v>
      </c>
      <c r="H99" s="637">
        <v>8805</v>
      </c>
      <c r="I99" s="637">
        <f t="shared" si="5"/>
        <v>0</v>
      </c>
    </row>
    <row r="100" spans="1:9" ht="12.75" outlineLevel="1">
      <c r="A100" s="423" t="s">
        <v>2900</v>
      </c>
      <c r="B100" s="423" t="s">
        <v>2901</v>
      </c>
      <c r="C100" s="423" t="str">
        <f t="shared" si="4"/>
        <v>UKC REAL ESTATE - 5420 ROCKHIL</v>
      </c>
      <c r="D100" s="423" t="s">
        <v>2902</v>
      </c>
      <c r="F100" s="637">
        <v>0</v>
      </c>
      <c r="G100" s="637">
        <v>8122</v>
      </c>
      <c r="H100" s="637">
        <v>8122</v>
      </c>
      <c r="I100" s="637">
        <f t="shared" si="5"/>
        <v>0</v>
      </c>
    </row>
    <row r="101" spans="1:9" ht="12.75" outlineLevel="1">
      <c r="A101" s="423" t="s">
        <v>2903</v>
      </c>
      <c r="B101" s="423" t="s">
        <v>2904</v>
      </c>
      <c r="C101" s="423" t="str">
        <f t="shared" si="4"/>
        <v>UKC REAL ESTATE 5435 ROCKHILL</v>
      </c>
      <c r="D101" s="423" t="s">
        <v>2905</v>
      </c>
      <c r="F101" s="637">
        <v>0</v>
      </c>
      <c r="G101" s="637">
        <v>7335</v>
      </c>
      <c r="H101" s="637">
        <v>7335</v>
      </c>
      <c r="I101" s="637">
        <f t="shared" si="5"/>
        <v>0</v>
      </c>
    </row>
    <row r="102" spans="1:9" ht="12.75" outlineLevel="1">
      <c r="A102" s="423" t="s">
        <v>2906</v>
      </c>
      <c r="B102" s="423" t="s">
        <v>2907</v>
      </c>
      <c r="C102" s="423" t="str">
        <f t="shared" si="4"/>
        <v>UKC REAL ESTATE 5306 ROCKHILL</v>
      </c>
      <c r="D102" s="423" t="s">
        <v>2908</v>
      </c>
      <c r="F102" s="637">
        <v>0</v>
      </c>
      <c r="G102" s="637">
        <v>7775</v>
      </c>
      <c r="H102" s="637">
        <v>7775</v>
      </c>
      <c r="I102" s="637">
        <f t="shared" si="5"/>
        <v>0</v>
      </c>
    </row>
    <row r="103" spans="1:9" ht="12.75" outlineLevel="1">
      <c r="A103" s="423" t="s">
        <v>2909</v>
      </c>
      <c r="B103" s="423" t="s">
        <v>2910</v>
      </c>
      <c r="C103" s="423" t="str">
        <f aca="true" t="shared" si="6" ref="C103:C121">UPPER(B103)</f>
        <v>UKC REALESTATE 5442 HARRISON</v>
      </c>
      <c r="D103" s="423" t="s">
        <v>2911</v>
      </c>
      <c r="F103" s="637">
        <v>0</v>
      </c>
      <c r="G103" s="637">
        <v>16000</v>
      </c>
      <c r="H103" s="637">
        <v>16000</v>
      </c>
      <c r="I103" s="637">
        <f aca="true" t="shared" si="7" ref="I103:I121">(F103+G103-H103)</f>
        <v>0</v>
      </c>
    </row>
    <row r="104" spans="1:9" ht="12.75" outlineLevel="1">
      <c r="A104" s="423" t="s">
        <v>2912</v>
      </c>
      <c r="B104" s="423" t="s">
        <v>2913</v>
      </c>
      <c r="C104" s="423" t="str">
        <f t="shared" si="6"/>
        <v>UKC REAL ESTATE 5400 HARRISON</v>
      </c>
      <c r="D104" s="423" t="s">
        <v>2914</v>
      </c>
      <c r="F104" s="637">
        <v>0</v>
      </c>
      <c r="G104" s="637">
        <v>10436.5</v>
      </c>
      <c r="H104" s="637">
        <v>10436.5</v>
      </c>
      <c r="I104" s="637">
        <f t="shared" si="7"/>
        <v>0</v>
      </c>
    </row>
    <row r="105" spans="1:9" ht="12.75" outlineLevel="1">
      <c r="A105" s="423" t="s">
        <v>2915</v>
      </c>
      <c r="B105" s="423" t="s">
        <v>2916</v>
      </c>
      <c r="C105" s="423" t="str">
        <f t="shared" si="6"/>
        <v>UKC REAL ESTATE 7100-02 VIRGIN</v>
      </c>
      <c r="D105" s="423" t="s">
        <v>2917</v>
      </c>
      <c r="F105" s="637">
        <v>0</v>
      </c>
      <c r="G105" s="637">
        <v>702</v>
      </c>
      <c r="H105" s="637">
        <v>702</v>
      </c>
      <c r="I105" s="637">
        <f t="shared" si="7"/>
        <v>0</v>
      </c>
    </row>
    <row r="106" spans="1:9" ht="12.75" outlineLevel="1">
      <c r="A106" s="423" t="s">
        <v>2918</v>
      </c>
      <c r="B106" s="423" t="s">
        <v>2919</v>
      </c>
      <c r="C106" s="423" t="str">
        <f t="shared" si="6"/>
        <v>UKC REAL ESTATE OPERATIONS CLE</v>
      </c>
      <c r="D106" s="423" t="s">
        <v>2920</v>
      </c>
      <c r="F106" s="637">
        <v>36957.33</v>
      </c>
      <c r="G106" s="637">
        <v>0</v>
      </c>
      <c r="H106" s="637">
        <v>90061.66</v>
      </c>
      <c r="I106" s="637">
        <f t="shared" si="7"/>
        <v>-53104.33</v>
      </c>
    </row>
    <row r="107" spans="1:9" ht="12.75" outlineLevel="1">
      <c r="A107" s="423" t="s">
        <v>2921</v>
      </c>
      <c r="B107" s="423" t="s">
        <v>2922</v>
      </c>
      <c r="C107" s="423" t="str">
        <f t="shared" si="6"/>
        <v>UKC REAL ESTATE PAYABLES CLEAR</v>
      </c>
      <c r="D107" s="423" t="s">
        <v>2923</v>
      </c>
      <c r="F107" s="637">
        <v>-135722.47</v>
      </c>
      <c r="G107" s="637">
        <v>0</v>
      </c>
      <c r="H107" s="637">
        <v>-4286.34</v>
      </c>
      <c r="I107" s="637">
        <f t="shared" si="7"/>
        <v>-131436.13</v>
      </c>
    </row>
    <row r="108" spans="1:9" ht="12.75" outlineLevel="1">
      <c r="A108" s="423" t="s">
        <v>2924</v>
      </c>
      <c r="B108" s="423" t="s">
        <v>2925</v>
      </c>
      <c r="C108" s="423" t="str">
        <f t="shared" si="6"/>
        <v>UKC 5329 ROCKHILL</v>
      </c>
      <c r="D108" s="423" t="s">
        <v>2926</v>
      </c>
      <c r="F108" s="637">
        <v>0</v>
      </c>
      <c r="G108" s="637">
        <v>7574.5</v>
      </c>
      <c r="H108" s="637">
        <v>7574.5</v>
      </c>
      <c r="I108" s="637">
        <f t="shared" si="7"/>
        <v>0</v>
      </c>
    </row>
    <row r="109" spans="1:9" ht="12.75" outlineLevel="1">
      <c r="A109" s="423" t="s">
        <v>2927</v>
      </c>
      <c r="B109" s="423" t="s">
        <v>2928</v>
      </c>
      <c r="C109" s="423" t="str">
        <f t="shared" si="6"/>
        <v>UKC 5430 32 HARRISON</v>
      </c>
      <c r="D109" s="423" t="s">
        <v>2929</v>
      </c>
      <c r="F109" s="637">
        <v>0</v>
      </c>
      <c r="G109" s="637">
        <v>13872</v>
      </c>
      <c r="H109" s="637">
        <v>13872</v>
      </c>
      <c r="I109" s="637">
        <f t="shared" si="7"/>
        <v>0</v>
      </c>
    </row>
    <row r="110" spans="1:9" ht="12.75" outlineLevel="1">
      <c r="A110" s="423" t="s">
        <v>2930</v>
      </c>
      <c r="B110" s="423" t="s">
        <v>2931</v>
      </c>
      <c r="C110" s="423" t="str">
        <f t="shared" si="6"/>
        <v>UKC 5339 HARRISON</v>
      </c>
      <c r="D110" s="423" t="s">
        <v>2932</v>
      </c>
      <c r="F110" s="637">
        <v>0</v>
      </c>
      <c r="G110" s="637">
        <v>8950</v>
      </c>
      <c r="H110" s="637">
        <v>8950</v>
      </c>
      <c r="I110" s="637">
        <f t="shared" si="7"/>
        <v>0</v>
      </c>
    </row>
    <row r="111" spans="1:9" ht="12.75" outlineLevel="1">
      <c r="A111" s="423" t="s">
        <v>2933</v>
      </c>
      <c r="B111" s="423" t="s">
        <v>2934</v>
      </c>
      <c r="C111" s="423" t="str">
        <f t="shared" si="6"/>
        <v>UKC 5429 ROCKHILL ROAD</v>
      </c>
      <c r="D111" s="423" t="s">
        <v>2935</v>
      </c>
      <c r="F111" s="637">
        <v>0</v>
      </c>
      <c r="G111" s="637">
        <v>10110</v>
      </c>
      <c r="H111" s="637">
        <v>10110</v>
      </c>
      <c r="I111" s="637">
        <f t="shared" si="7"/>
        <v>0</v>
      </c>
    </row>
    <row r="112" spans="1:9" ht="12.75" outlineLevel="1">
      <c r="A112" s="423" t="s">
        <v>2936</v>
      </c>
      <c r="B112" s="423" t="s">
        <v>2937</v>
      </c>
      <c r="C112" s="423" t="str">
        <f t="shared" si="6"/>
        <v>UKC 5440 ROCKHILL</v>
      </c>
      <c r="D112" s="423" t="s">
        <v>2938</v>
      </c>
      <c r="F112" s="637">
        <v>0</v>
      </c>
      <c r="G112" s="637">
        <v>16145</v>
      </c>
      <c r="H112" s="637">
        <v>16145</v>
      </c>
      <c r="I112" s="637">
        <f t="shared" si="7"/>
        <v>0</v>
      </c>
    </row>
    <row r="113" spans="1:9" ht="12.75" outlineLevel="1">
      <c r="A113" s="423" t="s">
        <v>2939</v>
      </c>
      <c r="B113" s="423" t="s">
        <v>2940</v>
      </c>
      <c r="C113" s="423" t="str">
        <f t="shared" si="6"/>
        <v>UKC 715 E 54TH STREET</v>
      </c>
      <c r="D113" s="423" t="s">
        <v>2941</v>
      </c>
      <c r="F113" s="637">
        <v>0</v>
      </c>
      <c r="G113" s="637">
        <v>8415</v>
      </c>
      <c r="H113" s="637">
        <v>8415</v>
      </c>
      <c r="I113" s="637">
        <f t="shared" si="7"/>
        <v>0</v>
      </c>
    </row>
    <row r="114" spans="1:9" ht="12.75" outlineLevel="1">
      <c r="A114" s="423" t="s">
        <v>2942</v>
      </c>
      <c r="B114" s="423" t="s">
        <v>2943</v>
      </c>
      <c r="C114" s="423" t="str">
        <f t="shared" si="6"/>
        <v>UKC 5314 ROCKHILL ROAD</v>
      </c>
      <c r="D114" s="423" t="s">
        <v>2944</v>
      </c>
      <c r="F114" s="637">
        <v>0</v>
      </c>
      <c r="G114" s="637">
        <v>31695</v>
      </c>
      <c r="H114" s="637">
        <v>31695</v>
      </c>
      <c r="I114" s="637">
        <f t="shared" si="7"/>
        <v>0</v>
      </c>
    </row>
    <row r="115" spans="1:9" ht="12.75" outlineLevel="1">
      <c r="A115" s="423" t="s">
        <v>2945</v>
      </c>
      <c r="B115" s="423" t="s">
        <v>2946</v>
      </c>
      <c r="C115" s="423" t="str">
        <f t="shared" si="6"/>
        <v>UKC 5318 ROCKHILL ROAD</v>
      </c>
      <c r="D115" s="423" t="s">
        <v>2947</v>
      </c>
      <c r="F115" s="637">
        <v>0</v>
      </c>
      <c r="G115" s="637">
        <v>14050</v>
      </c>
      <c r="H115" s="637">
        <v>14050</v>
      </c>
      <c r="I115" s="637">
        <f t="shared" si="7"/>
        <v>0</v>
      </c>
    </row>
    <row r="116" spans="1:9" ht="12.75" outlineLevel="1">
      <c r="A116" s="423" t="s">
        <v>2948</v>
      </c>
      <c r="B116" s="423" t="s">
        <v>2949</v>
      </c>
      <c r="C116" s="423" t="str">
        <f t="shared" si="6"/>
        <v>UKC 5304 HARRISON</v>
      </c>
      <c r="D116" s="423" t="s">
        <v>2950</v>
      </c>
      <c r="F116" s="637">
        <v>0</v>
      </c>
      <c r="G116" s="637">
        <v>8052.06</v>
      </c>
      <c r="H116" s="637">
        <v>8052.06</v>
      </c>
      <c r="I116" s="637">
        <f t="shared" si="7"/>
        <v>0</v>
      </c>
    </row>
    <row r="117" spans="1:9" ht="12.75" outlineLevel="1">
      <c r="A117" s="423" t="s">
        <v>2951</v>
      </c>
      <c r="B117" s="423" t="s">
        <v>2952</v>
      </c>
      <c r="C117" s="423" t="str">
        <f t="shared" si="6"/>
        <v>UKC 5345 CHARLOTTE</v>
      </c>
      <c r="D117" s="423" t="s">
        <v>2953</v>
      </c>
      <c r="F117" s="637">
        <v>0</v>
      </c>
      <c r="G117" s="637">
        <v>4685</v>
      </c>
      <c r="H117" s="637">
        <v>4685</v>
      </c>
      <c r="I117" s="637">
        <f t="shared" si="7"/>
        <v>0</v>
      </c>
    </row>
    <row r="118" spans="1:9" ht="12.75" outlineLevel="1">
      <c r="A118" s="423" t="s">
        <v>2954</v>
      </c>
      <c r="B118" s="423" t="s">
        <v>2955</v>
      </c>
      <c r="C118" s="423" t="str">
        <f t="shared" si="6"/>
        <v>UKC 5410 HARRISON</v>
      </c>
      <c r="D118" s="423" t="s">
        <v>2956</v>
      </c>
      <c r="F118" s="637">
        <v>0</v>
      </c>
      <c r="G118" s="637">
        <v>10812.5</v>
      </c>
      <c r="H118" s="637">
        <v>10812.5</v>
      </c>
      <c r="I118" s="637">
        <f t="shared" si="7"/>
        <v>0</v>
      </c>
    </row>
    <row r="119" spans="1:9" ht="12.75" outlineLevel="1">
      <c r="A119" s="423" t="s">
        <v>2957</v>
      </c>
      <c r="B119" s="423" t="s">
        <v>2958</v>
      </c>
      <c r="C119" s="423" t="str">
        <f t="shared" si="6"/>
        <v>UKC 5300 CHARLOTTE</v>
      </c>
      <c r="D119" s="423" t="s">
        <v>2959</v>
      </c>
      <c r="F119" s="637">
        <v>0</v>
      </c>
      <c r="G119" s="637">
        <v>16340</v>
      </c>
      <c r="H119" s="637">
        <v>16340</v>
      </c>
      <c r="I119" s="637">
        <f t="shared" si="7"/>
        <v>0</v>
      </c>
    </row>
    <row r="120" spans="1:9" ht="12.75" outlineLevel="1">
      <c r="A120" s="423" t="s">
        <v>2960</v>
      </c>
      <c r="B120" s="423" t="s">
        <v>2961</v>
      </c>
      <c r="C120" s="423" t="str">
        <f t="shared" si="6"/>
        <v>MCDAVID LOAN</v>
      </c>
      <c r="D120" s="423" t="s">
        <v>2962</v>
      </c>
      <c r="F120" s="637">
        <v>263105</v>
      </c>
      <c r="G120" s="637">
        <v>0</v>
      </c>
      <c r="H120" s="637">
        <v>225225</v>
      </c>
      <c r="I120" s="637">
        <f t="shared" si="7"/>
        <v>37880</v>
      </c>
    </row>
    <row r="121" spans="1:9" s="462" customFormat="1" ht="12.75">
      <c r="A121" s="462" t="s">
        <v>2963</v>
      </c>
      <c r="B121" s="462" t="s">
        <v>2964</v>
      </c>
      <c r="C121" s="462" t="str">
        <f t="shared" si="6"/>
        <v>TOTAL AGENCY FUNDS</v>
      </c>
      <c r="F121" s="468">
        <v>18897113.919999998</v>
      </c>
      <c r="G121" s="468">
        <v>103573045.76</v>
      </c>
      <c r="H121" s="468">
        <v>102476450.96000001</v>
      </c>
      <c r="I121" s="468">
        <f t="shared" si="7"/>
        <v>19993708.72</v>
      </c>
    </row>
  </sheetData>
  <printOptions horizontalCentered="1"/>
  <pageMargins left="0.5" right="0.5" top="0.75" bottom="0.5" header="0.5" footer="0.5"/>
  <pageSetup horizontalDpi="600" verticalDpi="600" orientation="landscape" scale="75" r:id="rId1"/>
  <rowBreaks count="2" manualBreakCount="2">
    <brk id="54" max="255" man="1"/>
    <brk id="10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2"/>
  <sheetViews>
    <sheetView workbookViewId="0" topLeftCell="A1">
      <selection activeCell="A4" sqref="A4"/>
    </sheetView>
  </sheetViews>
  <sheetFormatPr defaultColWidth="9.140625" defaultRowHeight="12.75"/>
  <cols>
    <col min="1" max="1" width="2.7109375" style="2" customWidth="1"/>
    <col min="2" max="2" width="70.7109375" style="2" customWidth="1"/>
    <col min="3" max="3" width="14.7109375" style="2" customWidth="1"/>
    <col min="4" max="4" width="3.7109375" style="2" hidden="1" customWidth="1"/>
    <col min="5" max="5" width="14.7109375" style="53" customWidth="1"/>
    <col min="6" max="16384" width="8.00390625" style="53" customWidth="1"/>
  </cols>
  <sheetData>
    <row r="1" spans="1:5" s="50" customFormat="1" ht="15.75">
      <c r="A1" s="46" t="s">
        <v>3786</v>
      </c>
      <c r="B1" s="6"/>
      <c r="C1" s="47"/>
      <c r="D1" s="48"/>
      <c r="E1" s="49"/>
    </row>
    <row r="2" spans="1:5" ht="15.75">
      <c r="A2" s="51" t="s">
        <v>3697</v>
      </c>
      <c r="B2" s="12"/>
      <c r="C2" s="48"/>
      <c r="D2" s="48"/>
      <c r="E2" s="52"/>
    </row>
    <row r="3" spans="1:5" s="50" customFormat="1" ht="15.75">
      <c r="A3" s="51" t="s">
        <v>3705</v>
      </c>
      <c r="B3" s="12"/>
      <c r="C3" s="48"/>
      <c r="D3" s="48"/>
      <c r="E3" s="54"/>
    </row>
    <row r="4" spans="1:5" ht="12.75" customHeight="1">
      <c r="A4" s="17" t="s">
        <v>3787</v>
      </c>
      <c r="B4" s="18"/>
      <c r="C4" s="55"/>
      <c r="D4" s="48"/>
      <c r="E4" s="56"/>
    </row>
    <row r="5" spans="1:5" ht="15.75" customHeight="1">
      <c r="A5" s="57"/>
      <c r="B5" s="58"/>
      <c r="C5" s="59">
        <v>2006</v>
      </c>
      <c r="D5" s="60"/>
      <c r="E5" s="59">
        <v>2005</v>
      </c>
    </row>
    <row r="6" spans="1:5" ht="12.75" customHeight="1">
      <c r="A6" s="61" t="s">
        <v>3815</v>
      </c>
      <c r="B6" s="62"/>
      <c r="C6" s="63"/>
      <c r="D6" s="64"/>
      <c r="E6" s="65"/>
    </row>
    <row r="7" spans="1:5" s="67" customFormat="1" ht="12.75" customHeight="1">
      <c r="A7" s="30"/>
      <c r="B7" s="31" t="s">
        <v>3704</v>
      </c>
      <c r="C7" s="34">
        <v>119731</v>
      </c>
      <c r="D7" s="66"/>
      <c r="E7" s="34">
        <v>114611</v>
      </c>
    </row>
    <row r="8" spans="1:5" s="67" customFormat="1" ht="12.75" customHeight="1">
      <c r="A8" s="30"/>
      <c r="B8" s="31" t="s">
        <v>3843</v>
      </c>
      <c r="C8" s="36">
        <v>30974</v>
      </c>
      <c r="D8" s="68"/>
      <c r="E8" s="36">
        <v>26035</v>
      </c>
    </row>
    <row r="9" spans="1:5" s="70" customFormat="1" ht="12.75" customHeight="1">
      <c r="A9" s="23"/>
      <c r="B9" s="24" t="s">
        <v>3816</v>
      </c>
      <c r="C9" s="39">
        <v>88757</v>
      </c>
      <c r="D9" s="69"/>
      <c r="E9" s="39">
        <f>E7-E8</f>
        <v>88576</v>
      </c>
    </row>
    <row r="10" spans="1:5" s="71" customFormat="1" ht="12.75" customHeight="1">
      <c r="A10" s="30"/>
      <c r="B10" s="31" t="s">
        <v>3817</v>
      </c>
      <c r="C10" s="36">
        <v>28373</v>
      </c>
      <c r="D10" s="68"/>
      <c r="E10" s="36">
        <v>28267</v>
      </c>
    </row>
    <row r="11" spans="1:5" s="71" customFormat="1" ht="12.75" customHeight="1">
      <c r="A11" s="30"/>
      <c r="B11" s="31" t="s">
        <v>3818</v>
      </c>
      <c r="C11" s="36">
        <v>4696</v>
      </c>
      <c r="D11" s="68"/>
      <c r="E11" s="36">
        <v>5638</v>
      </c>
    </row>
    <row r="12" spans="1:5" s="71" customFormat="1" ht="12.75" customHeight="1">
      <c r="A12" s="30"/>
      <c r="B12" s="31" t="s">
        <v>3819</v>
      </c>
      <c r="C12" s="36">
        <v>7123</v>
      </c>
      <c r="D12" s="68"/>
      <c r="E12" s="36">
        <v>12354</v>
      </c>
    </row>
    <row r="13" spans="1:5" s="71" customFormat="1" ht="12.75" customHeight="1">
      <c r="A13" s="30"/>
      <c r="B13" s="31" t="s">
        <v>3820</v>
      </c>
      <c r="C13" s="36">
        <v>3913</v>
      </c>
      <c r="D13" s="68"/>
      <c r="E13" s="36">
        <v>2974</v>
      </c>
    </row>
    <row r="14" spans="1:5" s="71" customFormat="1" ht="12.75" customHeight="1">
      <c r="A14" s="30"/>
      <c r="B14" s="31" t="s">
        <v>3821</v>
      </c>
      <c r="C14" s="36"/>
      <c r="D14" s="68"/>
      <c r="E14" s="36"/>
    </row>
    <row r="15" spans="1:5" s="71" customFormat="1" ht="12.75" customHeight="1">
      <c r="A15" s="30"/>
      <c r="B15" s="31" t="s">
        <v>3831</v>
      </c>
      <c r="C15" s="36">
        <v>7244</v>
      </c>
      <c r="D15" s="68"/>
      <c r="E15" s="36">
        <v>6919</v>
      </c>
    </row>
    <row r="16" spans="1:5" s="71" customFormat="1" ht="12.75" customHeight="1">
      <c r="A16" s="30"/>
      <c r="B16" s="31" t="s">
        <v>3832</v>
      </c>
      <c r="C16" s="36">
        <v>3188</v>
      </c>
      <c r="D16" s="68"/>
      <c r="E16" s="36">
        <v>5024</v>
      </c>
    </row>
    <row r="17" spans="1:5" s="71" customFormat="1" ht="12.75" customHeight="1">
      <c r="A17" s="30"/>
      <c r="B17" s="31" t="s">
        <v>3833</v>
      </c>
      <c r="C17" s="36">
        <v>33862</v>
      </c>
      <c r="D17" s="68"/>
      <c r="E17" s="36">
        <v>33445</v>
      </c>
    </row>
    <row r="18" spans="1:5" s="71" customFormat="1" ht="12.75" customHeight="1">
      <c r="A18" s="30"/>
      <c r="B18" s="31" t="s">
        <v>3709</v>
      </c>
      <c r="C18" s="36">
        <v>309</v>
      </c>
      <c r="D18" s="68"/>
      <c r="E18" s="36">
        <v>307</v>
      </c>
    </row>
    <row r="19" spans="1:5" s="71" customFormat="1" ht="12.75" customHeight="1">
      <c r="A19" s="30"/>
      <c r="B19" s="31" t="s">
        <v>3710</v>
      </c>
      <c r="C19" s="36">
        <v>8424</v>
      </c>
      <c r="D19" s="68"/>
      <c r="E19" s="36">
        <v>8611</v>
      </c>
    </row>
    <row r="20" spans="1:5" s="71" customFormat="1" ht="12.75" customHeight="1">
      <c r="A20" s="23"/>
      <c r="B20" s="62" t="s">
        <v>3828</v>
      </c>
      <c r="C20" s="39">
        <f>SUM(C9:C19)</f>
        <v>185889</v>
      </c>
      <c r="D20" s="69"/>
      <c r="E20" s="39">
        <f>SUM(E9:E19)</f>
        <v>192115</v>
      </c>
    </row>
    <row r="21" spans="1:5" ht="12.75" customHeight="1">
      <c r="A21" s="61"/>
      <c r="B21" s="62"/>
      <c r="C21" s="36"/>
      <c r="D21" s="68"/>
      <c r="E21" s="36"/>
    </row>
    <row r="22" spans="1:5" s="71" customFormat="1" ht="12.75" customHeight="1">
      <c r="A22" s="23" t="s">
        <v>3835</v>
      </c>
      <c r="B22" s="24"/>
      <c r="C22" s="36"/>
      <c r="D22" s="68"/>
      <c r="E22" s="36"/>
    </row>
    <row r="23" spans="1:5" s="71" customFormat="1" ht="12.75" customHeight="1">
      <c r="A23" s="30"/>
      <c r="B23" s="31" t="s">
        <v>3844</v>
      </c>
      <c r="C23" s="36">
        <v>155486</v>
      </c>
      <c r="D23" s="68"/>
      <c r="E23" s="36">
        <v>150723</v>
      </c>
    </row>
    <row r="24" spans="1:5" s="71" customFormat="1" ht="12.75" customHeight="1">
      <c r="A24" s="30"/>
      <c r="B24" s="31" t="s">
        <v>3711</v>
      </c>
      <c r="C24" s="36">
        <v>36667</v>
      </c>
      <c r="D24" s="68"/>
      <c r="E24" s="36">
        <v>32912</v>
      </c>
    </row>
    <row r="25" spans="1:5" s="71" customFormat="1" ht="12.75" customHeight="1">
      <c r="A25" s="30"/>
      <c r="B25" s="31" t="s">
        <v>3712</v>
      </c>
      <c r="C25" s="36">
        <v>66607</v>
      </c>
      <c r="D25" s="68"/>
      <c r="E25" s="36">
        <v>69133</v>
      </c>
    </row>
    <row r="26" spans="1:5" s="71" customFormat="1" ht="12.75" customHeight="1">
      <c r="A26" s="30"/>
      <c r="B26" s="31" t="s">
        <v>3713</v>
      </c>
      <c r="C26" s="36">
        <v>5530</v>
      </c>
      <c r="D26" s="68"/>
      <c r="E26" s="36">
        <v>7270</v>
      </c>
    </row>
    <row r="27" spans="1:5" s="71" customFormat="1" ht="12.75" customHeight="1">
      <c r="A27" s="30"/>
      <c r="B27" s="31" t="s">
        <v>3699</v>
      </c>
      <c r="C27" s="36">
        <v>13733</v>
      </c>
      <c r="D27" s="68"/>
      <c r="E27" s="36">
        <v>12033</v>
      </c>
    </row>
    <row r="28" spans="1:5" s="71" customFormat="1" ht="12.75" customHeight="1">
      <c r="A28" s="23"/>
      <c r="B28" s="62" t="s">
        <v>3829</v>
      </c>
      <c r="C28" s="39">
        <v>278023</v>
      </c>
      <c r="D28" s="69"/>
      <c r="E28" s="39">
        <f>SUM(E23:E27)</f>
        <v>272071</v>
      </c>
    </row>
    <row r="29" spans="1:5" ht="12.75" customHeight="1">
      <c r="A29" s="61"/>
      <c r="B29" s="62"/>
      <c r="C29" s="36"/>
      <c r="D29" s="68"/>
      <c r="E29" s="36"/>
    </row>
    <row r="30" spans="1:5" s="71" customFormat="1" ht="12.75" customHeight="1">
      <c r="A30" s="23" t="s">
        <v>3778</v>
      </c>
      <c r="B30" s="24"/>
      <c r="C30" s="39">
        <f>C20-C28</f>
        <v>-92134</v>
      </c>
      <c r="D30" s="69"/>
      <c r="E30" s="39">
        <f>E20-E28</f>
        <v>-79956</v>
      </c>
    </row>
    <row r="31" spans="1:5" ht="12.75" customHeight="1">
      <c r="A31" s="61"/>
      <c r="B31" s="62"/>
      <c r="C31" s="36"/>
      <c r="D31" s="68"/>
      <c r="E31" s="36"/>
    </row>
    <row r="32" spans="1:5" s="71" customFormat="1" ht="12.75" customHeight="1">
      <c r="A32" s="30"/>
      <c r="B32" s="31" t="s">
        <v>3722</v>
      </c>
      <c r="C32" s="36">
        <v>75527</v>
      </c>
      <c r="D32" s="68"/>
      <c r="E32" s="36">
        <v>73894</v>
      </c>
    </row>
    <row r="33" spans="1:5" ht="12.75" customHeight="1">
      <c r="A33" s="61"/>
      <c r="B33" s="62"/>
      <c r="C33" s="36"/>
      <c r="D33" s="68"/>
      <c r="E33" s="36"/>
    </row>
    <row r="34" spans="1:5" s="71" customFormat="1" ht="12.75" customHeight="1">
      <c r="A34" s="23" t="s">
        <v>3779</v>
      </c>
      <c r="B34" s="24"/>
      <c r="C34" s="36"/>
      <c r="D34" s="68"/>
      <c r="E34" s="36"/>
    </row>
    <row r="35" spans="1:5" s="71" customFormat="1" ht="12.75" customHeight="1">
      <c r="A35" s="23" t="s">
        <v>3780</v>
      </c>
      <c r="B35" s="72"/>
      <c r="C35" s="39">
        <f>C30+C32</f>
        <v>-16607</v>
      </c>
      <c r="D35" s="69"/>
      <c r="E35" s="39">
        <f>E30+E32</f>
        <v>-6062</v>
      </c>
    </row>
    <row r="36" spans="1:5" ht="12.75" customHeight="1">
      <c r="A36" s="61"/>
      <c r="B36" s="62"/>
      <c r="C36" s="36"/>
      <c r="D36" s="68"/>
      <c r="E36" s="36"/>
    </row>
    <row r="37" spans="1:5" s="71" customFormat="1" ht="12.75" customHeight="1">
      <c r="A37" s="23" t="s">
        <v>3723</v>
      </c>
      <c r="B37" s="24"/>
      <c r="C37" s="36"/>
      <c r="D37" s="68"/>
      <c r="E37" s="36"/>
    </row>
    <row r="38" spans="1:5" s="71" customFormat="1" ht="12.75" customHeight="1">
      <c r="A38" s="30"/>
      <c r="B38" s="31" t="s">
        <v>3724</v>
      </c>
      <c r="C38" s="36">
        <v>15840</v>
      </c>
      <c r="D38" s="68"/>
      <c r="E38" s="36">
        <v>10847</v>
      </c>
    </row>
    <row r="39" spans="1:5" s="71" customFormat="1" ht="12.75" customHeight="1">
      <c r="A39" s="30"/>
      <c r="B39" s="31" t="s">
        <v>3725</v>
      </c>
      <c r="C39" s="36">
        <v>10260</v>
      </c>
      <c r="D39" s="68"/>
      <c r="E39" s="36">
        <v>13190</v>
      </c>
    </row>
    <row r="40" spans="1:5" s="71" customFormat="1" ht="12.75" customHeight="1">
      <c r="A40" s="30"/>
      <c r="B40" s="31" t="s">
        <v>3726</v>
      </c>
      <c r="C40" s="36">
        <v>-2161</v>
      </c>
      <c r="D40" s="68"/>
      <c r="E40" s="36">
        <v>-1912</v>
      </c>
    </row>
    <row r="41" spans="1:5" s="71" customFormat="1" ht="12.75" customHeight="1">
      <c r="A41" s="30"/>
      <c r="B41" s="31" t="s">
        <v>3727</v>
      </c>
      <c r="C41" s="36">
        <v>-2</v>
      </c>
      <c r="D41" s="68"/>
      <c r="E41" s="36">
        <v>0</v>
      </c>
    </row>
    <row r="42" spans="1:5" s="70" customFormat="1" ht="12.75" customHeight="1">
      <c r="A42" s="23"/>
      <c r="B42" s="24" t="s">
        <v>3830</v>
      </c>
      <c r="C42" s="39">
        <f>SUM(C38:C41)</f>
        <v>23937</v>
      </c>
      <c r="D42" s="69"/>
      <c r="E42" s="39">
        <f>SUM(E38:E41)</f>
        <v>22125</v>
      </c>
    </row>
    <row r="43" spans="1:5" ht="12.75" customHeight="1">
      <c r="A43" s="61"/>
      <c r="B43" s="62"/>
      <c r="C43" s="36"/>
      <c r="D43" s="68"/>
      <c r="E43" s="36"/>
    </row>
    <row r="44" spans="1:5" s="114" customFormat="1" ht="12.75" customHeight="1">
      <c r="A44" s="61" t="s">
        <v>3781</v>
      </c>
      <c r="B44" s="62"/>
      <c r="C44" s="39">
        <f>SUM(C35+C42)</f>
        <v>7330</v>
      </c>
      <c r="D44" s="39">
        <f>SUM(D35+D42)</f>
        <v>0</v>
      </c>
      <c r="E44" s="39">
        <f>SUM(E35+E42)</f>
        <v>16063</v>
      </c>
    </row>
    <row r="45" spans="1:5" ht="12.75" customHeight="1">
      <c r="A45" s="61"/>
      <c r="B45" s="62"/>
      <c r="C45" s="36"/>
      <c r="D45" s="68"/>
      <c r="E45" s="36"/>
    </row>
    <row r="46" spans="1:5" s="71" customFormat="1" ht="12.75" customHeight="1">
      <c r="A46" s="30"/>
      <c r="B46" s="31" t="s">
        <v>3718</v>
      </c>
      <c r="C46" s="36">
        <v>8503</v>
      </c>
      <c r="D46" s="68"/>
      <c r="E46" s="36">
        <v>4018</v>
      </c>
    </row>
    <row r="47" spans="1:5" s="67" customFormat="1" ht="12.75" customHeight="1">
      <c r="A47" s="30"/>
      <c r="B47" s="31" t="s">
        <v>3729</v>
      </c>
      <c r="C47" s="36">
        <v>1000</v>
      </c>
      <c r="D47" s="68"/>
      <c r="E47" s="36">
        <v>2000</v>
      </c>
    </row>
    <row r="48" spans="1:5" s="67" customFormat="1" ht="12.75" customHeight="1">
      <c r="A48" s="30"/>
      <c r="B48" s="31" t="s">
        <v>3730</v>
      </c>
      <c r="C48" s="36">
        <v>3754</v>
      </c>
      <c r="D48" s="68"/>
      <c r="E48" s="36">
        <v>9416</v>
      </c>
    </row>
    <row r="49" spans="1:5" s="67" customFormat="1" ht="12.75" customHeight="1">
      <c r="A49" s="30"/>
      <c r="B49" s="31" t="s">
        <v>3731</v>
      </c>
      <c r="C49" s="36">
        <v>31</v>
      </c>
      <c r="D49" s="68"/>
      <c r="E49" s="36">
        <v>-385</v>
      </c>
    </row>
    <row r="50" spans="1:5" s="67" customFormat="1" ht="12.75" customHeight="1">
      <c r="A50" s="30"/>
      <c r="B50" s="31" t="s">
        <v>3732</v>
      </c>
      <c r="C50" s="36">
        <v>1504</v>
      </c>
      <c r="D50" s="68"/>
      <c r="E50" s="36">
        <v>672</v>
      </c>
    </row>
    <row r="51" spans="1:5" s="67" customFormat="1" ht="12.75" customHeight="1">
      <c r="A51" s="30"/>
      <c r="B51" s="31" t="s">
        <v>3719</v>
      </c>
      <c r="C51" s="36">
        <v>4291</v>
      </c>
      <c r="D51" s="68"/>
      <c r="E51" s="36">
        <v>-251</v>
      </c>
    </row>
    <row r="52" spans="1:5" ht="12.75" customHeight="1">
      <c r="A52" s="61"/>
      <c r="B52" s="62"/>
      <c r="C52" s="36"/>
      <c r="D52" s="68"/>
      <c r="E52" s="36"/>
    </row>
    <row r="53" spans="1:5" s="67" customFormat="1" ht="12.75" customHeight="1">
      <c r="A53" s="27" t="s">
        <v>3827</v>
      </c>
      <c r="C53" s="39">
        <f>SUM(C44:C51)</f>
        <v>26413</v>
      </c>
      <c r="D53" s="39">
        <f>SUM(D44:D51)</f>
        <v>0</v>
      </c>
      <c r="E53" s="39">
        <f>SUM(E44:E51)</f>
        <v>31533</v>
      </c>
    </row>
    <row r="54" spans="1:5" ht="12.75" customHeight="1">
      <c r="A54" s="61"/>
      <c r="B54" s="62"/>
      <c r="C54" s="36"/>
      <c r="D54" s="68"/>
      <c r="E54" s="36"/>
    </row>
    <row r="55" spans="1:5" s="73" customFormat="1" ht="12.75" customHeight="1">
      <c r="A55" s="27" t="s">
        <v>3782</v>
      </c>
      <c r="C55" s="39">
        <f>E57</f>
        <v>318447</v>
      </c>
      <c r="D55" s="69"/>
      <c r="E55" s="39">
        <v>286914</v>
      </c>
    </row>
    <row r="56" spans="1:5" ht="12.75" customHeight="1">
      <c r="A56" s="61"/>
      <c r="B56" s="62"/>
      <c r="C56" s="32"/>
      <c r="E56" s="32"/>
    </row>
    <row r="57" spans="1:5" s="73" customFormat="1" ht="12.75" customHeight="1">
      <c r="A57" s="27" t="s">
        <v>3733</v>
      </c>
      <c r="B57" s="74"/>
      <c r="C57" s="41">
        <f>C55+C53</f>
        <v>344860</v>
      </c>
      <c r="D57" s="75"/>
      <c r="E57" s="41">
        <f>E55+E53</f>
        <v>318447</v>
      </c>
    </row>
    <row r="58" spans="1:5" s="67" customFormat="1" ht="12.75">
      <c r="A58" s="2"/>
      <c r="B58" s="2"/>
      <c r="C58" s="2"/>
      <c r="D58" s="2"/>
      <c r="E58" s="76"/>
    </row>
    <row r="59" spans="1:256" s="44" customFormat="1" ht="12.75">
      <c r="A59" s="115"/>
      <c r="B59" s="115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  <c r="AA59" s="115"/>
      <c r="AB59" s="115"/>
      <c r="AC59" s="115"/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15"/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5"/>
      <c r="CF59" s="115"/>
      <c r="CG59" s="115"/>
      <c r="CH59" s="115"/>
      <c r="CI59" s="115"/>
      <c r="CJ59" s="115"/>
      <c r="CK59" s="115"/>
      <c r="CL59" s="115"/>
      <c r="CM59" s="115"/>
      <c r="CN59" s="115"/>
      <c r="CO59" s="115"/>
      <c r="CP59" s="115"/>
      <c r="CQ59" s="115"/>
      <c r="CR59" s="115"/>
      <c r="CS59" s="115"/>
      <c r="CT59" s="115"/>
      <c r="CU59" s="115"/>
      <c r="CV59" s="115"/>
      <c r="CW59" s="115"/>
      <c r="CX59" s="115"/>
      <c r="CY59" s="115"/>
      <c r="CZ59" s="115"/>
      <c r="DA59" s="115"/>
      <c r="DB59" s="115"/>
      <c r="DC59" s="115"/>
      <c r="DD59" s="115"/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W59" s="115"/>
      <c r="DX59" s="115"/>
      <c r="DY59" s="115"/>
      <c r="DZ59" s="115"/>
      <c r="EA59" s="115"/>
      <c r="EB59" s="115"/>
      <c r="EC59" s="115"/>
      <c r="ED59" s="115"/>
      <c r="EE59" s="115"/>
      <c r="EF59" s="115"/>
      <c r="EG59" s="115"/>
      <c r="EH59" s="115"/>
      <c r="EI59" s="115"/>
      <c r="EJ59" s="115"/>
      <c r="EK59" s="115"/>
      <c r="EL59" s="115"/>
      <c r="EM59" s="115"/>
      <c r="EN59" s="115"/>
      <c r="EO59" s="115"/>
      <c r="EP59" s="115"/>
      <c r="EQ59" s="115"/>
      <c r="ER59" s="115"/>
      <c r="ES59" s="115"/>
      <c r="ET59" s="115"/>
      <c r="EU59" s="115"/>
      <c r="EV59" s="115"/>
      <c r="EW59" s="115"/>
      <c r="EX59" s="115"/>
      <c r="EY59" s="115"/>
      <c r="EZ59" s="115"/>
      <c r="FA59" s="115"/>
      <c r="FB59" s="115"/>
      <c r="FC59" s="115"/>
      <c r="FD59" s="115"/>
      <c r="FE59" s="115"/>
      <c r="FF59" s="115"/>
      <c r="FG59" s="115"/>
      <c r="FH59" s="115"/>
      <c r="FI59" s="115"/>
      <c r="FJ59" s="115"/>
      <c r="FK59" s="115"/>
      <c r="FL59" s="115"/>
      <c r="FM59" s="115"/>
      <c r="FN59" s="115"/>
      <c r="FO59" s="115"/>
      <c r="FP59" s="115"/>
      <c r="FQ59" s="115"/>
      <c r="FR59" s="115"/>
      <c r="FS59" s="115"/>
      <c r="FT59" s="115"/>
      <c r="FU59" s="115"/>
      <c r="FV59" s="115"/>
      <c r="FW59" s="115"/>
      <c r="FX59" s="115"/>
      <c r="FY59" s="115"/>
      <c r="FZ59" s="115"/>
      <c r="GA59" s="115"/>
      <c r="GB59" s="115"/>
      <c r="GC59" s="115"/>
      <c r="GD59" s="115"/>
      <c r="GE59" s="115"/>
      <c r="GF59" s="115"/>
      <c r="GG59" s="115"/>
      <c r="GH59" s="115"/>
      <c r="GI59" s="115"/>
      <c r="GJ59" s="115"/>
      <c r="GK59" s="115"/>
      <c r="GL59" s="115"/>
      <c r="GM59" s="115"/>
      <c r="GN59" s="115"/>
      <c r="GO59" s="115"/>
      <c r="GP59" s="115"/>
      <c r="GQ59" s="115"/>
      <c r="GR59" s="115"/>
      <c r="GS59" s="115"/>
      <c r="GT59" s="115"/>
      <c r="GU59" s="115"/>
      <c r="GV59" s="115"/>
      <c r="GW59" s="115"/>
      <c r="GX59" s="115"/>
      <c r="GY59" s="115"/>
      <c r="GZ59" s="115"/>
      <c r="HA59" s="115"/>
      <c r="HB59" s="115"/>
      <c r="HC59" s="115"/>
      <c r="HD59" s="115"/>
      <c r="HE59" s="115"/>
      <c r="HF59" s="115"/>
      <c r="HG59" s="115"/>
      <c r="HH59" s="115"/>
      <c r="HI59" s="115"/>
      <c r="HJ59" s="115"/>
      <c r="HK59" s="115"/>
      <c r="HL59" s="115"/>
      <c r="HM59" s="115"/>
      <c r="HN59" s="115"/>
      <c r="HO59" s="115"/>
      <c r="HP59" s="115"/>
      <c r="HQ59" s="115"/>
      <c r="HR59" s="115"/>
      <c r="HS59" s="115"/>
      <c r="HT59" s="115"/>
      <c r="HU59" s="115"/>
      <c r="HV59" s="115"/>
      <c r="HW59" s="115"/>
      <c r="HX59" s="115"/>
      <c r="HY59" s="115"/>
      <c r="HZ59" s="115"/>
      <c r="IA59" s="115"/>
      <c r="IB59" s="115"/>
      <c r="IC59" s="115"/>
      <c r="ID59" s="115"/>
      <c r="IE59" s="115"/>
      <c r="IF59" s="115"/>
      <c r="IG59" s="115"/>
      <c r="IH59" s="115"/>
      <c r="II59" s="115"/>
      <c r="IJ59" s="115"/>
      <c r="IK59" s="115"/>
      <c r="IL59" s="115"/>
      <c r="IM59" s="115"/>
      <c r="IN59" s="115"/>
      <c r="IO59" s="115"/>
      <c r="IP59" s="115"/>
      <c r="IQ59" s="115"/>
      <c r="IR59" s="115"/>
      <c r="IS59" s="115"/>
      <c r="IT59" s="115"/>
      <c r="IU59" s="115"/>
      <c r="IV59" s="115"/>
    </row>
    <row r="60" spans="1:4" s="67" customFormat="1" ht="12.75">
      <c r="A60" s="2"/>
      <c r="B60" s="2"/>
      <c r="C60" s="2"/>
      <c r="D60" s="2"/>
    </row>
    <row r="61" spans="1:4" s="67" customFormat="1" ht="12.75">
      <c r="A61" s="2"/>
      <c r="B61" s="2"/>
      <c r="C61" s="2"/>
      <c r="D61" s="2"/>
    </row>
    <row r="62" spans="1:4" s="67" customFormat="1" ht="12.75">
      <c r="A62" s="2"/>
      <c r="B62" s="2"/>
      <c r="C62" s="2"/>
      <c r="D62" s="2"/>
    </row>
    <row r="63" spans="1:4" s="67" customFormat="1" ht="12.75">
      <c r="A63" s="2"/>
      <c r="B63" s="2"/>
      <c r="C63" s="2"/>
      <c r="D63" s="2"/>
    </row>
    <row r="64" spans="1:4" s="67" customFormat="1" ht="12.75">
      <c r="A64" s="2"/>
      <c r="B64" s="2"/>
      <c r="C64" s="2"/>
      <c r="D64" s="2"/>
    </row>
    <row r="65" spans="1:4" s="67" customFormat="1" ht="12.75">
      <c r="A65" s="2"/>
      <c r="B65" s="2"/>
      <c r="C65" s="2"/>
      <c r="D65" s="2"/>
    </row>
    <row r="66" spans="2:4" s="67" customFormat="1" ht="12.75">
      <c r="B66" s="2"/>
      <c r="C66" s="2"/>
      <c r="D66" s="2"/>
    </row>
    <row r="67" spans="1:4" s="67" customFormat="1" ht="12.75">
      <c r="A67" s="2"/>
      <c r="B67" s="2"/>
      <c r="C67" s="2"/>
      <c r="D67" s="2"/>
    </row>
    <row r="68" spans="1:4" s="67" customFormat="1" ht="12.75">
      <c r="A68" s="2"/>
      <c r="B68" s="2"/>
      <c r="C68" s="2"/>
      <c r="D68" s="2"/>
    </row>
    <row r="69" spans="1:4" s="67" customFormat="1" ht="12.75">
      <c r="A69" s="2"/>
      <c r="B69" s="2"/>
      <c r="C69" s="2"/>
      <c r="D69" s="2"/>
    </row>
    <row r="70" spans="1:4" s="67" customFormat="1" ht="12.75">
      <c r="A70" s="2"/>
      <c r="B70" s="2"/>
      <c r="C70" s="2"/>
      <c r="D70" s="2"/>
    </row>
    <row r="71" spans="1:4" s="67" customFormat="1" ht="12.75">
      <c r="A71" s="2"/>
      <c r="B71" s="2"/>
      <c r="C71" s="2"/>
      <c r="D71" s="2"/>
    </row>
    <row r="72" spans="1:4" s="67" customFormat="1" ht="12.75">
      <c r="A72" s="2"/>
      <c r="B72" s="2"/>
      <c r="C72" s="2"/>
      <c r="D72" s="2"/>
    </row>
    <row r="73" spans="1:4" s="67" customFormat="1" ht="12.75">
      <c r="A73" s="2"/>
      <c r="B73" s="2"/>
      <c r="C73" s="2"/>
      <c r="D73" s="2"/>
    </row>
    <row r="74" spans="1:4" s="67" customFormat="1" ht="12.75">
      <c r="A74" s="2"/>
      <c r="B74" s="2"/>
      <c r="C74" s="2"/>
      <c r="D74" s="2"/>
    </row>
    <row r="75" spans="1:4" s="67" customFormat="1" ht="12.75">
      <c r="A75" s="2"/>
      <c r="B75" s="2"/>
      <c r="C75" s="2"/>
      <c r="D75" s="2"/>
    </row>
    <row r="76" spans="1:4" s="67" customFormat="1" ht="12.75">
      <c r="A76" s="2"/>
      <c r="B76" s="2"/>
      <c r="C76" s="2"/>
      <c r="D76" s="2"/>
    </row>
    <row r="77" spans="1:4" s="67" customFormat="1" ht="12.75">
      <c r="A77" s="2"/>
      <c r="B77" s="2"/>
      <c r="C77" s="2"/>
      <c r="D77" s="2"/>
    </row>
    <row r="78" spans="1:4" s="67" customFormat="1" ht="12.75">
      <c r="A78" s="2"/>
      <c r="B78" s="2"/>
      <c r="C78" s="2"/>
      <c r="D78" s="2"/>
    </row>
    <row r="79" spans="1:4" s="67" customFormat="1" ht="12.75">
      <c r="A79" s="2"/>
      <c r="B79" s="2"/>
      <c r="C79" s="2"/>
      <c r="D79" s="2"/>
    </row>
    <row r="80" spans="1:4" s="67" customFormat="1" ht="12.75">
      <c r="A80" s="2"/>
      <c r="B80" s="2"/>
      <c r="C80" s="2"/>
      <c r="D80" s="2"/>
    </row>
    <row r="81" spans="1:4" s="67" customFormat="1" ht="12.75">
      <c r="A81" s="2"/>
      <c r="B81" s="2"/>
      <c r="C81" s="2"/>
      <c r="D81" s="2"/>
    </row>
    <row r="82" spans="1:4" s="67" customFormat="1" ht="12.75">
      <c r="A82" s="2"/>
      <c r="B82" s="2"/>
      <c r="C82" s="2"/>
      <c r="D82" s="2"/>
    </row>
    <row r="83" spans="1:4" s="67" customFormat="1" ht="12.75">
      <c r="A83" s="2"/>
      <c r="B83" s="2"/>
      <c r="C83" s="2"/>
      <c r="D83" s="2"/>
    </row>
    <row r="84" spans="1:4" s="67" customFormat="1" ht="12.75">
      <c r="A84" s="2"/>
      <c r="B84" s="2"/>
      <c r="C84" s="2"/>
      <c r="D84" s="2"/>
    </row>
    <row r="85" spans="1:4" s="67" customFormat="1" ht="12.75">
      <c r="A85" s="2"/>
      <c r="B85" s="2"/>
      <c r="C85" s="2"/>
      <c r="D85" s="2"/>
    </row>
    <row r="86" spans="1:4" s="67" customFormat="1" ht="12.75">
      <c r="A86" s="2"/>
      <c r="B86" s="2"/>
      <c r="C86" s="2"/>
      <c r="D86" s="2"/>
    </row>
    <row r="87" spans="1:4" s="67" customFormat="1" ht="12.75">
      <c r="A87" s="2"/>
      <c r="B87" s="2"/>
      <c r="C87" s="2"/>
      <c r="D87" s="2"/>
    </row>
    <row r="88" spans="1:4" s="67" customFormat="1" ht="12.75">
      <c r="A88" s="2"/>
      <c r="B88" s="2"/>
      <c r="C88" s="2"/>
      <c r="D88" s="2"/>
    </row>
    <row r="89" spans="1:4" s="67" customFormat="1" ht="12.75">
      <c r="A89" s="2"/>
      <c r="B89" s="2"/>
      <c r="C89" s="2"/>
      <c r="D89" s="2"/>
    </row>
    <row r="90" spans="1:4" s="67" customFormat="1" ht="12.75">
      <c r="A90" s="2"/>
      <c r="B90" s="2"/>
      <c r="C90" s="2"/>
      <c r="D90" s="2"/>
    </row>
    <row r="91" spans="1:4" s="67" customFormat="1" ht="12.75">
      <c r="A91" s="2"/>
      <c r="B91" s="2"/>
      <c r="C91" s="2"/>
      <c r="D91" s="2"/>
    </row>
    <row r="92" spans="1:4" s="67" customFormat="1" ht="12.75">
      <c r="A92" s="2"/>
      <c r="B92" s="2"/>
      <c r="C92" s="2"/>
      <c r="D92" s="2"/>
    </row>
    <row r="93" spans="1:4" s="67" customFormat="1" ht="12.75">
      <c r="A93" s="2"/>
      <c r="B93" s="2"/>
      <c r="C93" s="2"/>
      <c r="D93" s="2"/>
    </row>
    <row r="94" spans="1:4" s="67" customFormat="1" ht="12.75">
      <c r="A94" s="2"/>
      <c r="B94" s="2"/>
      <c r="C94" s="2"/>
      <c r="D94" s="2"/>
    </row>
    <row r="95" spans="1:4" s="67" customFormat="1" ht="12.75">
      <c r="A95" s="2"/>
      <c r="B95" s="2"/>
      <c r="C95" s="2"/>
      <c r="D95" s="2"/>
    </row>
    <row r="96" spans="1:4" s="67" customFormat="1" ht="12.75">
      <c r="A96" s="2"/>
      <c r="B96" s="2"/>
      <c r="C96" s="2"/>
      <c r="D96" s="2"/>
    </row>
    <row r="97" spans="1:4" s="67" customFormat="1" ht="12.75">
      <c r="A97" s="2"/>
      <c r="B97" s="2"/>
      <c r="C97" s="2"/>
      <c r="D97" s="2"/>
    </row>
    <row r="98" spans="1:4" s="67" customFormat="1" ht="12.75">
      <c r="A98" s="2"/>
      <c r="B98" s="2"/>
      <c r="C98" s="2"/>
      <c r="D98" s="2"/>
    </row>
    <row r="99" spans="1:4" s="67" customFormat="1" ht="12.75">
      <c r="A99" s="2"/>
      <c r="B99" s="2"/>
      <c r="C99" s="2"/>
      <c r="D99" s="2"/>
    </row>
    <row r="100" spans="1:4" s="67" customFormat="1" ht="12.75">
      <c r="A100" s="2"/>
      <c r="B100" s="2"/>
      <c r="C100" s="2"/>
      <c r="D100" s="2"/>
    </row>
    <row r="101" spans="1:4" s="67" customFormat="1" ht="12.75">
      <c r="A101" s="2"/>
      <c r="B101" s="2"/>
      <c r="C101" s="2"/>
      <c r="D101" s="2"/>
    </row>
    <row r="102" spans="1:4" s="67" customFormat="1" ht="12.75">
      <c r="A102" s="2"/>
      <c r="B102" s="2"/>
      <c r="C102" s="2"/>
      <c r="D102" s="2"/>
    </row>
    <row r="103" spans="1:4" s="67" customFormat="1" ht="12.75">
      <c r="A103" s="2"/>
      <c r="B103" s="2"/>
      <c r="C103" s="2"/>
      <c r="D103" s="2"/>
    </row>
    <row r="104" spans="1:4" s="67" customFormat="1" ht="12.75">
      <c r="A104" s="2"/>
      <c r="B104" s="2"/>
      <c r="C104" s="2"/>
      <c r="D104" s="2"/>
    </row>
    <row r="105" spans="1:4" s="67" customFormat="1" ht="12.75">
      <c r="A105" s="2"/>
      <c r="B105" s="2"/>
      <c r="C105" s="2"/>
      <c r="D105" s="2"/>
    </row>
    <row r="106" spans="1:4" s="67" customFormat="1" ht="12.75">
      <c r="A106" s="2"/>
      <c r="B106" s="2"/>
      <c r="C106" s="2"/>
      <c r="D106" s="2"/>
    </row>
    <row r="107" spans="1:4" s="67" customFormat="1" ht="12.75">
      <c r="A107" s="2"/>
      <c r="B107" s="2"/>
      <c r="C107" s="2"/>
      <c r="D107" s="2"/>
    </row>
    <row r="108" spans="1:4" s="67" customFormat="1" ht="12.75">
      <c r="A108" s="2"/>
      <c r="B108" s="2"/>
      <c r="C108" s="2"/>
      <c r="D108" s="2"/>
    </row>
    <row r="109" spans="1:4" s="67" customFormat="1" ht="12.75">
      <c r="A109" s="2"/>
      <c r="B109" s="2"/>
      <c r="C109" s="2"/>
      <c r="D109" s="2"/>
    </row>
    <row r="110" spans="1:4" s="67" customFormat="1" ht="12.75">
      <c r="A110" s="2"/>
      <c r="B110" s="2"/>
      <c r="C110" s="2"/>
      <c r="D110" s="2"/>
    </row>
    <row r="111" spans="1:4" s="67" customFormat="1" ht="12.75">
      <c r="A111" s="2"/>
      <c r="B111" s="2"/>
      <c r="C111" s="2"/>
      <c r="D111" s="2"/>
    </row>
    <row r="112" spans="1:4" s="67" customFormat="1" ht="12.75">
      <c r="A112" s="2"/>
      <c r="B112" s="2"/>
      <c r="C112" s="2"/>
      <c r="D112" s="2"/>
    </row>
    <row r="113" spans="1:4" s="67" customFormat="1" ht="12.75">
      <c r="A113" s="2"/>
      <c r="B113" s="2"/>
      <c r="C113" s="2"/>
      <c r="D113" s="2"/>
    </row>
    <row r="114" spans="1:4" s="67" customFormat="1" ht="12.75">
      <c r="A114" s="2"/>
      <c r="B114" s="2"/>
      <c r="C114" s="2"/>
      <c r="D114" s="2"/>
    </row>
    <row r="115" spans="1:4" s="67" customFormat="1" ht="12.75">
      <c r="A115" s="2"/>
      <c r="B115" s="2"/>
      <c r="C115" s="2"/>
      <c r="D115" s="2"/>
    </row>
    <row r="116" spans="1:4" s="67" customFormat="1" ht="12.75">
      <c r="A116" s="2"/>
      <c r="B116" s="2"/>
      <c r="C116" s="2"/>
      <c r="D116" s="2"/>
    </row>
    <row r="117" spans="1:4" s="67" customFormat="1" ht="12.75">
      <c r="A117" s="2"/>
      <c r="B117" s="2"/>
      <c r="C117" s="2"/>
      <c r="D117" s="2"/>
    </row>
    <row r="118" spans="1:4" s="67" customFormat="1" ht="12.75">
      <c r="A118" s="2"/>
      <c r="B118" s="2"/>
      <c r="C118" s="2"/>
      <c r="D118" s="2"/>
    </row>
    <row r="119" spans="1:4" s="67" customFormat="1" ht="12.75">
      <c r="A119" s="2"/>
      <c r="B119" s="2"/>
      <c r="C119" s="2"/>
      <c r="D119" s="2"/>
    </row>
    <row r="120" spans="1:4" s="67" customFormat="1" ht="12.75">
      <c r="A120" s="2"/>
      <c r="B120" s="2"/>
      <c r="C120" s="2"/>
      <c r="D120" s="2"/>
    </row>
    <row r="121" spans="1:4" s="67" customFormat="1" ht="12.75">
      <c r="A121" s="2"/>
      <c r="B121" s="2"/>
      <c r="C121" s="2"/>
      <c r="D121" s="2"/>
    </row>
    <row r="122" spans="1:4" s="67" customFormat="1" ht="12.75">
      <c r="A122" s="2"/>
      <c r="B122" s="2"/>
      <c r="C122" s="2"/>
      <c r="D122" s="2"/>
    </row>
    <row r="123" spans="1:4" s="67" customFormat="1" ht="12.75">
      <c r="A123" s="2"/>
      <c r="B123" s="2"/>
      <c r="C123" s="2"/>
      <c r="D123" s="2"/>
    </row>
    <row r="124" spans="1:4" s="67" customFormat="1" ht="12.75">
      <c r="A124" s="2"/>
      <c r="B124" s="2"/>
      <c r="C124" s="2"/>
      <c r="D124" s="2"/>
    </row>
    <row r="125" spans="1:4" s="67" customFormat="1" ht="12.75">
      <c r="A125" s="2"/>
      <c r="B125" s="2"/>
      <c r="C125" s="2"/>
      <c r="D125" s="2"/>
    </row>
    <row r="126" spans="1:4" s="67" customFormat="1" ht="12.75">
      <c r="A126" s="2"/>
      <c r="B126" s="2"/>
      <c r="C126" s="2"/>
      <c r="D126" s="2"/>
    </row>
    <row r="127" spans="1:4" s="67" customFormat="1" ht="12.75">
      <c r="A127" s="2"/>
      <c r="B127" s="2"/>
      <c r="C127" s="2"/>
      <c r="D127" s="2"/>
    </row>
    <row r="128" spans="1:4" s="67" customFormat="1" ht="12.75">
      <c r="A128" s="2"/>
      <c r="B128" s="2"/>
      <c r="C128" s="2"/>
      <c r="D128" s="2"/>
    </row>
    <row r="129" spans="1:4" s="67" customFormat="1" ht="12.75">
      <c r="A129" s="2"/>
      <c r="B129" s="2"/>
      <c r="C129" s="2"/>
      <c r="D129" s="2"/>
    </row>
    <row r="130" spans="1:4" s="67" customFormat="1" ht="12.75">
      <c r="A130" s="2"/>
      <c r="B130" s="2"/>
      <c r="C130" s="2"/>
      <c r="D130" s="2"/>
    </row>
    <row r="131" spans="1:4" s="67" customFormat="1" ht="12.75">
      <c r="A131" s="2"/>
      <c r="B131" s="2"/>
      <c r="C131" s="2"/>
      <c r="D131" s="2"/>
    </row>
    <row r="132" spans="1:4" s="67" customFormat="1" ht="12.75">
      <c r="A132" s="2"/>
      <c r="B132" s="2"/>
      <c r="C132" s="2"/>
      <c r="D132" s="2"/>
    </row>
    <row r="133" spans="1:4" s="67" customFormat="1" ht="12.75">
      <c r="A133" s="2"/>
      <c r="B133" s="2"/>
      <c r="C133" s="2"/>
      <c r="D133" s="2"/>
    </row>
    <row r="134" spans="1:4" s="67" customFormat="1" ht="12.75">
      <c r="A134" s="2"/>
      <c r="B134" s="2"/>
      <c r="C134" s="2"/>
      <c r="D134" s="2"/>
    </row>
    <row r="135" spans="1:4" s="67" customFormat="1" ht="12.75">
      <c r="A135" s="2"/>
      <c r="B135" s="2"/>
      <c r="C135" s="2"/>
      <c r="D135" s="2"/>
    </row>
    <row r="136" spans="1:4" s="67" customFormat="1" ht="12.75">
      <c r="A136" s="2"/>
      <c r="B136" s="2"/>
      <c r="C136" s="2"/>
      <c r="D136" s="2"/>
    </row>
    <row r="137" spans="1:4" s="67" customFormat="1" ht="12.75">
      <c r="A137" s="2"/>
      <c r="B137" s="2"/>
      <c r="C137" s="2"/>
      <c r="D137" s="2"/>
    </row>
    <row r="138" spans="1:4" s="67" customFormat="1" ht="12.75">
      <c r="A138" s="2"/>
      <c r="B138" s="2"/>
      <c r="C138" s="2"/>
      <c r="D138" s="2"/>
    </row>
    <row r="139" spans="1:4" s="67" customFormat="1" ht="12.75">
      <c r="A139" s="2"/>
      <c r="B139" s="2"/>
      <c r="C139" s="2"/>
      <c r="D139" s="2"/>
    </row>
    <row r="140" spans="1:4" s="67" customFormat="1" ht="12.75">
      <c r="A140" s="2"/>
      <c r="B140" s="2"/>
      <c r="C140" s="2"/>
      <c r="D140" s="2"/>
    </row>
    <row r="141" spans="1:4" s="67" customFormat="1" ht="12.75">
      <c r="A141" s="2"/>
      <c r="B141" s="2"/>
      <c r="C141" s="2"/>
      <c r="D141" s="2"/>
    </row>
    <row r="142" spans="1:4" s="67" customFormat="1" ht="12.75">
      <c r="A142" s="2"/>
      <c r="B142" s="2"/>
      <c r="C142" s="2"/>
      <c r="D142" s="2"/>
    </row>
    <row r="143" spans="1:4" s="67" customFormat="1" ht="12.75">
      <c r="A143" s="2"/>
      <c r="B143" s="2"/>
      <c r="C143" s="2"/>
      <c r="D143" s="2"/>
    </row>
    <row r="144" spans="1:4" s="67" customFormat="1" ht="12.75">
      <c r="A144" s="2"/>
      <c r="B144" s="2"/>
      <c r="C144" s="2"/>
      <c r="D144" s="2"/>
    </row>
    <row r="145" spans="1:4" s="67" customFormat="1" ht="12.75">
      <c r="A145" s="2"/>
      <c r="B145" s="2"/>
      <c r="C145" s="2"/>
      <c r="D145" s="2"/>
    </row>
    <row r="146" spans="1:4" s="67" customFormat="1" ht="12.75">
      <c r="A146" s="2"/>
      <c r="B146" s="2"/>
      <c r="C146" s="2"/>
      <c r="D146" s="2"/>
    </row>
    <row r="147" spans="1:4" s="67" customFormat="1" ht="12.75">
      <c r="A147" s="2"/>
      <c r="B147" s="2"/>
      <c r="C147" s="2"/>
      <c r="D147" s="2"/>
    </row>
    <row r="148" spans="1:4" s="67" customFormat="1" ht="12.75">
      <c r="A148" s="2"/>
      <c r="B148" s="2"/>
      <c r="C148" s="2"/>
      <c r="D148" s="2"/>
    </row>
    <row r="149" spans="1:4" s="67" customFormat="1" ht="12.75">
      <c r="A149" s="2"/>
      <c r="B149" s="2"/>
      <c r="C149" s="2"/>
      <c r="D149" s="2"/>
    </row>
    <row r="150" spans="1:4" s="67" customFormat="1" ht="12.75">
      <c r="A150" s="2"/>
      <c r="B150" s="2"/>
      <c r="C150" s="2"/>
      <c r="D150" s="2"/>
    </row>
    <row r="151" spans="1:4" s="67" customFormat="1" ht="12.75">
      <c r="A151" s="2"/>
      <c r="B151" s="2"/>
      <c r="C151" s="2"/>
      <c r="D151" s="2"/>
    </row>
    <row r="152" spans="1:4" s="67" customFormat="1" ht="12.75">
      <c r="A152" s="2"/>
      <c r="B152" s="2"/>
      <c r="C152" s="2"/>
      <c r="D152" s="2"/>
    </row>
    <row r="153" spans="1:4" s="67" customFormat="1" ht="12.75">
      <c r="A153" s="2"/>
      <c r="B153" s="2"/>
      <c r="C153" s="2"/>
      <c r="D153" s="2"/>
    </row>
    <row r="154" spans="1:4" s="67" customFormat="1" ht="12.75">
      <c r="A154" s="2"/>
      <c r="B154" s="2"/>
      <c r="C154" s="2"/>
      <c r="D154" s="2"/>
    </row>
    <row r="155" spans="1:4" s="67" customFormat="1" ht="12.75">
      <c r="A155" s="2"/>
      <c r="B155" s="2"/>
      <c r="C155" s="2"/>
      <c r="D155" s="2"/>
    </row>
    <row r="156" spans="1:4" s="67" customFormat="1" ht="12.75">
      <c r="A156" s="2"/>
      <c r="B156" s="2"/>
      <c r="C156" s="2"/>
      <c r="D156" s="2"/>
    </row>
    <row r="157" spans="1:4" s="67" customFormat="1" ht="12.75">
      <c r="A157" s="2"/>
      <c r="B157" s="2"/>
      <c r="C157" s="2"/>
      <c r="D157" s="2"/>
    </row>
    <row r="158" spans="1:4" s="67" customFormat="1" ht="12.75">
      <c r="A158" s="2"/>
      <c r="B158" s="2"/>
      <c r="C158" s="2"/>
      <c r="D158" s="2"/>
    </row>
    <row r="159" spans="1:4" s="67" customFormat="1" ht="12.75">
      <c r="A159" s="2"/>
      <c r="B159" s="2"/>
      <c r="C159" s="2"/>
      <c r="D159" s="2"/>
    </row>
    <row r="160" spans="1:4" s="67" customFormat="1" ht="12.75">
      <c r="A160" s="2"/>
      <c r="B160" s="2"/>
      <c r="C160" s="2"/>
      <c r="D160" s="2"/>
    </row>
    <row r="161" spans="1:4" s="67" customFormat="1" ht="12.75">
      <c r="A161" s="2"/>
      <c r="B161" s="2"/>
      <c r="C161" s="2"/>
      <c r="D161" s="2"/>
    </row>
    <row r="162" spans="1:4" s="67" customFormat="1" ht="12.75">
      <c r="A162" s="2"/>
      <c r="B162" s="2"/>
      <c r="C162" s="2"/>
      <c r="D162" s="2"/>
    </row>
    <row r="163" spans="1:4" s="67" customFormat="1" ht="12.75">
      <c r="A163" s="2"/>
      <c r="B163" s="2"/>
      <c r="C163" s="2"/>
      <c r="D163" s="2"/>
    </row>
    <row r="164" spans="1:4" s="67" customFormat="1" ht="12.75">
      <c r="A164" s="2"/>
      <c r="B164" s="2"/>
      <c r="C164" s="2"/>
      <c r="D164" s="2"/>
    </row>
    <row r="165" spans="1:4" s="67" customFormat="1" ht="12.75">
      <c r="A165" s="2"/>
      <c r="B165" s="2"/>
      <c r="C165" s="2"/>
      <c r="D165" s="2"/>
    </row>
    <row r="166" spans="1:4" s="67" customFormat="1" ht="12.75">
      <c r="A166" s="2"/>
      <c r="B166" s="2"/>
      <c r="C166" s="2"/>
      <c r="D166" s="2"/>
    </row>
    <row r="167" spans="1:4" s="67" customFormat="1" ht="12.75">
      <c r="A167" s="2"/>
      <c r="B167" s="2"/>
      <c r="C167" s="2"/>
      <c r="D167" s="2"/>
    </row>
    <row r="168" spans="1:4" s="67" customFormat="1" ht="12.75">
      <c r="A168" s="2"/>
      <c r="B168" s="2"/>
      <c r="C168" s="2"/>
      <c r="D168" s="2"/>
    </row>
    <row r="169" spans="1:4" s="67" customFormat="1" ht="12.75">
      <c r="A169" s="2"/>
      <c r="B169" s="2"/>
      <c r="C169" s="2"/>
      <c r="D169" s="2"/>
    </row>
    <row r="170" spans="1:4" s="67" customFormat="1" ht="12.75">
      <c r="A170" s="2"/>
      <c r="B170" s="2"/>
      <c r="C170" s="2"/>
      <c r="D170" s="2"/>
    </row>
    <row r="171" spans="1:4" s="67" customFormat="1" ht="12.75">
      <c r="A171" s="2"/>
      <c r="B171" s="2"/>
      <c r="C171" s="2"/>
      <c r="D171" s="2"/>
    </row>
    <row r="172" spans="1:4" s="67" customFormat="1" ht="12.75">
      <c r="A172" s="2"/>
      <c r="B172" s="2"/>
      <c r="C172" s="2"/>
      <c r="D172" s="2"/>
    </row>
    <row r="173" spans="1:4" s="67" customFormat="1" ht="12.75">
      <c r="A173" s="2"/>
      <c r="B173" s="2"/>
      <c r="C173" s="2"/>
      <c r="D173" s="2"/>
    </row>
    <row r="174" spans="1:4" s="67" customFormat="1" ht="12.75">
      <c r="A174" s="2"/>
      <c r="B174" s="2"/>
      <c r="C174" s="2"/>
      <c r="D174" s="2"/>
    </row>
    <row r="175" spans="1:4" s="67" customFormat="1" ht="12.75">
      <c r="A175" s="2"/>
      <c r="B175" s="2"/>
      <c r="C175" s="2"/>
      <c r="D175" s="2"/>
    </row>
    <row r="176" spans="1:4" s="67" customFormat="1" ht="12.75">
      <c r="A176" s="2"/>
      <c r="B176" s="2"/>
      <c r="C176" s="2"/>
      <c r="D176" s="2"/>
    </row>
    <row r="177" spans="1:4" s="67" customFormat="1" ht="12.75">
      <c r="A177" s="2"/>
      <c r="B177" s="2"/>
      <c r="C177" s="2"/>
      <c r="D177" s="2"/>
    </row>
    <row r="178" spans="1:4" s="67" customFormat="1" ht="12.75">
      <c r="A178" s="2"/>
      <c r="B178" s="2"/>
      <c r="C178" s="2"/>
      <c r="D178" s="2"/>
    </row>
    <row r="179" spans="1:4" s="67" customFormat="1" ht="12.75">
      <c r="A179" s="2"/>
      <c r="B179" s="2"/>
      <c r="C179" s="2"/>
      <c r="D179" s="2"/>
    </row>
    <row r="180" spans="1:4" s="67" customFormat="1" ht="12.75">
      <c r="A180" s="2"/>
      <c r="B180" s="2"/>
      <c r="C180" s="2"/>
      <c r="D180" s="2"/>
    </row>
    <row r="181" spans="1:4" s="67" customFormat="1" ht="12.75">
      <c r="A181" s="2"/>
      <c r="B181" s="2"/>
      <c r="C181" s="2"/>
      <c r="D181" s="2"/>
    </row>
    <row r="182" spans="1:4" s="67" customFormat="1" ht="12.75">
      <c r="A182" s="2"/>
      <c r="B182" s="2"/>
      <c r="C182" s="2"/>
      <c r="D182" s="2"/>
    </row>
    <row r="183" spans="1:4" s="67" customFormat="1" ht="12.75">
      <c r="A183" s="2"/>
      <c r="B183" s="2"/>
      <c r="C183" s="2"/>
      <c r="D183" s="2"/>
    </row>
    <row r="184" spans="1:4" s="67" customFormat="1" ht="12.75">
      <c r="A184" s="2"/>
      <c r="B184" s="2"/>
      <c r="C184" s="2"/>
      <c r="D184" s="2"/>
    </row>
    <row r="185" spans="1:4" s="67" customFormat="1" ht="12.75">
      <c r="A185" s="2"/>
      <c r="B185" s="2"/>
      <c r="C185" s="2"/>
      <c r="D185" s="2"/>
    </row>
    <row r="186" spans="1:4" s="67" customFormat="1" ht="12.75">
      <c r="A186" s="2"/>
      <c r="B186" s="2"/>
      <c r="C186" s="2"/>
      <c r="D186" s="2"/>
    </row>
    <row r="187" spans="1:4" s="67" customFormat="1" ht="12.75">
      <c r="A187" s="2"/>
      <c r="B187" s="2"/>
      <c r="C187" s="2"/>
      <c r="D187" s="2"/>
    </row>
    <row r="188" spans="1:4" s="67" customFormat="1" ht="12.75">
      <c r="A188" s="2"/>
      <c r="B188" s="2"/>
      <c r="C188" s="2"/>
      <c r="D188" s="2"/>
    </row>
    <row r="189" spans="1:4" s="67" customFormat="1" ht="12.75">
      <c r="A189" s="2"/>
      <c r="B189" s="2"/>
      <c r="C189" s="2"/>
      <c r="D189" s="2"/>
    </row>
    <row r="190" spans="1:4" s="67" customFormat="1" ht="12.75">
      <c r="A190" s="2"/>
      <c r="B190" s="2"/>
      <c r="C190" s="2"/>
      <c r="D190" s="2"/>
    </row>
    <row r="191" spans="1:4" s="67" customFormat="1" ht="12.75">
      <c r="A191" s="2"/>
      <c r="B191" s="2"/>
      <c r="C191" s="2"/>
      <c r="D191" s="2"/>
    </row>
    <row r="192" spans="1:4" s="67" customFormat="1" ht="12.75">
      <c r="A192" s="2"/>
      <c r="B192" s="2"/>
      <c r="C192" s="2"/>
      <c r="D192" s="2"/>
    </row>
    <row r="193" spans="1:4" s="67" customFormat="1" ht="12.75">
      <c r="A193" s="2"/>
      <c r="B193" s="2"/>
      <c r="C193" s="2"/>
      <c r="D193" s="2"/>
    </row>
    <row r="194" spans="1:4" s="67" customFormat="1" ht="12.75">
      <c r="A194" s="2"/>
      <c r="B194" s="2"/>
      <c r="C194" s="2"/>
      <c r="D194" s="2"/>
    </row>
    <row r="195" spans="1:4" s="67" customFormat="1" ht="12.75">
      <c r="A195" s="2"/>
      <c r="B195" s="2"/>
      <c r="C195" s="2"/>
      <c r="D195" s="2"/>
    </row>
    <row r="196" spans="1:4" s="67" customFormat="1" ht="12.75">
      <c r="A196" s="2"/>
      <c r="B196" s="2"/>
      <c r="C196" s="2"/>
      <c r="D196" s="2"/>
    </row>
    <row r="197" spans="1:4" s="67" customFormat="1" ht="12.75">
      <c r="A197" s="2"/>
      <c r="B197" s="2"/>
      <c r="C197" s="2"/>
      <c r="D197" s="2"/>
    </row>
    <row r="198" spans="1:4" s="67" customFormat="1" ht="12.75">
      <c r="A198" s="2"/>
      <c r="B198" s="2"/>
      <c r="C198" s="2"/>
      <c r="D198" s="2"/>
    </row>
    <row r="199" spans="1:4" s="67" customFormat="1" ht="12.75">
      <c r="A199" s="2"/>
      <c r="B199" s="2"/>
      <c r="C199" s="2"/>
      <c r="D199" s="2"/>
    </row>
    <row r="200" spans="1:4" s="67" customFormat="1" ht="12.75">
      <c r="A200" s="2"/>
      <c r="B200" s="2"/>
      <c r="C200" s="2"/>
      <c r="D200" s="2"/>
    </row>
    <row r="201" spans="1:4" s="67" customFormat="1" ht="12.75">
      <c r="A201" s="2"/>
      <c r="B201" s="2"/>
      <c r="C201" s="2"/>
      <c r="D201" s="2"/>
    </row>
    <row r="202" spans="1:4" s="67" customFormat="1" ht="12.75">
      <c r="A202" s="2"/>
      <c r="B202" s="2"/>
      <c r="C202" s="2"/>
      <c r="D202" s="2"/>
    </row>
    <row r="203" spans="1:4" s="67" customFormat="1" ht="12.75">
      <c r="A203" s="2"/>
      <c r="B203" s="2"/>
      <c r="C203" s="2"/>
      <c r="D203" s="2"/>
    </row>
    <row r="204" spans="1:4" s="67" customFormat="1" ht="12.75">
      <c r="A204" s="2"/>
      <c r="B204" s="2"/>
      <c r="C204" s="2"/>
      <c r="D204" s="2"/>
    </row>
    <row r="205" spans="1:4" s="67" customFormat="1" ht="12.75">
      <c r="A205" s="2"/>
      <c r="B205" s="2"/>
      <c r="C205" s="2"/>
      <c r="D205" s="2"/>
    </row>
    <row r="206" spans="1:4" s="67" customFormat="1" ht="12.75">
      <c r="A206" s="2"/>
      <c r="B206" s="2"/>
      <c r="C206" s="2"/>
      <c r="D206" s="2"/>
    </row>
    <row r="207" spans="1:4" s="67" customFormat="1" ht="12.75">
      <c r="A207" s="2"/>
      <c r="B207" s="2"/>
      <c r="C207" s="2"/>
      <c r="D207" s="2"/>
    </row>
    <row r="208" spans="1:4" s="67" customFormat="1" ht="12.75">
      <c r="A208" s="2"/>
      <c r="B208" s="2"/>
      <c r="C208" s="2"/>
      <c r="D208" s="2"/>
    </row>
    <row r="209" spans="1:4" s="67" customFormat="1" ht="12.75">
      <c r="A209" s="2"/>
      <c r="B209" s="2"/>
      <c r="C209" s="2"/>
      <c r="D209" s="2"/>
    </row>
    <row r="210" spans="1:4" s="67" customFormat="1" ht="12.75">
      <c r="A210" s="2"/>
      <c r="B210" s="2"/>
      <c r="C210" s="2"/>
      <c r="D210" s="2"/>
    </row>
    <row r="211" spans="1:4" s="67" customFormat="1" ht="12.75">
      <c r="A211" s="2"/>
      <c r="B211" s="2"/>
      <c r="C211" s="2"/>
      <c r="D211" s="2"/>
    </row>
    <row r="212" spans="1:4" s="67" customFormat="1" ht="12.75">
      <c r="A212" s="2"/>
      <c r="B212" s="2"/>
      <c r="C212" s="2"/>
      <c r="D212" s="2"/>
    </row>
    <row r="213" spans="1:4" s="67" customFormat="1" ht="12.75">
      <c r="A213" s="2"/>
      <c r="B213" s="2"/>
      <c r="C213" s="2"/>
      <c r="D213" s="2"/>
    </row>
    <row r="214" spans="1:4" s="67" customFormat="1" ht="12.75">
      <c r="A214" s="2"/>
      <c r="B214" s="2"/>
      <c r="C214" s="2"/>
      <c r="D214" s="2"/>
    </row>
    <row r="215" spans="1:4" s="67" customFormat="1" ht="12.75">
      <c r="A215" s="2"/>
      <c r="B215" s="2"/>
      <c r="C215" s="2"/>
      <c r="D215" s="2"/>
    </row>
    <row r="216" spans="1:4" s="67" customFormat="1" ht="12.75">
      <c r="A216" s="2"/>
      <c r="B216" s="2"/>
      <c r="C216" s="2"/>
      <c r="D216" s="2"/>
    </row>
    <row r="217" spans="1:4" s="67" customFormat="1" ht="12.75">
      <c r="A217" s="2"/>
      <c r="B217" s="2"/>
      <c r="C217" s="2"/>
      <c r="D217" s="2"/>
    </row>
    <row r="218" spans="1:4" s="67" customFormat="1" ht="12.75">
      <c r="A218" s="2"/>
      <c r="B218" s="2"/>
      <c r="C218" s="2"/>
      <c r="D218" s="2"/>
    </row>
    <row r="219" spans="1:4" s="67" customFormat="1" ht="12.75">
      <c r="A219" s="2"/>
      <c r="B219" s="2"/>
      <c r="C219" s="2"/>
      <c r="D219" s="2"/>
    </row>
    <row r="220" spans="1:4" s="67" customFormat="1" ht="12.75">
      <c r="A220" s="2"/>
      <c r="B220" s="2"/>
      <c r="C220" s="2"/>
      <c r="D220" s="2"/>
    </row>
    <row r="221" spans="1:4" s="67" customFormat="1" ht="12.75">
      <c r="A221" s="2"/>
      <c r="B221" s="2"/>
      <c r="C221" s="2"/>
      <c r="D221" s="2"/>
    </row>
    <row r="222" spans="1:4" s="67" customFormat="1" ht="12.75">
      <c r="A222" s="2"/>
      <c r="B222" s="2"/>
      <c r="C222" s="2"/>
      <c r="D222" s="2"/>
    </row>
    <row r="223" spans="1:4" s="67" customFormat="1" ht="12.75">
      <c r="A223" s="2"/>
      <c r="B223" s="2"/>
      <c r="C223" s="2"/>
      <c r="D223" s="2"/>
    </row>
    <row r="224" spans="1:4" s="67" customFormat="1" ht="12.75">
      <c r="A224" s="2"/>
      <c r="B224" s="2"/>
      <c r="C224" s="2"/>
      <c r="D224" s="2"/>
    </row>
    <row r="225" spans="1:4" s="67" customFormat="1" ht="12.75">
      <c r="A225" s="2"/>
      <c r="B225" s="2"/>
      <c r="C225" s="2"/>
      <c r="D225" s="2"/>
    </row>
    <row r="226" spans="1:4" s="67" customFormat="1" ht="12.75">
      <c r="A226" s="2"/>
      <c r="B226" s="2"/>
      <c r="C226" s="2"/>
      <c r="D226" s="2"/>
    </row>
    <row r="227" spans="1:4" s="67" customFormat="1" ht="12.75">
      <c r="A227" s="2"/>
      <c r="B227" s="2"/>
      <c r="C227" s="2"/>
      <c r="D227" s="2"/>
    </row>
    <row r="228" spans="1:4" s="67" customFormat="1" ht="12.75">
      <c r="A228" s="2"/>
      <c r="B228" s="2"/>
      <c r="C228" s="2"/>
      <c r="D228" s="2"/>
    </row>
    <row r="229" spans="1:4" s="67" customFormat="1" ht="12.75">
      <c r="A229" s="2"/>
      <c r="B229" s="2"/>
      <c r="C229" s="2"/>
      <c r="D229" s="2"/>
    </row>
    <row r="230" spans="1:4" s="67" customFormat="1" ht="12.75">
      <c r="A230" s="2"/>
      <c r="B230" s="2"/>
      <c r="C230" s="2"/>
      <c r="D230" s="2"/>
    </row>
    <row r="231" spans="1:4" s="67" customFormat="1" ht="12.75">
      <c r="A231" s="2"/>
      <c r="B231" s="2"/>
      <c r="C231" s="2"/>
      <c r="D231" s="2"/>
    </row>
    <row r="232" spans="1:4" s="67" customFormat="1" ht="12.75">
      <c r="A232" s="2"/>
      <c r="B232" s="2"/>
      <c r="C232" s="2"/>
      <c r="D232" s="2"/>
    </row>
    <row r="233" spans="1:4" s="67" customFormat="1" ht="12.75">
      <c r="A233" s="2"/>
      <c r="B233" s="2"/>
      <c r="C233" s="2"/>
      <c r="D233" s="2"/>
    </row>
    <row r="234" spans="1:4" s="67" customFormat="1" ht="12.75">
      <c r="A234" s="2"/>
      <c r="B234" s="2"/>
      <c r="C234" s="2"/>
      <c r="D234" s="2"/>
    </row>
    <row r="235" spans="1:4" s="67" customFormat="1" ht="12.75">
      <c r="A235" s="2"/>
      <c r="B235" s="2"/>
      <c r="C235" s="2"/>
      <c r="D235" s="2"/>
    </row>
    <row r="236" spans="1:4" s="67" customFormat="1" ht="12.75">
      <c r="A236" s="2"/>
      <c r="B236" s="2"/>
      <c r="C236" s="2"/>
      <c r="D236" s="2"/>
    </row>
    <row r="237" spans="1:4" s="67" customFormat="1" ht="12.75">
      <c r="A237" s="2"/>
      <c r="B237" s="2"/>
      <c r="C237" s="2"/>
      <c r="D237" s="2"/>
    </row>
    <row r="238" spans="1:4" s="67" customFormat="1" ht="12.75">
      <c r="A238" s="2"/>
      <c r="B238" s="2"/>
      <c r="C238" s="2"/>
      <c r="D238" s="2"/>
    </row>
    <row r="239" spans="1:4" s="67" customFormat="1" ht="12.75">
      <c r="A239" s="2"/>
      <c r="B239" s="2"/>
      <c r="C239" s="2"/>
      <c r="D239" s="2"/>
    </row>
    <row r="240" spans="1:4" s="67" customFormat="1" ht="12.75">
      <c r="A240" s="2"/>
      <c r="B240" s="2"/>
      <c r="C240" s="2"/>
      <c r="D240" s="2"/>
    </row>
    <row r="241" spans="1:4" s="67" customFormat="1" ht="12.75">
      <c r="A241" s="2"/>
      <c r="B241" s="2"/>
      <c r="C241" s="2"/>
      <c r="D241" s="2"/>
    </row>
    <row r="242" spans="1:4" s="67" customFormat="1" ht="12.75">
      <c r="A242" s="2"/>
      <c r="B242" s="2"/>
      <c r="C242" s="2"/>
      <c r="D242" s="2"/>
    </row>
    <row r="243" spans="1:4" s="67" customFormat="1" ht="12.75">
      <c r="A243" s="2"/>
      <c r="B243" s="2"/>
      <c r="C243" s="2"/>
      <c r="D243" s="2"/>
    </row>
    <row r="244" spans="1:4" s="67" customFormat="1" ht="12.75">
      <c r="A244" s="2"/>
      <c r="B244" s="2"/>
      <c r="C244" s="2"/>
      <c r="D244" s="2"/>
    </row>
    <row r="245" spans="1:4" s="67" customFormat="1" ht="12.75">
      <c r="A245" s="2"/>
      <c r="B245" s="2"/>
      <c r="C245" s="2"/>
      <c r="D245" s="2"/>
    </row>
    <row r="246" spans="1:4" s="67" customFormat="1" ht="12.75">
      <c r="A246" s="2"/>
      <c r="B246" s="2"/>
      <c r="C246" s="2"/>
      <c r="D246" s="2"/>
    </row>
    <row r="247" spans="1:4" s="67" customFormat="1" ht="12.75">
      <c r="A247" s="2"/>
      <c r="B247" s="2"/>
      <c r="C247" s="2"/>
      <c r="D247" s="2"/>
    </row>
    <row r="248" spans="1:4" s="67" customFormat="1" ht="12.75">
      <c r="A248" s="2"/>
      <c r="B248" s="2"/>
      <c r="C248" s="2"/>
      <c r="D248" s="2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7"/>
  <sheetViews>
    <sheetView workbookViewId="0" topLeftCell="A1">
      <selection activeCell="A4" sqref="A4"/>
    </sheetView>
  </sheetViews>
  <sheetFormatPr defaultColWidth="9.140625" defaultRowHeight="12.75"/>
  <cols>
    <col min="1" max="2" width="2.7109375" style="103" customWidth="1"/>
    <col min="3" max="3" width="65.7109375" style="80" customWidth="1"/>
    <col min="4" max="4" width="14.7109375" style="110" customWidth="1"/>
    <col min="5" max="5" width="14.7109375" style="105" customWidth="1"/>
    <col min="6" max="16384" width="9.140625" style="80" customWidth="1"/>
  </cols>
  <sheetData>
    <row r="1" spans="1:5" ht="15">
      <c r="A1" s="5" t="s">
        <v>3786</v>
      </c>
      <c r="B1" s="77"/>
      <c r="C1" s="77"/>
      <c r="D1" s="78"/>
      <c r="E1" s="79"/>
    </row>
    <row r="2" spans="1:5" ht="15.75">
      <c r="A2" s="11" t="s">
        <v>3698</v>
      </c>
      <c r="B2" s="81"/>
      <c r="C2" s="81"/>
      <c r="D2" s="82"/>
      <c r="E2" s="83"/>
    </row>
    <row r="3" spans="1:5" ht="15.75">
      <c r="A3" s="11" t="s">
        <v>3705</v>
      </c>
      <c r="B3" s="81"/>
      <c r="C3" s="81"/>
      <c r="D3" s="82"/>
      <c r="E3" s="83"/>
    </row>
    <row r="4" spans="1:5" ht="12.75" customHeight="1">
      <c r="A4" s="84" t="s">
        <v>3787</v>
      </c>
      <c r="B4" s="81"/>
      <c r="C4" s="81"/>
      <c r="D4" s="82"/>
      <c r="E4" s="83"/>
    </row>
    <row r="5" spans="1:5" ht="15.75" customHeight="1">
      <c r="A5" s="85"/>
      <c r="B5" s="86"/>
      <c r="C5" s="86"/>
      <c r="D5" s="87">
        <v>2006</v>
      </c>
      <c r="E5" s="88">
        <v>2005</v>
      </c>
    </row>
    <row r="6" spans="1:5" s="94" customFormat="1" ht="12.75" customHeight="1">
      <c r="A6" s="89" t="s">
        <v>3734</v>
      </c>
      <c r="B6" s="90"/>
      <c r="C6" s="91"/>
      <c r="D6" s="92"/>
      <c r="E6" s="93"/>
    </row>
    <row r="7" spans="1:5" ht="12.75" customHeight="1">
      <c r="A7" s="95"/>
      <c r="B7" s="96" t="s">
        <v>3704</v>
      </c>
      <c r="C7" s="97"/>
      <c r="D7" s="98">
        <v>91677</v>
      </c>
      <c r="E7" s="116">
        <v>82365</v>
      </c>
    </row>
    <row r="8" spans="1:5" ht="12.75" customHeight="1">
      <c r="A8" s="95"/>
      <c r="B8" s="96" t="s">
        <v>3735</v>
      </c>
      <c r="C8" s="97"/>
      <c r="D8" s="99">
        <v>42268</v>
      </c>
      <c r="E8" s="117">
        <v>46426</v>
      </c>
    </row>
    <row r="9" spans="1:5" ht="12.75" customHeight="1">
      <c r="A9" s="95"/>
      <c r="B9" s="96" t="s">
        <v>3736</v>
      </c>
      <c r="C9" s="97"/>
      <c r="D9" s="99">
        <v>36986</v>
      </c>
      <c r="E9" s="117">
        <v>34758</v>
      </c>
    </row>
    <row r="10" spans="1:5" ht="12.75" customHeight="1">
      <c r="A10" s="95"/>
      <c r="B10" s="96" t="s">
        <v>3737</v>
      </c>
      <c r="C10" s="97"/>
      <c r="D10" s="99">
        <v>7666</v>
      </c>
      <c r="E10" s="117">
        <v>6919</v>
      </c>
    </row>
    <row r="11" spans="1:5" ht="12.75" customHeight="1">
      <c r="A11" s="95"/>
      <c r="B11" s="96" t="s">
        <v>3738</v>
      </c>
      <c r="C11" s="97"/>
      <c r="D11" s="99">
        <v>3307</v>
      </c>
      <c r="E11" s="117">
        <v>4957</v>
      </c>
    </row>
    <row r="12" spans="1:5" ht="12.75" customHeight="1">
      <c r="A12" s="95"/>
      <c r="B12" s="96" t="s">
        <v>3706</v>
      </c>
      <c r="C12" s="97"/>
      <c r="D12" s="99">
        <v>-61544</v>
      </c>
      <c r="E12" s="117">
        <v>-68483</v>
      </c>
    </row>
    <row r="13" spans="1:5" ht="12.75" customHeight="1">
      <c r="A13" s="95"/>
      <c r="B13" s="96" t="s">
        <v>3707</v>
      </c>
      <c r="C13" s="97"/>
      <c r="D13" s="99">
        <v>-155100</v>
      </c>
      <c r="E13" s="117">
        <v>-149260</v>
      </c>
    </row>
    <row r="14" spans="1:5" ht="12.75" customHeight="1">
      <c r="A14" s="95"/>
      <c r="B14" s="96" t="s">
        <v>3739</v>
      </c>
      <c r="C14" s="97"/>
      <c r="D14" s="99">
        <v>-36667</v>
      </c>
      <c r="E14" s="117">
        <v>-32912</v>
      </c>
    </row>
    <row r="15" spans="1:5" ht="12.75" customHeight="1">
      <c r="A15" s="95"/>
      <c r="B15" s="96" t="s">
        <v>3740</v>
      </c>
      <c r="C15" s="97"/>
      <c r="D15" s="99">
        <v>-5530</v>
      </c>
      <c r="E15" s="117">
        <v>-7270</v>
      </c>
    </row>
    <row r="16" spans="1:5" ht="12.75" customHeight="1">
      <c r="A16" s="95"/>
      <c r="B16" s="96" t="s">
        <v>3741</v>
      </c>
      <c r="C16" s="97"/>
      <c r="D16" s="99">
        <v>-5177</v>
      </c>
      <c r="E16" s="117">
        <v>-4720</v>
      </c>
    </row>
    <row r="17" spans="1:5" ht="12.75" customHeight="1">
      <c r="A17" s="95"/>
      <c r="B17" s="96" t="s">
        <v>3742</v>
      </c>
      <c r="C17" s="97"/>
      <c r="D17" s="99">
        <v>2912</v>
      </c>
      <c r="E17" s="117">
        <v>3633</v>
      </c>
    </row>
    <row r="18" spans="1:5" ht="12.75" customHeight="1">
      <c r="A18" s="95"/>
      <c r="B18" s="96" t="s">
        <v>3743</v>
      </c>
      <c r="C18" s="97"/>
      <c r="D18" s="99">
        <v>364</v>
      </c>
      <c r="E18" s="117">
        <v>422</v>
      </c>
    </row>
    <row r="19" spans="1:5" ht="12.75" customHeight="1">
      <c r="A19" s="95"/>
      <c r="B19" s="96" t="s">
        <v>3744</v>
      </c>
      <c r="C19" s="97"/>
      <c r="D19" s="99">
        <v>8425</v>
      </c>
      <c r="E19" s="117">
        <v>8611</v>
      </c>
    </row>
    <row r="20" spans="1:5" ht="12.75" customHeight="1">
      <c r="A20" s="95"/>
      <c r="B20" s="96"/>
      <c r="C20" s="97"/>
      <c r="D20" s="99"/>
      <c r="E20" s="117"/>
    </row>
    <row r="21" spans="1:5" s="94" customFormat="1" ht="12.75" customHeight="1">
      <c r="A21" s="89"/>
      <c r="B21" s="90"/>
      <c r="C21" s="91" t="s">
        <v>3745</v>
      </c>
      <c r="D21" s="100">
        <f>SUM(D7:D19)</f>
        <v>-70413</v>
      </c>
      <c r="E21" s="101">
        <f>SUM(E7:E19)</f>
        <v>-74554</v>
      </c>
    </row>
    <row r="22" spans="1:5" ht="12.75" customHeight="1">
      <c r="A22" s="95"/>
      <c r="B22" s="96"/>
      <c r="C22" s="97"/>
      <c r="D22" s="99"/>
      <c r="E22" s="117"/>
    </row>
    <row r="23" spans="1:5" s="94" customFormat="1" ht="12.75" customHeight="1">
      <c r="A23" s="89" t="s">
        <v>3756</v>
      </c>
      <c r="B23" s="90"/>
      <c r="C23" s="91"/>
      <c r="D23" s="99"/>
      <c r="E23" s="117"/>
    </row>
    <row r="24" spans="1:5" ht="12.75" customHeight="1">
      <c r="A24" s="95"/>
      <c r="B24" s="96" t="s">
        <v>3757</v>
      </c>
      <c r="C24" s="97"/>
      <c r="D24" s="99">
        <v>75527</v>
      </c>
      <c r="E24" s="117">
        <v>73894</v>
      </c>
    </row>
    <row r="25" spans="1:5" ht="12.75" customHeight="1">
      <c r="A25" s="95"/>
      <c r="B25" s="96" t="s">
        <v>3758</v>
      </c>
      <c r="C25" s="97"/>
      <c r="D25" s="99">
        <v>3754</v>
      </c>
      <c r="E25" s="117">
        <v>9416</v>
      </c>
    </row>
    <row r="26" spans="1:5" ht="12.75" customHeight="1">
      <c r="A26" s="95"/>
      <c r="B26" s="96" t="s">
        <v>3759</v>
      </c>
      <c r="C26" s="97"/>
      <c r="D26" s="99">
        <v>5824</v>
      </c>
      <c r="E26" s="117">
        <v>34</v>
      </c>
    </row>
    <row r="27" spans="1:5" ht="12.75" customHeight="1">
      <c r="A27" s="95"/>
      <c r="B27" s="96" t="s">
        <v>3760</v>
      </c>
      <c r="C27" s="97"/>
      <c r="D27" s="99">
        <v>1095</v>
      </c>
      <c r="E27" s="117">
        <v>879</v>
      </c>
    </row>
    <row r="28" spans="1:5" ht="12.75" customHeight="1">
      <c r="A28" s="95"/>
      <c r="B28" s="96"/>
      <c r="C28" s="97"/>
      <c r="D28" s="99"/>
      <c r="E28" s="117"/>
    </row>
    <row r="29" spans="1:5" s="94" customFormat="1" ht="12.75" customHeight="1">
      <c r="A29" s="89"/>
      <c r="B29" s="90"/>
      <c r="C29" s="91" t="s">
        <v>3761</v>
      </c>
      <c r="D29" s="100">
        <f>SUM(D24:D27)</f>
        <v>86200</v>
      </c>
      <c r="E29" s="101">
        <f>SUM(E24:E27)</f>
        <v>84223</v>
      </c>
    </row>
    <row r="30" spans="1:5" ht="12.75" customHeight="1">
      <c r="A30" s="95"/>
      <c r="B30" s="96"/>
      <c r="C30" s="97"/>
      <c r="D30" s="99"/>
      <c r="E30" s="117"/>
    </row>
    <row r="31" spans="1:5" s="94" customFormat="1" ht="12.75" customHeight="1">
      <c r="A31" s="89" t="s">
        <v>3749</v>
      </c>
      <c r="B31" s="90"/>
      <c r="C31" s="91"/>
      <c r="D31" s="99"/>
      <c r="E31" s="117"/>
    </row>
    <row r="32" spans="1:5" ht="12.75" customHeight="1">
      <c r="A32" s="95"/>
      <c r="B32" s="96" t="s">
        <v>3728</v>
      </c>
      <c r="C32" s="97"/>
      <c r="D32" s="99">
        <v>8678</v>
      </c>
      <c r="E32" s="117">
        <v>3519</v>
      </c>
    </row>
    <row r="33" spans="1:5" ht="12.75" customHeight="1">
      <c r="A33" s="95"/>
      <c r="B33" s="96" t="s">
        <v>3725</v>
      </c>
      <c r="C33" s="97"/>
      <c r="D33" s="99">
        <v>10730</v>
      </c>
      <c r="E33" s="117">
        <v>13167</v>
      </c>
    </row>
    <row r="34" spans="1:5" ht="12.75" customHeight="1">
      <c r="A34" s="95"/>
      <c r="B34" s="96" t="s">
        <v>3729</v>
      </c>
      <c r="C34" s="97"/>
      <c r="D34" s="99">
        <v>1000</v>
      </c>
      <c r="E34" s="117">
        <v>2000</v>
      </c>
    </row>
    <row r="35" spans="1:5" ht="12.75" customHeight="1">
      <c r="A35" s="95"/>
      <c r="B35" s="96" t="s">
        <v>3750</v>
      </c>
      <c r="C35" s="97"/>
      <c r="D35" s="99">
        <v>0</v>
      </c>
      <c r="E35" s="117">
        <v>0</v>
      </c>
    </row>
    <row r="36" spans="1:5" ht="12.75" customHeight="1">
      <c r="A36" s="95"/>
      <c r="B36" s="96" t="s">
        <v>3708</v>
      </c>
      <c r="C36" s="97"/>
      <c r="D36" s="99">
        <v>-46919</v>
      </c>
      <c r="E36" s="117">
        <v>-13990</v>
      </c>
    </row>
    <row r="37" spans="1:5" ht="12.75" customHeight="1">
      <c r="A37" s="95"/>
      <c r="B37" s="96" t="s">
        <v>3751</v>
      </c>
      <c r="C37" s="97"/>
      <c r="D37" s="99">
        <v>15983</v>
      </c>
      <c r="E37" s="117">
        <v>0</v>
      </c>
    </row>
    <row r="38" spans="1:5" ht="12.75" customHeight="1">
      <c r="A38" s="95"/>
      <c r="B38" s="96" t="s">
        <v>3752</v>
      </c>
      <c r="C38" s="97"/>
      <c r="D38" s="99">
        <v>-1243</v>
      </c>
      <c r="E38" s="117">
        <v>-920</v>
      </c>
    </row>
    <row r="39" spans="1:5" ht="12.75" customHeight="1">
      <c r="A39" s="95"/>
      <c r="B39" s="96" t="s">
        <v>3753</v>
      </c>
      <c r="C39" s="97"/>
      <c r="D39" s="99">
        <v>0</v>
      </c>
      <c r="E39" s="117">
        <v>0</v>
      </c>
    </row>
    <row r="40" spans="1:5" ht="12.75" customHeight="1">
      <c r="A40" s="95"/>
      <c r="B40" s="96" t="s">
        <v>3721</v>
      </c>
      <c r="C40" s="97"/>
      <c r="D40" s="99">
        <v>0</v>
      </c>
      <c r="E40" s="117">
        <v>0</v>
      </c>
    </row>
    <row r="41" spans="1:5" ht="12.75" customHeight="1">
      <c r="A41" s="95"/>
      <c r="B41" s="96" t="s">
        <v>3754</v>
      </c>
      <c r="C41" s="97"/>
      <c r="D41" s="99">
        <v>-2256</v>
      </c>
      <c r="E41" s="117">
        <v>-1901</v>
      </c>
    </row>
    <row r="42" spans="1:5" ht="12.75" customHeight="1">
      <c r="A42" s="95"/>
      <c r="B42" s="96"/>
      <c r="C42" s="97"/>
      <c r="D42" s="99"/>
      <c r="E42" s="117"/>
    </row>
    <row r="43" spans="1:5" s="94" customFormat="1" ht="12.75" customHeight="1">
      <c r="A43" s="89"/>
      <c r="B43" s="90"/>
      <c r="C43" s="91" t="s">
        <v>3755</v>
      </c>
      <c r="D43" s="101">
        <f>SUM(D32:D41)</f>
        <v>-14027</v>
      </c>
      <c r="E43" s="101">
        <f>SUM(E32:E41)</f>
        <v>1875</v>
      </c>
    </row>
    <row r="44" spans="1:5" ht="12.75" customHeight="1">
      <c r="A44" s="95"/>
      <c r="B44" s="96"/>
      <c r="C44" s="97"/>
      <c r="D44" s="99"/>
      <c r="E44" s="117"/>
    </row>
    <row r="45" spans="1:5" s="94" customFormat="1" ht="12.75" customHeight="1">
      <c r="A45" s="89" t="s">
        <v>3746</v>
      </c>
      <c r="B45" s="90"/>
      <c r="C45" s="91"/>
      <c r="D45" s="99"/>
      <c r="E45" s="117"/>
    </row>
    <row r="46" spans="1:5" ht="12.75" customHeight="1">
      <c r="A46" s="95"/>
      <c r="B46" s="96" t="s">
        <v>3747</v>
      </c>
      <c r="C46" s="97"/>
      <c r="D46" s="99">
        <v>15840</v>
      </c>
      <c r="E46" s="117">
        <v>10847</v>
      </c>
    </row>
    <row r="47" spans="1:5" ht="12.75" customHeight="1">
      <c r="A47" s="95"/>
      <c r="B47" s="96" t="s">
        <v>3720</v>
      </c>
      <c r="C47" s="97"/>
      <c r="D47" s="99">
        <v>-11091</v>
      </c>
      <c r="E47" s="117">
        <v>-5045</v>
      </c>
    </row>
    <row r="48" spans="1:5" ht="12.75" customHeight="1">
      <c r="A48" s="95"/>
      <c r="B48" s="96"/>
      <c r="C48" s="97"/>
      <c r="D48" s="99"/>
      <c r="E48" s="117"/>
    </row>
    <row r="49" spans="1:5" s="94" customFormat="1" ht="12.75" customHeight="1">
      <c r="A49" s="89"/>
      <c r="B49" s="90"/>
      <c r="C49" s="91" t="s">
        <v>3748</v>
      </c>
      <c r="D49" s="100">
        <f>SUM(D46:D47)</f>
        <v>4749</v>
      </c>
      <c r="E49" s="101">
        <f>SUM(E46:E47)</f>
        <v>5802</v>
      </c>
    </row>
    <row r="50" spans="1:5" ht="12.75" customHeight="1">
      <c r="A50" s="95"/>
      <c r="B50" s="96"/>
      <c r="C50" s="97"/>
      <c r="D50" s="99"/>
      <c r="E50" s="117"/>
    </row>
    <row r="51" spans="1:5" s="94" customFormat="1" ht="12.75" customHeight="1">
      <c r="A51" s="89" t="s">
        <v>3762</v>
      </c>
      <c r="C51" s="91"/>
      <c r="D51" s="100">
        <f>D21+D49+D43+D29</f>
        <v>6509</v>
      </c>
      <c r="E51" s="101">
        <f>E21+E49+E43+E29</f>
        <v>17346</v>
      </c>
    </row>
    <row r="52" spans="1:5" ht="12.75" customHeight="1">
      <c r="A52" s="95"/>
      <c r="B52" s="96"/>
      <c r="C52" s="97"/>
      <c r="D52" s="99"/>
      <c r="E52" s="117"/>
    </row>
    <row r="53" spans="1:5" s="94" customFormat="1" ht="12.75" customHeight="1">
      <c r="A53" s="89" t="s">
        <v>3763</v>
      </c>
      <c r="B53" s="90"/>
      <c r="C53" s="91"/>
      <c r="D53" s="100">
        <f>E55</f>
        <v>36175</v>
      </c>
      <c r="E53" s="101">
        <v>18829</v>
      </c>
    </row>
    <row r="54" spans="1:5" ht="12.75" customHeight="1">
      <c r="A54" s="95"/>
      <c r="B54" s="96"/>
      <c r="C54" s="97"/>
      <c r="D54" s="92"/>
      <c r="E54" s="118"/>
    </row>
    <row r="55" spans="1:5" s="94" customFormat="1" ht="12.75" customHeight="1">
      <c r="A55" s="89" t="s">
        <v>3764</v>
      </c>
      <c r="B55" s="90"/>
      <c r="C55" s="91"/>
      <c r="D55" s="102">
        <f>D51+D53</f>
        <v>42684</v>
      </c>
      <c r="E55" s="119">
        <f>E51+E53</f>
        <v>36175</v>
      </c>
    </row>
    <row r="56" ht="13.5" customHeight="1">
      <c r="D56" s="104"/>
    </row>
    <row r="57" ht="6" customHeight="1" hidden="1">
      <c r="D57" s="104"/>
    </row>
    <row r="58" spans="1:4" ht="12.75" hidden="1">
      <c r="A58" s="106" t="s">
        <v>3765</v>
      </c>
      <c r="D58" s="104"/>
    </row>
    <row r="59" spans="2:4" ht="12.75" hidden="1">
      <c r="B59" s="106" t="s">
        <v>3766</v>
      </c>
      <c r="D59" s="104"/>
    </row>
    <row r="60" spans="2:4" ht="12.75" hidden="1">
      <c r="B60" s="103" t="s">
        <v>3767</v>
      </c>
      <c r="D60" s="107"/>
    </row>
    <row r="61" spans="2:4" ht="12.75" hidden="1">
      <c r="B61" s="103" t="s">
        <v>3768</v>
      </c>
      <c r="D61" s="104"/>
    </row>
    <row r="62" spans="3:4" ht="12.75" hidden="1">
      <c r="C62" s="80" t="s">
        <v>3766</v>
      </c>
      <c r="D62" s="104"/>
    </row>
    <row r="63" spans="3:4" ht="12.75" hidden="1">
      <c r="C63" s="80" t="s">
        <v>3769</v>
      </c>
      <c r="D63" s="104"/>
    </row>
    <row r="64" spans="3:4" ht="12.75" hidden="1">
      <c r="C64" s="80" t="s">
        <v>3770</v>
      </c>
      <c r="D64" s="104"/>
    </row>
    <row r="65" spans="3:4" ht="12.75" hidden="1">
      <c r="C65" s="80" t="s">
        <v>3771</v>
      </c>
      <c r="D65" s="104"/>
    </row>
    <row r="66" spans="1:4" ht="12.75" hidden="1">
      <c r="A66" s="115" t="s">
        <v>3834</v>
      </c>
      <c r="C66" s="80" t="s">
        <v>3772</v>
      </c>
      <c r="D66" s="104"/>
    </row>
    <row r="67" spans="3:4" ht="12.75" hidden="1">
      <c r="C67" s="80" t="s">
        <v>3773</v>
      </c>
      <c r="D67" s="104"/>
    </row>
    <row r="68" spans="3:4" ht="12.75" hidden="1">
      <c r="C68" s="80" t="s">
        <v>3774</v>
      </c>
      <c r="D68" s="104"/>
    </row>
    <row r="69" spans="3:4" ht="12.75" hidden="1">
      <c r="C69" s="80" t="s">
        <v>3775</v>
      </c>
      <c r="D69" s="104"/>
    </row>
    <row r="70" spans="1:5" s="44" customFormat="1" ht="12.75" hidden="1">
      <c r="A70" s="2"/>
      <c r="B70" s="2"/>
      <c r="C70" s="1" t="s">
        <v>3776</v>
      </c>
      <c r="D70" s="108"/>
      <c r="E70" s="109"/>
    </row>
    <row r="71" ht="6" customHeight="1" hidden="1"/>
    <row r="72" spans="1:5" s="94" customFormat="1" ht="13.5" hidden="1" thickBot="1">
      <c r="A72" s="106"/>
      <c r="B72" s="106"/>
      <c r="C72" s="94" t="s">
        <v>3777</v>
      </c>
      <c r="D72" s="111">
        <f>SUM(D60:D70)</f>
        <v>0</v>
      </c>
      <c r="E72" s="112"/>
    </row>
    <row r="73" ht="12.75">
      <c r="A73" s="115"/>
    </row>
    <row r="77" ht="12.75">
      <c r="A77" s="2"/>
    </row>
  </sheetData>
  <printOptions horizontalCentered="1"/>
  <pageMargins left="0.75" right="0.5" top="0.5" bottom="0.5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147"/>
  <sheetViews>
    <sheetView zoomScale="85" zoomScaleNormal="85" workbookViewId="0" topLeftCell="B2">
      <selection activeCell="X2" sqref="X1:Y16384"/>
    </sheetView>
  </sheetViews>
  <sheetFormatPr defaultColWidth="9.140625" defaultRowHeight="12.75" outlineLevelRow="1" outlineLevelCol="1"/>
  <cols>
    <col min="1" max="1" width="0" style="1" hidden="1" customWidth="1"/>
    <col min="2" max="2" width="2.57421875" style="2" customWidth="1"/>
    <col min="3" max="3" width="45.7109375" style="1" customWidth="1"/>
    <col min="4" max="4" width="7.140625" style="2" customWidth="1"/>
    <col min="5" max="6" width="18.7109375" style="1" hidden="1" customWidth="1" outlineLevel="1"/>
    <col min="7" max="7" width="18.7109375" style="1" customWidth="1" collapsed="1"/>
    <col min="8" max="8" width="18.7109375" style="1" customWidth="1"/>
    <col min="9" max="11" width="18.7109375" style="1" hidden="1" customWidth="1" outlineLevel="1"/>
    <col min="12" max="12" width="16.7109375" style="1" customWidth="1" collapsed="1"/>
    <col min="13" max="15" width="18.7109375" style="1" hidden="1" customWidth="1" outlineLevel="1"/>
    <col min="16" max="16" width="18.7109375" style="1" customWidth="1" collapsed="1"/>
    <col min="17" max="20" width="18.7109375" style="1" hidden="1" customWidth="1" outlineLevel="1"/>
    <col min="21" max="21" width="18.7109375" style="1" customWidth="1" collapsed="1"/>
    <col min="22" max="22" width="16.7109375" style="1" customWidth="1"/>
    <col min="23" max="23" width="18.7109375" style="212" customWidth="1"/>
    <col min="24" max="24" width="16.7109375" style="1" hidden="1" customWidth="1"/>
    <col min="25" max="25" width="16.7109375" style="213" hidden="1" customWidth="1"/>
    <col min="26" max="29" width="0" style="213" hidden="1" customWidth="1"/>
    <col min="30" max="16384" width="9.140625" style="213" customWidth="1"/>
  </cols>
  <sheetData>
    <row r="1" spans="1:25" ht="12.75" hidden="1">
      <c r="A1" s="1" t="s">
        <v>3077</v>
      </c>
      <c r="B1" s="2" t="s">
        <v>3783</v>
      </c>
      <c r="C1" s="1" t="s">
        <v>3784</v>
      </c>
      <c r="D1" s="2" t="s">
        <v>100</v>
      </c>
      <c r="E1" s="1" t="s">
        <v>102</v>
      </c>
      <c r="F1" s="1" t="s">
        <v>101</v>
      </c>
      <c r="G1" s="1" t="s">
        <v>3785</v>
      </c>
      <c r="H1" s="1" t="s">
        <v>103</v>
      </c>
      <c r="I1" s="1" t="s">
        <v>104</v>
      </c>
      <c r="J1" s="1" t="s">
        <v>105</v>
      </c>
      <c r="K1" s="1" t="s">
        <v>106</v>
      </c>
      <c r="L1" s="1" t="s">
        <v>3785</v>
      </c>
      <c r="M1" s="1" t="s">
        <v>107</v>
      </c>
      <c r="N1" s="1" t="s">
        <v>108</v>
      </c>
      <c r="O1" s="1" t="s">
        <v>109</v>
      </c>
      <c r="P1" s="1" t="s">
        <v>3785</v>
      </c>
      <c r="Q1" s="1" t="s">
        <v>3078</v>
      </c>
      <c r="R1" s="1" t="s">
        <v>111</v>
      </c>
      <c r="S1" s="1" t="s">
        <v>112</v>
      </c>
      <c r="T1" s="1" t="s">
        <v>3079</v>
      </c>
      <c r="U1" s="1" t="s">
        <v>3785</v>
      </c>
      <c r="V1" s="1" t="s">
        <v>115</v>
      </c>
      <c r="W1" s="212" t="s">
        <v>3785</v>
      </c>
      <c r="X1" s="1" t="s">
        <v>114</v>
      </c>
      <c r="Y1" s="213" t="s">
        <v>3785</v>
      </c>
    </row>
    <row r="2" spans="1:25" s="219" customFormat="1" ht="15.75" customHeight="1">
      <c r="A2" s="214"/>
      <c r="B2" s="46" t="str">
        <f>"University of Missouri - "&amp;RBN</f>
        <v>University of Missouri - Kansas City</v>
      </c>
      <c r="C2" s="215"/>
      <c r="D2" s="215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  <c r="X2" s="216"/>
      <c r="Y2" s="218"/>
    </row>
    <row r="3" spans="1:25" s="223" customFormat="1" ht="15.75" customHeight="1">
      <c r="A3" s="220"/>
      <c r="B3" s="51" t="s">
        <v>3080</v>
      </c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221"/>
      <c r="X3" s="13"/>
      <c r="Y3" s="222"/>
    </row>
    <row r="4" spans="1:29" ht="15.75" customHeight="1">
      <c r="A4" s="224"/>
      <c r="B4" s="225" t="str">
        <f>"  As of "&amp;TEXT(Z4,"MMMM DD, YYY")</f>
        <v>  As of June 30, 2006</v>
      </c>
      <c r="C4" s="16"/>
      <c r="D4" s="1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7"/>
      <c r="X4" s="226"/>
      <c r="Y4" s="228"/>
      <c r="Z4" s="229" t="s">
        <v>3862</v>
      </c>
      <c r="AC4" s="230" t="s">
        <v>3861</v>
      </c>
    </row>
    <row r="5" spans="1:26" ht="12.75" customHeight="1">
      <c r="A5" s="224"/>
      <c r="B5" s="231"/>
      <c r="C5" s="232"/>
      <c r="D5" s="232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33"/>
      <c r="Y5" s="235"/>
      <c r="Z5" s="1"/>
    </row>
    <row r="6" spans="1:25" ht="12.75">
      <c r="A6" s="22"/>
      <c r="B6" s="236"/>
      <c r="C6" s="237"/>
      <c r="D6" s="238"/>
      <c r="E6" s="27"/>
      <c r="F6" s="27"/>
      <c r="G6" s="236"/>
      <c r="H6" s="238"/>
      <c r="I6" s="193"/>
      <c r="J6" s="193"/>
      <c r="K6" s="139"/>
      <c r="L6" s="139"/>
      <c r="M6" s="193" t="s">
        <v>3836</v>
      </c>
      <c r="N6" s="193" t="s">
        <v>117</v>
      </c>
      <c r="O6" s="193" t="s">
        <v>118</v>
      </c>
      <c r="P6" s="139"/>
      <c r="Q6" s="239" t="s">
        <v>119</v>
      </c>
      <c r="R6" s="240"/>
      <c r="S6" s="240"/>
      <c r="T6" s="240"/>
      <c r="U6" s="241"/>
      <c r="V6" s="242"/>
      <c r="W6" s="139" t="s">
        <v>133</v>
      </c>
      <c r="X6" s="242"/>
      <c r="Y6" s="139" t="s">
        <v>133</v>
      </c>
    </row>
    <row r="7" spans="1:25" ht="12.75">
      <c r="A7" s="22"/>
      <c r="B7" s="243"/>
      <c r="C7" s="29"/>
      <c r="D7" s="244"/>
      <c r="E7" s="27"/>
      <c r="F7" s="27"/>
      <c r="G7" s="243"/>
      <c r="H7" s="244"/>
      <c r="I7" s="193" t="s">
        <v>3836</v>
      </c>
      <c r="J7" s="193" t="s">
        <v>117</v>
      </c>
      <c r="K7" s="193" t="s">
        <v>118</v>
      </c>
      <c r="L7" s="199"/>
      <c r="M7" s="193" t="s">
        <v>121</v>
      </c>
      <c r="N7" s="193" t="s">
        <v>121</v>
      </c>
      <c r="O7" s="193" t="s">
        <v>121</v>
      </c>
      <c r="P7" s="199" t="s">
        <v>121</v>
      </c>
      <c r="Q7" s="193" t="s">
        <v>3836</v>
      </c>
      <c r="R7" s="193" t="s">
        <v>122</v>
      </c>
      <c r="S7" s="208"/>
      <c r="T7" s="208"/>
      <c r="U7" s="199"/>
      <c r="V7" s="245"/>
      <c r="W7" s="199" t="s">
        <v>135</v>
      </c>
      <c r="X7" s="245"/>
      <c r="Y7" s="199" t="s">
        <v>135</v>
      </c>
    </row>
    <row r="8" spans="1:25" ht="12.75">
      <c r="A8" s="22"/>
      <c r="B8" s="243"/>
      <c r="C8" s="29"/>
      <c r="D8" s="244"/>
      <c r="E8" s="246"/>
      <c r="F8" s="246"/>
      <c r="G8" s="247" t="s">
        <v>124</v>
      </c>
      <c r="H8" s="247"/>
      <c r="I8" s="193" t="s">
        <v>125</v>
      </c>
      <c r="J8" s="193" t="s">
        <v>125</v>
      </c>
      <c r="K8" s="193" t="s">
        <v>125</v>
      </c>
      <c r="L8" s="199" t="s">
        <v>125</v>
      </c>
      <c r="M8" s="193" t="s">
        <v>126</v>
      </c>
      <c r="N8" s="193" t="s">
        <v>126</v>
      </c>
      <c r="O8" s="193" t="s">
        <v>126</v>
      </c>
      <c r="P8" s="199" t="s">
        <v>126</v>
      </c>
      <c r="Q8" s="193" t="s">
        <v>127</v>
      </c>
      <c r="R8" s="193" t="s">
        <v>127</v>
      </c>
      <c r="S8" s="193" t="s">
        <v>128</v>
      </c>
      <c r="T8" s="193" t="s">
        <v>129</v>
      </c>
      <c r="U8" s="199" t="s">
        <v>3081</v>
      </c>
      <c r="V8" s="245"/>
      <c r="W8" s="199" t="s">
        <v>123</v>
      </c>
      <c r="X8" s="199" t="s">
        <v>132</v>
      </c>
      <c r="Y8" s="199" t="s">
        <v>3082</v>
      </c>
    </row>
    <row r="9" spans="1:25" ht="12.75">
      <c r="A9" s="22"/>
      <c r="B9" s="248"/>
      <c r="C9" s="249"/>
      <c r="D9" s="250"/>
      <c r="E9" s="193" t="s">
        <v>3836</v>
      </c>
      <c r="F9" s="193" t="s">
        <v>134</v>
      </c>
      <c r="G9" s="193" t="s">
        <v>3836</v>
      </c>
      <c r="H9" s="193" t="s">
        <v>117</v>
      </c>
      <c r="I9" s="193" t="s">
        <v>135</v>
      </c>
      <c r="J9" s="193" t="s">
        <v>135</v>
      </c>
      <c r="K9" s="193" t="s">
        <v>135</v>
      </c>
      <c r="L9" s="207" t="s">
        <v>135</v>
      </c>
      <c r="M9" s="193" t="s">
        <v>135</v>
      </c>
      <c r="N9" s="193" t="s">
        <v>135</v>
      </c>
      <c r="O9" s="193" t="s">
        <v>135</v>
      </c>
      <c r="P9" s="207" t="s">
        <v>135</v>
      </c>
      <c r="Q9" s="193" t="s">
        <v>136</v>
      </c>
      <c r="R9" s="193" t="s">
        <v>136</v>
      </c>
      <c r="S9" s="193" t="s">
        <v>132</v>
      </c>
      <c r="T9" s="193" t="s">
        <v>137</v>
      </c>
      <c r="U9" s="207" t="s">
        <v>135</v>
      </c>
      <c r="V9" s="207" t="s">
        <v>139</v>
      </c>
      <c r="W9" s="207" t="s">
        <v>132</v>
      </c>
      <c r="X9" s="207" t="s">
        <v>135</v>
      </c>
      <c r="Y9" s="207" t="s">
        <v>132</v>
      </c>
    </row>
    <row r="10" spans="1:25" ht="12.75" customHeight="1">
      <c r="A10" s="22"/>
      <c r="B10" s="23"/>
      <c r="C10" s="251"/>
      <c r="D10" s="24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246"/>
    </row>
    <row r="11" spans="1:25" ht="12.75" customHeight="1">
      <c r="A11" s="29"/>
      <c r="B11" s="23" t="s">
        <v>3788</v>
      </c>
      <c r="C11" s="251"/>
      <c r="D11" s="24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193"/>
      <c r="X11" s="27"/>
      <c r="Y11" s="246"/>
    </row>
    <row r="12" spans="1:25" ht="12.75" customHeight="1">
      <c r="A12" s="2"/>
      <c r="B12" s="30"/>
      <c r="C12" s="252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253"/>
      <c r="X12" s="32"/>
      <c r="Y12" s="246"/>
    </row>
    <row r="13" spans="1:25" ht="12.75" customHeight="1">
      <c r="A13" s="29"/>
      <c r="B13" s="23" t="s">
        <v>3789</v>
      </c>
      <c r="C13" s="251"/>
      <c r="D13" s="24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93"/>
      <c r="X13" s="27"/>
      <c r="Y13" s="246"/>
    </row>
    <row r="14" spans="1:25" ht="12.75" customHeight="1">
      <c r="A14" s="252" t="s">
        <v>3083</v>
      </c>
      <c r="B14" s="30"/>
      <c r="C14" s="252" t="s">
        <v>3790</v>
      </c>
      <c r="D14" s="31"/>
      <c r="E14" s="32">
        <v>0</v>
      </c>
      <c r="F14" s="32">
        <v>0</v>
      </c>
      <c r="G14" s="34">
        <f aca="true" t="shared" si="0" ref="G14:G51">E14+F14</f>
        <v>0</v>
      </c>
      <c r="H14" s="34">
        <v>0</v>
      </c>
      <c r="I14" s="34">
        <v>0</v>
      </c>
      <c r="J14" s="34">
        <v>0</v>
      </c>
      <c r="K14" s="34">
        <v>0</v>
      </c>
      <c r="L14" s="34">
        <f aca="true" t="shared" si="1" ref="L14:L51">I14+J14+K14</f>
        <v>0</v>
      </c>
      <c r="M14" s="34">
        <v>0</v>
      </c>
      <c r="N14" s="34">
        <v>0</v>
      </c>
      <c r="O14" s="34">
        <v>0</v>
      </c>
      <c r="P14" s="34">
        <f aca="true" t="shared" si="2" ref="P14:P51">M14+N14+O14</f>
        <v>0</v>
      </c>
      <c r="Q14" s="34">
        <v>0</v>
      </c>
      <c r="R14" s="34">
        <v>0</v>
      </c>
      <c r="S14" s="34">
        <v>0</v>
      </c>
      <c r="T14" s="34">
        <v>0</v>
      </c>
      <c r="U14" s="34">
        <f aca="true" t="shared" si="3" ref="U14:U51">Q14+R14+S14+T14</f>
        <v>0</v>
      </c>
      <c r="V14" s="34">
        <v>0</v>
      </c>
      <c r="W14" s="254">
        <f aca="true" t="shared" si="4" ref="W14:W51">G14+H14+L14+P14+U14+V14</f>
        <v>0</v>
      </c>
      <c r="X14" s="34">
        <v>0</v>
      </c>
      <c r="Y14" s="255">
        <f aca="true" t="shared" si="5" ref="Y14:Y51">W14+X14</f>
        <v>0</v>
      </c>
    </row>
    <row r="15" spans="1:25" ht="12.75" hidden="1" outlineLevel="1">
      <c r="A15" s="1" t="s">
        <v>3084</v>
      </c>
      <c r="C15" s="1" t="s">
        <v>3085</v>
      </c>
      <c r="D15" s="2" t="s">
        <v>3086</v>
      </c>
      <c r="E15" s="1">
        <v>107331</v>
      </c>
      <c r="F15" s="1">
        <v>0</v>
      </c>
      <c r="G15" s="1">
        <f t="shared" si="0"/>
        <v>107331</v>
      </c>
      <c r="H15" s="1">
        <v>0</v>
      </c>
      <c r="I15" s="1">
        <v>0</v>
      </c>
      <c r="J15" s="1">
        <v>0</v>
      </c>
      <c r="K15" s="1">
        <v>0</v>
      </c>
      <c r="L15" s="1">
        <f t="shared" si="1"/>
        <v>0</v>
      </c>
      <c r="M15" s="1">
        <v>0</v>
      </c>
      <c r="N15" s="1">
        <v>0</v>
      </c>
      <c r="O15" s="1">
        <v>0</v>
      </c>
      <c r="P15" s="1">
        <f t="shared" si="2"/>
        <v>0</v>
      </c>
      <c r="Q15" s="1">
        <v>0</v>
      </c>
      <c r="R15" s="1">
        <v>0</v>
      </c>
      <c r="S15" s="1">
        <v>0</v>
      </c>
      <c r="T15" s="1">
        <v>0</v>
      </c>
      <c r="U15" s="1">
        <f t="shared" si="3"/>
        <v>0</v>
      </c>
      <c r="V15" s="1">
        <v>0</v>
      </c>
      <c r="W15" s="212">
        <f t="shared" si="4"/>
        <v>107331</v>
      </c>
      <c r="X15" s="1">
        <v>0</v>
      </c>
      <c r="Y15" s="256">
        <f t="shared" si="5"/>
        <v>107331</v>
      </c>
    </row>
    <row r="16" spans="1:25" ht="12.75" hidden="1" outlineLevel="1">
      <c r="A16" s="1" t="s">
        <v>3087</v>
      </c>
      <c r="C16" s="1" t="s">
        <v>3088</v>
      </c>
      <c r="D16" s="2" t="s">
        <v>3089</v>
      </c>
      <c r="E16" s="1">
        <v>19954984.45</v>
      </c>
      <c r="F16" s="1">
        <v>0</v>
      </c>
      <c r="G16" s="1">
        <f t="shared" si="0"/>
        <v>19954984.45</v>
      </c>
      <c r="H16" s="1">
        <v>0</v>
      </c>
      <c r="I16" s="1">
        <v>0</v>
      </c>
      <c r="J16" s="1">
        <v>0</v>
      </c>
      <c r="K16" s="1">
        <v>654744.82</v>
      </c>
      <c r="L16" s="1">
        <f t="shared" si="1"/>
        <v>654744.82</v>
      </c>
      <c r="M16" s="1">
        <v>0</v>
      </c>
      <c r="N16" s="1">
        <v>216276.87</v>
      </c>
      <c r="O16" s="1">
        <v>0</v>
      </c>
      <c r="P16" s="1">
        <f t="shared" si="2"/>
        <v>216276.87</v>
      </c>
      <c r="Q16" s="1">
        <v>453361.48</v>
      </c>
      <c r="R16" s="1">
        <v>1868844.16</v>
      </c>
      <c r="S16" s="1">
        <v>112700.86</v>
      </c>
      <c r="T16" s="1">
        <v>0</v>
      </c>
      <c r="U16" s="1">
        <f t="shared" si="3"/>
        <v>2434906.4999999995</v>
      </c>
      <c r="V16" s="1">
        <v>803988.5</v>
      </c>
      <c r="W16" s="212">
        <f t="shared" si="4"/>
        <v>24064901.14</v>
      </c>
      <c r="X16" s="1">
        <v>0</v>
      </c>
      <c r="Y16" s="256">
        <f t="shared" si="5"/>
        <v>24064901.14</v>
      </c>
    </row>
    <row r="17" spans="1:25" ht="12.75" hidden="1" outlineLevel="1">
      <c r="A17" s="1" t="s">
        <v>3090</v>
      </c>
      <c r="C17" s="1" t="s">
        <v>3091</v>
      </c>
      <c r="D17" s="2" t="s">
        <v>3092</v>
      </c>
      <c r="E17" s="1">
        <v>0</v>
      </c>
      <c r="F17" s="1">
        <v>0</v>
      </c>
      <c r="G17" s="1">
        <f t="shared" si="0"/>
        <v>0</v>
      </c>
      <c r="H17" s="1">
        <v>106954.99</v>
      </c>
      <c r="I17" s="1">
        <v>0</v>
      </c>
      <c r="J17" s="1">
        <v>0</v>
      </c>
      <c r="K17" s="1">
        <v>0</v>
      </c>
      <c r="L17" s="1">
        <f t="shared" si="1"/>
        <v>0</v>
      </c>
      <c r="M17" s="1">
        <v>0</v>
      </c>
      <c r="N17" s="1">
        <v>0</v>
      </c>
      <c r="O17" s="1">
        <v>176.88</v>
      </c>
      <c r="P17" s="1">
        <f t="shared" si="2"/>
        <v>176.88</v>
      </c>
      <c r="Q17" s="1">
        <v>0</v>
      </c>
      <c r="R17" s="1">
        <v>0</v>
      </c>
      <c r="S17" s="1">
        <v>0</v>
      </c>
      <c r="T17" s="1">
        <v>0</v>
      </c>
      <c r="U17" s="1">
        <f t="shared" si="3"/>
        <v>0</v>
      </c>
      <c r="V17" s="1">
        <v>2019.6</v>
      </c>
      <c r="W17" s="212">
        <f t="shared" si="4"/>
        <v>109151.47000000002</v>
      </c>
      <c r="X17" s="1">
        <v>0</v>
      </c>
      <c r="Y17" s="256">
        <f t="shared" si="5"/>
        <v>109151.47000000002</v>
      </c>
    </row>
    <row r="18" spans="1:25" ht="12.75" hidden="1" outlineLevel="1">
      <c r="A18" s="1" t="s">
        <v>3093</v>
      </c>
      <c r="C18" s="1" t="s">
        <v>3094</v>
      </c>
      <c r="D18" s="2" t="s">
        <v>3095</v>
      </c>
      <c r="E18" s="1">
        <v>0</v>
      </c>
      <c r="F18" s="1">
        <v>0</v>
      </c>
      <c r="G18" s="1">
        <f t="shared" si="0"/>
        <v>0</v>
      </c>
      <c r="H18" s="1">
        <v>0</v>
      </c>
      <c r="I18" s="1">
        <v>0</v>
      </c>
      <c r="J18" s="1">
        <v>0</v>
      </c>
      <c r="K18" s="1">
        <v>0</v>
      </c>
      <c r="L18" s="1">
        <f t="shared" si="1"/>
        <v>0</v>
      </c>
      <c r="M18" s="1">
        <v>0</v>
      </c>
      <c r="N18" s="1">
        <v>0</v>
      </c>
      <c r="O18" s="1">
        <v>0</v>
      </c>
      <c r="P18" s="1">
        <f t="shared" si="2"/>
        <v>0</v>
      </c>
      <c r="Q18" s="1">
        <v>0</v>
      </c>
      <c r="R18" s="1">
        <v>0</v>
      </c>
      <c r="S18" s="1">
        <v>0</v>
      </c>
      <c r="T18" s="1">
        <v>0</v>
      </c>
      <c r="U18" s="1">
        <f t="shared" si="3"/>
        <v>0</v>
      </c>
      <c r="V18" s="1">
        <v>12.15</v>
      </c>
      <c r="W18" s="212">
        <f t="shared" si="4"/>
        <v>12.15</v>
      </c>
      <c r="X18" s="1">
        <v>0</v>
      </c>
      <c r="Y18" s="256">
        <f t="shared" si="5"/>
        <v>12.15</v>
      </c>
    </row>
    <row r="19" spans="1:25" ht="12.75" hidden="1" outlineLevel="1">
      <c r="A19" s="1" t="s">
        <v>3096</v>
      </c>
      <c r="C19" s="1" t="s">
        <v>3097</v>
      </c>
      <c r="D19" s="2" t="s">
        <v>3098</v>
      </c>
      <c r="E19" s="1">
        <v>0</v>
      </c>
      <c r="F19" s="1">
        <v>0</v>
      </c>
      <c r="G19" s="1">
        <f t="shared" si="0"/>
        <v>0</v>
      </c>
      <c r="H19" s="1">
        <v>0</v>
      </c>
      <c r="I19" s="1">
        <v>0</v>
      </c>
      <c r="J19" s="1">
        <v>0</v>
      </c>
      <c r="K19" s="1">
        <v>0</v>
      </c>
      <c r="L19" s="1">
        <f t="shared" si="1"/>
        <v>0</v>
      </c>
      <c r="M19" s="1">
        <v>0</v>
      </c>
      <c r="N19" s="1">
        <v>1763514.97</v>
      </c>
      <c r="O19" s="1">
        <v>0</v>
      </c>
      <c r="P19" s="1">
        <f t="shared" si="2"/>
        <v>1763514.97</v>
      </c>
      <c r="Q19" s="1">
        <v>0</v>
      </c>
      <c r="R19" s="1">
        <v>0</v>
      </c>
      <c r="S19" s="1">
        <v>0</v>
      </c>
      <c r="T19" s="1">
        <v>0</v>
      </c>
      <c r="U19" s="1">
        <f t="shared" si="3"/>
        <v>0</v>
      </c>
      <c r="V19" s="1">
        <v>0</v>
      </c>
      <c r="W19" s="212">
        <f t="shared" si="4"/>
        <v>1763514.97</v>
      </c>
      <c r="X19" s="1">
        <v>0</v>
      </c>
      <c r="Y19" s="256">
        <f t="shared" si="5"/>
        <v>1763514.97</v>
      </c>
    </row>
    <row r="20" spans="1:25" ht="12.75" hidden="1" outlineLevel="1">
      <c r="A20" s="1" t="s">
        <v>3099</v>
      </c>
      <c r="C20" s="1" t="s">
        <v>3100</v>
      </c>
      <c r="D20" s="2" t="s">
        <v>3101</v>
      </c>
      <c r="E20" s="1">
        <v>0</v>
      </c>
      <c r="F20" s="1">
        <v>0</v>
      </c>
      <c r="G20" s="1">
        <f t="shared" si="0"/>
        <v>0</v>
      </c>
      <c r="H20" s="1">
        <v>0</v>
      </c>
      <c r="I20" s="1">
        <v>0</v>
      </c>
      <c r="J20" s="1">
        <v>0</v>
      </c>
      <c r="K20" s="1">
        <v>0</v>
      </c>
      <c r="L20" s="1">
        <f t="shared" si="1"/>
        <v>0</v>
      </c>
      <c r="M20" s="1">
        <v>0</v>
      </c>
      <c r="N20" s="1">
        <v>4603131.92</v>
      </c>
      <c r="O20" s="1">
        <v>0</v>
      </c>
      <c r="P20" s="1">
        <f t="shared" si="2"/>
        <v>4603131.92</v>
      </c>
      <c r="Q20" s="1">
        <v>0</v>
      </c>
      <c r="R20" s="1">
        <v>0</v>
      </c>
      <c r="S20" s="1">
        <v>0</v>
      </c>
      <c r="T20" s="1">
        <v>0</v>
      </c>
      <c r="U20" s="1">
        <f t="shared" si="3"/>
        <v>0</v>
      </c>
      <c r="V20" s="1">
        <v>0</v>
      </c>
      <c r="W20" s="212">
        <f t="shared" si="4"/>
        <v>4603131.92</v>
      </c>
      <c r="X20" s="1">
        <v>0</v>
      </c>
      <c r="Y20" s="256">
        <f t="shared" si="5"/>
        <v>4603131.92</v>
      </c>
    </row>
    <row r="21" spans="1:25" ht="12.75" hidden="1" outlineLevel="1">
      <c r="A21" s="1" t="s">
        <v>3102</v>
      </c>
      <c r="C21" s="1" t="s">
        <v>3103</v>
      </c>
      <c r="D21" s="2" t="s">
        <v>3104</v>
      </c>
      <c r="E21" s="1">
        <v>0</v>
      </c>
      <c r="F21" s="1">
        <v>0</v>
      </c>
      <c r="G21" s="1">
        <f t="shared" si="0"/>
        <v>0</v>
      </c>
      <c r="H21" s="1">
        <v>0</v>
      </c>
      <c r="I21" s="1">
        <v>0</v>
      </c>
      <c r="J21" s="1">
        <v>0</v>
      </c>
      <c r="K21" s="1">
        <v>0</v>
      </c>
      <c r="L21" s="1">
        <f t="shared" si="1"/>
        <v>0</v>
      </c>
      <c r="M21" s="1">
        <v>0</v>
      </c>
      <c r="N21" s="1">
        <v>5049.31</v>
      </c>
      <c r="O21" s="1">
        <v>23912.47</v>
      </c>
      <c r="P21" s="1">
        <f t="shared" si="2"/>
        <v>28961.780000000002</v>
      </c>
      <c r="Q21" s="1">
        <v>0</v>
      </c>
      <c r="R21" s="1">
        <v>0</v>
      </c>
      <c r="S21" s="1">
        <v>0</v>
      </c>
      <c r="T21" s="1">
        <v>0</v>
      </c>
      <c r="U21" s="1">
        <f t="shared" si="3"/>
        <v>0</v>
      </c>
      <c r="V21" s="1">
        <v>0</v>
      </c>
      <c r="W21" s="212">
        <f t="shared" si="4"/>
        <v>28961.780000000002</v>
      </c>
      <c r="X21" s="1">
        <v>0</v>
      </c>
      <c r="Y21" s="256">
        <f t="shared" si="5"/>
        <v>28961.780000000002</v>
      </c>
    </row>
    <row r="22" spans="1:25" ht="12.75" hidden="1" outlineLevel="1">
      <c r="A22" s="1" t="s">
        <v>3105</v>
      </c>
      <c r="C22" s="1" t="s">
        <v>3106</v>
      </c>
      <c r="D22" s="2" t="s">
        <v>3107</v>
      </c>
      <c r="E22" s="1">
        <v>0</v>
      </c>
      <c r="F22" s="1">
        <v>0</v>
      </c>
      <c r="G22" s="1">
        <f t="shared" si="0"/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1"/>
        <v>0</v>
      </c>
      <c r="M22" s="1">
        <v>0</v>
      </c>
      <c r="N22" s="1">
        <v>12516732.21</v>
      </c>
      <c r="O22" s="1">
        <v>0</v>
      </c>
      <c r="P22" s="1">
        <f t="shared" si="2"/>
        <v>12516732.21</v>
      </c>
      <c r="Q22" s="1">
        <v>0</v>
      </c>
      <c r="R22" s="1">
        <v>0</v>
      </c>
      <c r="S22" s="1">
        <v>0</v>
      </c>
      <c r="T22" s="1">
        <v>0</v>
      </c>
      <c r="U22" s="1">
        <f t="shared" si="3"/>
        <v>0</v>
      </c>
      <c r="V22" s="1">
        <v>0</v>
      </c>
      <c r="W22" s="212">
        <f t="shared" si="4"/>
        <v>12516732.21</v>
      </c>
      <c r="X22" s="1">
        <v>0</v>
      </c>
      <c r="Y22" s="256">
        <f t="shared" si="5"/>
        <v>12516732.21</v>
      </c>
    </row>
    <row r="23" spans="1:25" ht="12.75" hidden="1" outlineLevel="1">
      <c r="A23" s="1" t="s">
        <v>3108</v>
      </c>
      <c r="C23" s="1" t="s">
        <v>3109</v>
      </c>
      <c r="D23" s="2" t="s">
        <v>3110</v>
      </c>
      <c r="E23" s="1">
        <v>-22300449.591000002</v>
      </c>
      <c r="F23" s="1">
        <v>-2188859.56</v>
      </c>
      <c r="G23" s="1">
        <f t="shared" si="0"/>
        <v>-24489309.151</v>
      </c>
      <c r="H23" s="1">
        <v>24063951.586</v>
      </c>
      <c r="I23" s="1">
        <v>205426.56</v>
      </c>
      <c r="J23" s="1">
        <v>0</v>
      </c>
      <c r="K23" s="1">
        <v>-218787.54</v>
      </c>
      <c r="L23" s="1">
        <f t="shared" si="1"/>
        <v>-13360.98000000001</v>
      </c>
      <c r="M23" s="1">
        <v>0</v>
      </c>
      <c r="N23" s="1">
        <v>-6882.75</v>
      </c>
      <c r="O23" s="1">
        <v>2469.32</v>
      </c>
      <c r="P23" s="1">
        <f t="shared" si="2"/>
        <v>-4413.43</v>
      </c>
      <c r="Q23" s="1">
        <v>-632373.79</v>
      </c>
      <c r="R23" s="1">
        <v>584985.99</v>
      </c>
      <c r="S23" s="1">
        <v>-2299.81</v>
      </c>
      <c r="T23" s="1">
        <v>-264.98</v>
      </c>
      <c r="U23" s="1">
        <f t="shared" si="3"/>
        <v>-49952.59000000005</v>
      </c>
      <c r="V23" s="1">
        <v>-16253.77</v>
      </c>
      <c r="W23" s="212">
        <f t="shared" si="4"/>
        <v>-509338.33500000136</v>
      </c>
      <c r="X23" s="1">
        <v>0</v>
      </c>
      <c r="Y23" s="256">
        <f t="shared" si="5"/>
        <v>-509338.33500000136</v>
      </c>
    </row>
    <row r="24" spans="1:25" ht="12.75" customHeight="1" collapsed="1">
      <c r="A24" s="252" t="s">
        <v>3111</v>
      </c>
      <c r="B24" s="30"/>
      <c r="C24" s="252" t="s">
        <v>3112</v>
      </c>
      <c r="D24" s="31"/>
      <c r="E24" s="32">
        <v>-2238134.1410000008</v>
      </c>
      <c r="F24" s="32">
        <v>-2188859.56</v>
      </c>
      <c r="G24" s="36">
        <f t="shared" si="0"/>
        <v>-4426993.701000001</v>
      </c>
      <c r="H24" s="36">
        <v>24170906.575999998</v>
      </c>
      <c r="I24" s="36">
        <v>205426.56</v>
      </c>
      <c r="J24" s="36">
        <v>0</v>
      </c>
      <c r="K24" s="36">
        <v>435957.28</v>
      </c>
      <c r="L24" s="36">
        <f t="shared" si="1"/>
        <v>641383.8400000001</v>
      </c>
      <c r="M24" s="36">
        <v>0</v>
      </c>
      <c r="N24" s="36">
        <v>19097822.53</v>
      </c>
      <c r="O24" s="36">
        <v>26558.67</v>
      </c>
      <c r="P24" s="36">
        <f t="shared" si="2"/>
        <v>19124381.200000003</v>
      </c>
      <c r="Q24" s="36">
        <v>-179012.31</v>
      </c>
      <c r="R24" s="36">
        <v>2453830.15</v>
      </c>
      <c r="S24" s="36">
        <v>110401.05</v>
      </c>
      <c r="T24" s="36">
        <v>-264.98</v>
      </c>
      <c r="U24" s="36">
        <f t="shared" si="3"/>
        <v>2384953.9099999997</v>
      </c>
      <c r="V24" s="36">
        <v>789766.48</v>
      </c>
      <c r="W24" s="257">
        <f t="shared" si="4"/>
        <v>42684398.30499999</v>
      </c>
      <c r="X24" s="36">
        <v>0</v>
      </c>
      <c r="Y24" s="258">
        <f t="shared" si="5"/>
        <v>42684398.30499999</v>
      </c>
    </row>
    <row r="25" spans="1:25" ht="12.75" hidden="1" outlineLevel="1">
      <c r="A25" s="1" t="s">
        <v>3113</v>
      </c>
      <c r="C25" s="1" t="s">
        <v>3114</v>
      </c>
      <c r="D25" s="2" t="s">
        <v>3115</v>
      </c>
      <c r="E25" s="1">
        <v>0</v>
      </c>
      <c r="F25" s="1">
        <v>0</v>
      </c>
      <c r="G25" s="1">
        <f t="shared" si="0"/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1"/>
        <v>0</v>
      </c>
      <c r="M25" s="1">
        <v>0</v>
      </c>
      <c r="N25" s="1">
        <v>0</v>
      </c>
      <c r="O25" s="1">
        <v>0</v>
      </c>
      <c r="P25" s="1">
        <f t="shared" si="2"/>
        <v>0</v>
      </c>
      <c r="Q25" s="1">
        <v>0</v>
      </c>
      <c r="R25" s="1">
        <v>660380</v>
      </c>
      <c r="S25" s="1">
        <v>0</v>
      </c>
      <c r="T25" s="1">
        <v>0</v>
      </c>
      <c r="U25" s="1">
        <f t="shared" si="3"/>
        <v>660380</v>
      </c>
      <c r="V25" s="1">
        <v>0</v>
      </c>
      <c r="W25" s="212">
        <f t="shared" si="4"/>
        <v>660380</v>
      </c>
      <c r="X25" s="1">
        <v>0</v>
      </c>
      <c r="Y25" s="256">
        <f t="shared" si="5"/>
        <v>660380</v>
      </c>
    </row>
    <row r="26" spans="1:25" ht="12.75" customHeight="1" collapsed="1">
      <c r="A26" s="252" t="s">
        <v>3116</v>
      </c>
      <c r="B26" s="30"/>
      <c r="C26" s="252" t="s">
        <v>3117</v>
      </c>
      <c r="D26" s="31"/>
      <c r="E26" s="32">
        <v>0</v>
      </c>
      <c r="F26" s="32">
        <v>0</v>
      </c>
      <c r="G26" s="36">
        <f t="shared" si="0"/>
        <v>0</v>
      </c>
      <c r="H26" s="36">
        <v>0</v>
      </c>
      <c r="I26" s="36">
        <v>0</v>
      </c>
      <c r="J26" s="36">
        <v>0</v>
      </c>
      <c r="K26" s="36">
        <v>0</v>
      </c>
      <c r="L26" s="36">
        <f t="shared" si="1"/>
        <v>0</v>
      </c>
      <c r="M26" s="36">
        <v>0</v>
      </c>
      <c r="N26" s="36">
        <v>0</v>
      </c>
      <c r="O26" s="36">
        <v>0</v>
      </c>
      <c r="P26" s="36">
        <f t="shared" si="2"/>
        <v>0</v>
      </c>
      <c r="Q26" s="36">
        <v>0</v>
      </c>
      <c r="R26" s="36">
        <v>660380</v>
      </c>
      <c r="S26" s="36">
        <v>0</v>
      </c>
      <c r="T26" s="36">
        <v>0</v>
      </c>
      <c r="U26" s="36">
        <f t="shared" si="3"/>
        <v>660380</v>
      </c>
      <c r="V26" s="36">
        <v>0</v>
      </c>
      <c r="W26" s="257">
        <f t="shared" si="4"/>
        <v>660380</v>
      </c>
      <c r="X26" s="36">
        <v>0</v>
      </c>
      <c r="Y26" s="258">
        <f t="shared" si="5"/>
        <v>660380</v>
      </c>
    </row>
    <row r="27" spans="1:25" ht="12.75" hidden="1" outlineLevel="1">
      <c r="A27" s="1" t="s">
        <v>3118</v>
      </c>
      <c r="C27" s="1" t="s">
        <v>3119</v>
      </c>
      <c r="D27" s="2" t="s">
        <v>3120</v>
      </c>
      <c r="E27" s="1">
        <v>0</v>
      </c>
      <c r="F27" s="1">
        <v>0</v>
      </c>
      <c r="G27" s="1">
        <f t="shared" si="0"/>
        <v>0</v>
      </c>
      <c r="H27" s="1">
        <v>407329.63</v>
      </c>
      <c r="I27" s="1">
        <v>0</v>
      </c>
      <c r="J27" s="1">
        <v>0</v>
      </c>
      <c r="K27" s="1">
        <v>0</v>
      </c>
      <c r="L27" s="1">
        <f t="shared" si="1"/>
        <v>0</v>
      </c>
      <c r="M27" s="1">
        <v>0</v>
      </c>
      <c r="N27" s="1">
        <v>0</v>
      </c>
      <c r="O27" s="1">
        <v>0</v>
      </c>
      <c r="P27" s="1">
        <f t="shared" si="2"/>
        <v>0</v>
      </c>
      <c r="Q27" s="1">
        <v>0</v>
      </c>
      <c r="R27" s="1">
        <v>0</v>
      </c>
      <c r="S27" s="1">
        <v>0</v>
      </c>
      <c r="T27" s="1">
        <v>0</v>
      </c>
      <c r="U27" s="1">
        <f t="shared" si="3"/>
        <v>0</v>
      </c>
      <c r="V27" s="1">
        <v>0</v>
      </c>
      <c r="W27" s="212">
        <f t="shared" si="4"/>
        <v>407329.63</v>
      </c>
      <c r="X27" s="1">
        <v>0</v>
      </c>
      <c r="Y27" s="256">
        <f t="shared" si="5"/>
        <v>407329.63</v>
      </c>
    </row>
    <row r="28" spans="1:25" ht="12.75" hidden="1" outlineLevel="1">
      <c r="A28" s="1" t="s">
        <v>3121</v>
      </c>
      <c r="C28" s="1" t="s">
        <v>3122</v>
      </c>
      <c r="D28" s="2" t="s">
        <v>3123</v>
      </c>
      <c r="E28" s="1">
        <v>0</v>
      </c>
      <c r="F28" s="1">
        <v>-938.33</v>
      </c>
      <c r="G28" s="1">
        <f t="shared" si="0"/>
        <v>-938.33</v>
      </c>
      <c r="H28" s="1">
        <v>3171037.11</v>
      </c>
      <c r="I28" s="1">
        <v>0</v>
      </c>
      <c r="J28" s="1">
        <v>0</v>
      </c>
      <c r="K28" s="1">
        <v>0</v>
      </c>
      <c r="L28" s="1">
        <f t="shared" si="1"/>
        <v>0</v>
      </c>
      <c r="M28" s="1">
        <v>0</v>
      </c>
      <c r="N28" s="1">
        <v>0</v>
      </c>
      <c r="O28" s="1">
        <v>0</v>
      </c>
      <c r="P28" s="1">
        <f t="shared" si="2"/>
        <v>0</v>
      </c>
      <c r="Q28" s="1">
        <v>0</v>
      </c>
      <c r="R28" s="1">
        <v>0</v>
      </c>
      <c r="S28" s="1">
        <v>0</v>
      </c>
      <c r="T28" s="1">
        <v>0</v>
      </c>
      <c r="U28" s="1">
        <f t="shared" si="3"/>
        <v>0</v>
      </c>
      <c r="V28" s="1">
        <v>0</v>
      </c>
      <c r="W28" s="212">
        <f t="shared" si="4"/>
        <v>3170098.78</v>
      </c>
      <c r="X28" s="1">
        <v>0</v>
      </c>
      <c r="Y28" s="256">
        <f t="shared" si="5"/>
        <v>3170098.78</v>
      </c>
    </row>
    <row r="29" spans="1:25" ht="12.75" hidden="1" outlineLevel="1">
      <c r="A29" s="1" t="s">
        <v>3124</v>
      </c>
      <c r="C29" s="1" t="s">
        <v>3125</v>
      </c>
      <c r="D29" s="2" t="s">
        <v>3126</v>
      </c>
      <c r="E29" s="1">
        <v>0</v>
      </c>
      <c r="F29" s="1">
        <v>0</v>
      </c>
      <c r="G29" s="1">
        <f t="shared" si="0"/>
        <v>0</v>
      </c>
      <c r="H29" s="1">
        <v>4660576.29</v>
      </c>
      <c r="I29" s="1">
        <v>0</v>
      </c>
      <c r="J29" s="1">
        <v>0</v>
      </c>
      <c r="K29" s="1">
        <v>0</v>
      </c>
      <c r="L29" s="1">
        <f t="shared" si="1"/>
        <v>0</v>
      </c>
      <c r="M29" s="1">
        <v>0</v>
      </c>
      <c r="N29" s="1">
        <v>0</v>
      </c>
      <c r="O29" s="1">
        <v>0</v>
      </c>
      <c r="P29" s="1">
        <f t="shared" si="2"/>
        <v>0</v>
      </c>
      <c r="Q29" s="1">
        <v>0</v>
      </c>
      <c r="R29" s="1">
        <v>0</v>
      </c>
      <c r="S29" s="1">
        <v>0</v>
      </c>
      <c r="T29" s="1">
        <v>0</v>
      </c>
      <c r="U29" s="1">
        <f t="shared" si="3"/>
        <v>0</v>
      </c>
      <c r="V29" s="1">
        <v>0</v>
      </c>
      <c r="W29" s="212">
        <f t="shared" si="4"/>
        <v>4660576.29</v>
      </c>
      <c r="X29" s="1">
        <v>0</v>
      </c>
      <c r="Y29" s="256">
        <f t="shared" si="5"/>
        <v>4660576.29</v>
      </c>
    </row>
    <row r="30" spans="1:25" ht="12.75" hidden="1" outlineLevel="1">
      <c r="A30" s="1" t="s">
        <v>3127</v>
      </c>
      <c r="C30" s="1" t="s">
        <v>3128</v>
      </c>
      <c r="D30" s="2" t="s">
        <v>3129</v>
      </c>
      <c r="E30" s="1">
        <v>0</v>
      </c>
      <c r="F30" s="1">
        <v>0</v>
      </c>
      <c r="G30" s="1">
        <f t="shared" si="0"/>
        <v>0</v>
      </c>
      <c r="H30" s="1">
        <v>-248000</v>
      </c>
      <c r="I30" s="1">
        <v>0</v>
      </c>
      <c r="J30" s="1">
        <v>0</v>
      </c>
      <c r="K30" s="1">
        <v>0</v>
      </c>
      <c r="L30" s="1">
        <f t="shared" si="1"/>
        <v>0</v>
      </c>
      <c r="M30" s="1">
        <v>0</v>
      </c>
      <c r="N30" s="1">
        <v>0</v>
      </c>
      <c r="O30" s="1">
        <v>0</v>
      </c>
      <c r="P30" s="1">
        <f t="shared" si="2"/>
        <v>0</v>
      </c>
      <c r="Q30" s="1">
        <v>0</v>
      </c>
      <c r="R30" s="1">
        <v>0</v>
      </c>
      <c r="S30" s="1">
        <v>0</v>
      </c>
      <c r="T30" s="1">
        <v>0</v>
      </c>
      <c r="U30" s="1">
        <f t="shared" si="3"/>
        <v>0</v>
      </c>
      <c r="V30" s="1">
        <v>0</v>
      </c>
      <c r="W30" s="212">
        <f t="shared" si="4"/>
        <v>-248000</v>
      </c>
      <c r="X30" s="1">
        <v>0</v>
      </c>
      <c r="Y30" s="256">
        <f t="shared" si="5"/>
        <v>-248000</v>
      </c>
    </row>
    <row r="31" spans="1:25" ht="12.75" customHeight="1" collapsed="1">
      <c r="A31" s="252" t="s">
        <v>3130</v>
      </c>
      <c r="B31" s="30"/>
      <c r="C31" s="252" t="s">
        <v>3131</v>
      </c>
      <c r="D31" s="31"/>
      <c r="E31" s="32">
        <v>0</v>
      </c>
      <c r="F31" s="32">
        <v>-938.33</v>
      </c>
      <c r="G31" s="36">
        <f t="shared" si="0"/>
        <v>-938.33</v>
      </c>
      <c r="H31" s="36">
        <v>7990943.029999999</v>
      </c>
      <c r="I31" s="36">
        <v>0</v>
      </c>
      <c r="J31" s="36">
        <v>0</v>
      </c>
      <c r="K31" s="36">
        <v>0</v>
      </c>
      <c r="L31" s="36">
        <f t="shared" si="1"/>
        <v>0</v>
      </c>
      <c r="M31" s="36">
        <v>0</v>
      </c>
      <c r="N31" s="36">
        <v>0</v>
      </c>
      <c r="O31" s="36">
        <v>0</v>
      </c>
      <c r="P31" s="36">
        <f t="shared" si="2"/>
        <v>0</v>
      </c>
      <c r="Q31" s="36">
        <v>0</v>
      </c>
      <c r="R31" s="36">
        <v>0</v>
      </c>
      <c r="S31" s="36">
        <v>0</v>
      </c>
      <c r="T31" s="36">
        <v>0</v>
      </c>
      <c r="U31" s="36">
        <f t="shared" si="3"/>
        <v>0</v>
      </c>
      <c r="V31" s="36">
        <v>0</v>
      </c>
      <c r="W31" s="257">
        <f t="shared" si="4"/>
        <v>7990004.699999999</v>
      </c>
      <c r="X31" s="36">
        <v>0</v>
      </c>
      <c r="Y31" s="258">
        <f t="shared" si="5"/>
        <v>7990004.699999999</v>
      </c>
    </row>
    <row r="32" spans="1:25" ht="12.75" customHeight="1">
      <c r="A32" s="252" t="s">
        <v>3132</v>
      </c>
      <c r="B32" s="30"/>
      <c r="C32" s="252" t="s">
        <v>3133</v>
      </c>
      <c r="D32" s="31"/>
      <c r="E32" s="32">
        <v>0</v>
      </c>
      <c r="F32" s="32">
        <v>0</v>
      </c>
      <c r="G32" s="36">
        <f t="shared" si="0"/>
        <v>0</v>
      </c>
      <c r="H32" s="36">
        <v>0</v>
      </c>
      <c r="I32" s="36">
        <v>0</v>
      </c>
      <c r="J32" s="36">
        <v>0</v>
      </c>
      <c r="K32" s="36">
        <v>0</v>
      </c>
      <c r="L32" s="36">
        <f t="shared" si="1"/>
        <v>0</v>
      </c>
      <c r="M32" s="36">
        <v>0</v>
      </c>
      <c r="N32" s="36">
        <v>0</v>
      </c>
      <c r="O32" s="36">
        <v>0</v>
      </c>
      <c r="P32" s="36">
        <f t="shared" si="2"/>
        <v>0</v>
      </c>
      <c r="Q32" s="36">
        <v>0</v>
      </c>
      <c r="R32" s="36">
        <v>0</v>
      </c>
      <c r="S32" s="36">
        <v>0</v>
      </c>
      <c r="T32" s="36">
        <v>0</v>
      </c>
      <c r="U32" s="36">
        <f t="shared" si="3"/>
        <v>0</v>
      </c>
      <c r="V32" s="36">
        <v>0</v>
      </c>
      <c r="W32" s="257">
        <f t="shared" si="4"/>
        <v>0</v>
      </c>
      <c r="X32" s="36">
        <v>0</v>
      </c>
      <c r="Y32" s="258">
        <f t="shared" si="5"/>
        <v>0</v>
      </c>
    </row>
    <row r="33" spans="1:25" ht="12.75" hidden="1" outlineLevel="1">
      <c r="A33" s="1" t="s">
        <v>3134</v>
      </c>
      <c r="C33" s="1" t="s">
        <v>3135</v>
      </c>
      <c r="D33" s="2" t="s">
        <v>3136</v>
      </c>
      <c r="E33" s="1">
        <v>0</v>
      </c>
      <c r="F33" s="1">
        <v>0</v>
      </c>
      <c r="G33" s="1">
        <f t="shared" si="0"/>
        <v>0</v>
      </c>
      <c r="H33" s="1">
        <v>1261143.8</v>
      </c>
      <c r="I33" s="1">
        <v>0</v>
      </c>
      <c r="J33" s="1">
        <v>0</v>
      </c>
      <c r="K33" s="1">
        <v>0</v>
      </c>
      <c r="L33" s="1">
        <f t="shared" si="1"/>
        <v>0</v>
      </c>
      <c r="M33" s="1">
        <v>0</v>
      </c>
      <c r="N33" s="1">
        <v>0</v>
      </c>
      <c r="O33" s="1">
        <v>0</v>
      </c>
      <c r="P33" s="1">
        <f t="shared" si="2"/>
        <v>0</v>
      </c>
      <c r="Q33" s="1">
        <v>0</v>
      </c>
      <c r="R33" s="1">
        <v>0</v>
      </c>
      <c r="S33" s="1">
        <v>0</v>
      </c>
      <c r="T33" s="1">
        <v>0</v>
      </c>
      <c r="U33" s="1">
        <f t="shared" si="3"/>
        <v>0</v>
      </c>
      <c r="V33" s="1">
        <v>0</v>
      </c>
      <c r="W33" s="212">
        <f t="shared" si="4"/>
        <v>1261143.8</v>
      </c>
      <c r="X33" s="1">
        <v>0</v>
      </c>
      <c r="Y33" s="256">
        <f t="shared" si="5"/>
        <v>1261143.8</v>
      </c>
    </row>
    <row r="34" spans="1:25" ht="12.75" customHeight="1" collapsed="1">
      <c r="A34" s="252" t="s">
        <v>3137</v>
      </c>
      <c r="B34" s="30"/>
      <c r="C34" s="252" t="s">
        <v>3837</v>
      </c>
      <c r="D34" s="31"/>
      <c r="E34" s="32">
        <v>0</v>
      </c>
      <c r="F34" s="32">
        <v>0</v>
      </c>
      <c r="G34" s="36">
        <f t="shared" si="0"/>
        <v>0</v>
      </c>
      <c r="H34" s="36">
        <v>1261143.8</v>
      </c>
      <c r="I34" s="36">
        <v>0</v>
      </c>
      <c r="J34" s="36">
        <v>0</v>
      </c>
      <c r="K34" s="36">
        <v>0</v>
      </c>
      <c r="L34" s="36">
        <f t="shared" si="1"/>
        <v>0</v>
      </c>
      <c r="M34" s="36">
        <v>0</v>
      </c>
      <c r="N34" s="36">
        <v>0</v>
      </c>
      <c r="O34" s="36">
        <v>0</v>
      </c>
      <c r="P34" s="36">
        <f t="shared" si="2"/>
        <v>0</v>
      </c>
      <c r="Q34" s="36">
        <v>0</v>
      </c>
      <c r="R34" s="36">
        <v>0</v>
      </c>
      <c r="S34" s="36">
        <v>0</v>
      </c>
      <c r="T34" s="36">
        <v>0</v>
      </c>
      <c r="U34" s="36">
        <f t="shared" si="3"/>
        <v>0</v>
      </c>
      <c r="V34" s="36">
        <v>0</v>
      </c>
      <c r="W34" s="257">
        <f t="shared" si="4"/>
        <v>1261143.8</v>
      </c>
      <c r="X34" s="36">
        <v>0</v>
      </c>
      <c r="Y34" s="258">
        <f t="shared" si="5"/>
        <v>1261143.8</v>
      </c>
    </row>
    <row r="35" spans="1:25" ht="12.75" hidden="1" outlineLevel="1">
      <c r="A35" s="1" t="s">
        <v>3138</v>
      </c>
      <c r="C35" s="1" t="s">
        <v>3139</v>
      </c>
      <c r="D35" s="2" t="s">
        <v>3140</v>
      </c>
      <c r="E35" s="1">
        <v>11646052.17</v>
      </c>
      <c r="F35" s="1">
        <v>-6288.52</v>
      </c>
      <c r="G35" s="1">
        <f t="shared" si="0"/>
        <v>11639763.65</v>
      </c>
      <c r="H35" s="1">
        <v>65481.24</v>
      </c>
      <c r="I35" s="1">
        <v>0</v>
      </c>
      <c r="J35" s="1">
        <v>0</v>
      </c>
      <c r="K35" s="1">
        <v>0</v>
      </c>
      <c r="L35" s="1">
        <f t="shared" si="1"/>
        <v>0</v>
      </c>
      <c r="M35" s="1">
        <v>0</v>
      </c>
      <c r="N35" s="1">
        <v>0</v>
      </c>
      <c r="O35" s="1">
        <v>0</v>
      </c>
      <c r="P35" s="1">
        <f t="shared" si="2"/>
        <v>0</v>
      </c>
      <c r="Q35" s="1">
        <v>0</v>
      </c>
      <c r="R35" s="1">
        <v>0</v>
      </c>
      <c r="S35" s="1">
        <v>0</v>
      </c>
      <c r="T35" s="1">
        <v>0</v>
      </c>
      <c r="U35" s="1">
        <f t="shared" si="3"/>
        <v>0</v>
      </c>
      <c r="V35" s="1">
        <v>50</v>
      </c>
      <c r="W35" s="212">
        <f t="shared" si="4"/>
        <v>11705294.89</v>
      </c>
      <c r="X35" s="1">
        <v>0</v>
      </c>
      <c r="Y35" s="256">
        <f t="shared" si="5"/>
        <v>11705294.89</v>
      </c>
    </row>
    <row r="36" spans="1:25" ht="12.75" hidden="1" outlineLevel="1">
      <c r="A36" s="1" t="s">
        <v>3141</v>
      </c>
      <c r="C36" s="1" t="s">
        <v>3142</v>
      </c>
      <c r="D36" s="2" t="s">
        <v>3143</v>
      </c>
      <c r="E36" s="1">
        <v>1436326.45</v>
      </c>
      <c r="F36" s="1">
        <v>-15753.77</v>
      </c>
      <c r="G36" s="1">
        <f t="shared" si="0"/>
        <v>1420572.68</v>
      </c>
      <c r="H36" s="1">
        <v>111254.25</v>
      </c>
      <c r="I36" s="1">
        <v>0</v>
      </c>
      <c r="J36" s="1">
        <v>0</v>
      </c>
      <c r="K36" s="1">
        <v>0</v>
      </c>
      <c r="L36" s="1">
        <f t="shared" si="1"/>
        <v>0</v>
      </c>
      <c r="M36" s="1">
        <v>0</v>
      </c>
      <c r="N36" s="1">
        <v>0</v>
      </c>
      <c r="O36" s="1">
        <v>0</v>
      </c>
      <c r="P36" s="1">
        <f t="shared" si="2"/>
        <v>0</v>
      </c>
      <c r="Q36" s="1">
        <v>0</v>
      </c>
      <c r="R36" s="1">
        <v>0</v>
      </c>
      <c r="S36" s="1">
        <v>0</v>
      </c>
      <c r="T36" s="1">
        <v>0</v>
      </c>
      <c r="U36" s="1">
        <f t="shared" si="3"/>
        <v>0</v>
      </c>
      <c r="V36" s="1">
        <v>0</v>
      </c>
      <c r="W36" s="212">
        <f t="shared" si="4"/>
        <v>1531826.93</v>
      </c>
      <c r="X36" s="1">
        <v>0</v>
      </c>
      <c r="Y36" s="256">
        <f t="shared" si="5"/>
        <v>1531826.93</v>
      </c>
    </row>
    <row r="37" spans="1:25" ht="12.75" hidden="1" outlineLevel="1">
      <c r="A37" s="1" t="s">
        <v>3144</v>
      </c>
      <c r="C37" s="1" t="s">
        <v>3145</v>
      </c>
      <c r="D37" s="2" t="s">
        <v>3146</v>
      </c>
      <c r="E37" s="1">
        <v>1382509.86</v>
      </c>
      <c r="F37" s="1">
        <v>2016499.8</v>
      </c>
      <c r="G37" s="1">
        <f t="shared" si="0"/>
        <v>3399009.66</v>
      </c>
      <c r="H37" s="1">
        <v>236370.05</v>
      </c>
      <c r="I37" s="1">
        <v>0</v>
      </c>
      <c r="J37" s="1">
        <v>0</v>
      </c>
      <c r="K37" s="1">
        <v>45497.19</v>
      </c>
      <c r="L37" s="1">
        <f t="shared" si="1"/>
        <v>45497.19</v>
      </c>
      <c r="M37" s="1">
        <v>0</v>
      </c>
      <c r="N37" s="1">
        <v>59463.17</v>
      </c>
      <c r="O37" s="1">
        <v>0</v>
      </c>
      <c r="P37" s="1">
        <f t="shared" si="2"/>
        <v>59463.17</v>
      </c>
      <c r="Q37" s="1">
        <v>0</v>
      </c>
      <c r="R37" s="1">
        <v>0</v>
      </c>
      <c r="S37" s="1">
        <v>0</v>
      </c>
      <c r="T37" s="1">
        <v>0</v>
      </c>
      <c r="U37" s="1">
        <f t="shared" si="3"/>
        <v>0</v>
      </c>
      <c r="V37" s="1">
        <v>31792.5</v>
      </c>
      <c r="W37" s="212">
        <f t="shared" si="4"/>
        <v>3772132.57</v>
      </c>
      <c r="X37" s="1">
        <v>0</v>
      </c>
      <c r="Y37" s="256">
        <f t="shared" si="5"/>
        <v>3772132.57</v>
      </c>
    </row>
    <row r="38" spans="1:25" ht="12.75" hidden="1" outlineLevel="1">
      <c r="A38" s="1" t="s">
        <v>3147</v>
      </c>
      <c r="C38" s="1" t="s">
        <v>3148</v>
      </c>
      <c r="D38" s="2" t="s">
        <v>3149</v>
      </c>
      <c r="E38" s="1">
        <v>-1654009.97</v>
      </c>
      <c r="F38" s="1">
        <v>0</v>
      </c>
      <c r="G38" s="1">
        <f t="shared" si="0"/>
        <v>-1654009.97</v>
      </c>
      <c r="H38" s="1">
        <v>0</v>
      </c>
      <c r="I38" s="1">
        <v>0</v>
      </c>
      <c r="J38" s="1">
        <v>0</v>
      </c>
      <c r="K38" s="1">
        <v>0</v>
      </c>
      <c r="L38" s="1">
        <f t="shared" si="1"/>
        <v>0</v>
      </c>
      <c r="M38" s="1">
        <v>0</v>
      </c>
      <c r="N38" s="1">
        <v>0</v>
      </c>
      <c r="O38" s="1">
        <v>0</v>
      </c>
      <c r="P38" s="1">
        <f t="shared" si="2"/>
        <v>0</v>
      </c>
      <c r="Q38" s="1">
        <v>0</v>
      </c>
      <c r="R38" s="1">
        <v>0</v>
      </c>
      <c r="S38" s="1">
        <v>0</v>
      </c>
      <c r="T38" s="1">
        <v>0</v>
      </c>
      <c r="U38" s="1">
        <f t="shared" si="3"/>
        <v>0</v>
      </c>
      <c r="V38" s="1">
        <v>0</v>
      </c>
      <c r="W38" s="212">
        <f t="shared" si="4"/>
        <v>-1654009.97</v>
      </c>
      <c r="X38" s="1">
        <v>0</v>
      </c>
      <c r="Y38" s="256">
        <f t="shared" si="5"/>
        <v>-1654009.97</v>
      </c>
    </row>
    <row r="39" spans="1:25" ht="12.75" hidden="1" outlineLevel="1">
      <c r="A39" s="1" t="s">
        <v>3150</v>
      </c>
      <c r="C39" s="1" t="s">
        <v>3151</v>
      </c>
      <c r="D39" s="2" t="s">
        <v>3152</v>
      </c>
      <c r="E39" s="1">
        <v>-405841.96</v>
      </c>
      <c r="F39" s="1">
        <v>-505868.62</v>
      </c>
      <c r="G39" s="1">
        <f t="shared" si="0"/>
        <v>-911710.5800000001</v>
      </c>
      <c r="H39" s="1">
        <v>0</v>
      </c>
      <c r="I39" s="1">
        <v>0</v>
      </c>
      <c r="J39" s="1">
        <v>0</v>
      </c>
      <c r="K39" s="1">
        <v>0</v>
      </c>
      <c r="L39" s="1">
        <f t="shared" si="1"/>
        <v>0</v>
      </c>
      <c r="M39" s="1">
        <v>0</v>
      </c>
      <c r="N39" s="1">
        <v>0</v>
      </c>
      <c r="O39" s="1">
        <v>0</v>
      </c>
      <c r="P39" s="1">
        <f t="shared" si="2"/>
        <v>0</v>
      </c>
      <c r="Q39" s="1">
        <v>0</v>
      </c>
      <c r="R39" s="1">
        <v>0</v>
      </c>
      <c r="S39" s="1">
        <v>0</v>
      </c>
      <c r="T39" s="1">
        <v>0</v>
      </c>
      <c r="U39" s="1">
        <f t="shared" si="3"/>
        <v>0</v>
      </c>
      <c r="V39" s="1">
        <v>0</v>
      </c>
      <c r="W39" s="212">
        <f t="shared" si="4"/>
        <v>-911710.5800000001</v>
      </c>
      <c r="X39" s="1">
        <v>0</v>
      </c>
      <c r="Y39" s="256">
        <f t="shared" si="5"/>
        <v>-911710.5800000001</v>
      </c>
    </row>
    <row r="40" spans="1:25" ht="12.75" hidden="1" outlineLevel="1">
      <c r="A40" s="1" t="s">
        <v>3153</v>
      </c>
      <c r="C40" s="1" t="s">
        <v>3154</v>
      </c>
      <c r="D40" s="2" t="s">
        <v>3155</v>
      </c>
      <c r="E40" s="1">
        <v>0</v>
      </c>
      <c r="F40" s="1">
        <v>0</v>
      </c>
      <c r="G40" s="1">
        <f t="shared" si="0"/>
        <v>0</v>
      </c>
      <c r="H40" s="1">
        <v>0</v>
      </c>
      <c r="I40" s="1">
        <v>0</v>
      </c>
      <c r="J40" s="1">
        <v>0</v>
      </c>
      <c r="K40" s="1">
        <v>0</v>
      </c>
      <c r="L40" s="1">
        <f t="shared" si="1"/>
        <v>0</v>
      </c>
      <c r="M40" s="1">
        <v>0</v>
      </c>
      <c r="N40" s="1">
        <v>0</v>
      </c>
      <c r="O40" s="1">
        <v>0</v>
      </c>
      <c r="P40" s="1">
        <f t="shared" si="2"/>
        <v>0</v>
      </c>
      <c r="Q40" s="1">
        <v>0</v>
      </c>
      <c r="R40" s="1">
        <v>0</v>
      </c>
      <c r="S40" s="1">
        <v>0</v>
      </c>
      <c r="T40" s="1">
        <v>0</v>
      </c>
      <c r="U40" s="1">
        <f t="shared" si="3"/>
        <v>0</v>
      </c>
      <c r="V40" s="1">
        <v>1517.18</v>
      </c>
      <c r="W40" s="212">
        <f t="shared" si="4"/>
        <v>1517.18</v>
      </c>
      <c r="X40" s="1">
        <v>0</v>
      </c>
      <c r="Y40" s="256">
        <f t="shared" si="5"/>
        <v>1517.18</v>
      </c>
    </row>
    <row r="41" spans="1:25" ht="12.75" customHeight="1" collapsed="1">
      <c r="A41" s="252" t="s">
        <v>3156</v>
      </c>
      <c r="B41" s="30"/>
      <c r="C41" s="252" t="s">
        <v>3157</v>
      </c>
      <c r="D41" s="31"/>
      <c r="E41" s="32">
        <v>12405036.55</v>
      </c>
      <c r="F41" s="32">
        <v>1488588.89</v>
      </c>
      <c r="G41" s="36">
        <f t="shared" si="0"/>
        <v>13893625.440000001</v>
      </c>
      <c r="H41" s="36">
        <v>413105.54</v>
      </c>
      <c r="I41" s="36">
        <v>0</v>
      </c>
      <c r="J41" s="36">
        <v>0</v>
      </c>
      <c r="K41" s="36">
        <v>45497.19</v>
      </c>
      <c r="L41" s="36">
        <f t="shared" si="1"/>
        <v>45497.19</v>
      </c>
      <c r="M41" s="36">
        <v>0</v>
      </c>
      <c r="N41" s="36">
        <v>59463.17</v>
      </c>
      <c r="O41" s="36">
        <v>0</v>
      </c>
      <c r="P41" s="36">
        <f t="shared" si="2"/>
        <v>59463.17</v>
      </c>
      <c r="Q41" s="36">
        <v>0</v>
      </c>
      <c r="R41" s="36">
        <v>0</v>
      </c>
      <c r="S41" s="36">
        <v>0</v>
      </c>
      <c r="T41" s="36">
        <v>0</v>
      </c>
      <c r="U41" s="36">
        <f t="shared" si="3"/>
        <v>0</v>
      </c>
      <c r="V41" s="36">
        <v>33359.68</v>
      </c>
      <c r="W41" s="257">
        <f t="shared" si="4"/>
        <v>14445051.02</v>
      </c>
      <c r="X41" s="36">
        <v>0</v>
      </c>
      <c r="Y41" s="258">
        <f t="shared" si="5"/>
        <v>14445051.02</v>
      </c>
    </row>
    <row r="42" spans="1:25" ht="12.75" customHeight="1">
      <c r="A42" s="252" t="s">
        <v>3158</v>
      </c>
      <c r="B42" s="30"/>
      <c r="C42" s="252" t="s">
        <v>3159</v>
      </c>
      <c r="D42" s="31"/>
      <c r="E42" s="32">
        <v>0</v>
      </c>
      <c r="F42" s="32">
        <v>0</v>
      </c>
      <c r="G42" s="36">
        <f t="shared" si="0"/>
        <v>0</v>
      </c>
      <c r="H42" s="36">
        <v>0</v>
      </c>
      <c r="I42" s="36">
        <v>0</v>
      </c>
      <c r="J42" s="36">
        <v>0</v>
      </c>
      <c r="K42" s="36">
        <v>0</v>
      </c>
      <c r="L42" s="36">
        <f t="shared" si="1"/>
        <v>0</v>
      </c>
      <c r="M42" s="36">
        <v>0</v>
      </c>
      <c r="N42" s="36">
        <v>0</v>
      </c>
      <c r="O42" s="36">
        <v>0</v>
      </c>
      <c r="P42" s="36">
        <f t="shared" si="2"/>
        <v>0</v>
      </c>
      <c r="Q42" s="36">
        <v>0</v>
      </c>
      <c r="R42" s="36">
        <v>0</v>
      </c>
      <c r="S42" s="36">
        <v>0</v>
      </c>
      <c r="T42" s="36">
        <v>0</v>
      </c>
      <c r="U42" s="36">
        <f t="shared" si="3"/>
        <v>0</v>
      </c>
      <c r="V42" s="36">
        <v>0</v>
      </c>
      <c r="W42" s="257">
        <f t="shared" si="4"/>
        <v>0</v>
      </c>
      <c r="X42" s="36">
        <v>0</v>
      </c>
      <c r="Y42" s="258">
        <f t="shared" si="5"/>
        <v>0</v>
      </c>
    </row>
    <row r="43" spans="1:25" ht="12.75" customHeight="1">
      <c r="A43" s="252" t="s">
        <v>3160</v>
      </c>
      <c r="B43" s="30"/>
      <c r="C43" s="252" t="s">
        <v>3161</v>
      </c>
      <c r="D43" s="31"/>
      <c r="E43" s="32">
        <v>0</v>
      </c>
      <c r="F43" s="32">
        <v>0</v>
      </c>
      <c r="G43" s="36">
        <f t="shared" si="0"/>
        <v>0</v>
      </c>
      <c r="H43" s="36">
        <v>0</v>
      </c>
      <c r="I43" s="36">
        <v>0</v>
      </c>
      <c r="J43" s="36">
        <v>0</v>
      </c>
      <c r="K43" s="36">
        <v>0</v>
      </c>
      <c r="L43" s="36">
        <f t="shared" si="1"/>
        <v>0</v>
      </c>
      <c r="M43" s="36">
        <v>0</v>
      </c>
      <c r="N43" s="36">
        <v>0</v>
      </c>
      <c r="O43" s="36">
        <v>0</v>
      </c>
      <c r="P43" s="36">
        <f t="shared" si="2"/>
        <v>0</v>
      </c>
      <c r="Q43" s="36">
        <v>0</v>
      </c>
      <c r="R43" s="36">
        <v>0</v>
      </c>
      <c r="S43" s="36">
        <v>0</v>
      </c>
      <c r="T43" s="36">
        <v>0</v>
      </c>
      <c r="U43" s="36">
        <f t="shared" si="3"/>
        <v>0</v>
      </c>
      <c r="V43" s="36">
        <v>0</v>
      </c>
      <c r="W43" s="257">
        <f t="shared" si="4"/>
        <v>0</v>
      </c>
      <c r="X43" s="36">
        <v>0</v>
      </c>
      <c r="Y43" s="258">
        <f t="shared" si="5"/>
        <v>0</v>
      </c>
    </row>
    <row r="44" spans="1:25" ht="12.75" hidden="1" outlineLevel="1">
      <c r="A44" s="1" t="s">
        <v>3162</v>
      </c>
      <c r="C44" s="1" t="s">
        <v>3795</v>
      </c>
      <c r="D44" s="2" t="s">
        <v>3163</v>
      </c>
      <c r="E44" s="1">
        <v>1071887</v>
      </c>
      <c r="F44" s="1">
        <v>0</v>
      </c>
      <c r="G44" s="1">
        <f t="shared" si="0"/>
        <v>1071887</v>
      </c>
      <c r="H44" s="1">
        <v>0</v>
      </c>
      <c r="I44" s="1">
        <v>0</v>
      </c>
      <c r="J44" s="1">
        <v>0</v>
      </c>
      <c r="K44" s="1">
        <v>0</v>
      </c>
      <c r="L44" s="1">
        <f t="shared" si="1"/>
        <v>0</v>
      </c>
      <c r="M44" s="1">
        <v>0</v>
      </c>
      <c r="N44" s="1">
        <v>0</v>
      </c>
      <c r="O44" s="1">
        <v>0</v>
      </c>
      <c r="P44" s="1">
        <f t="shared" si="2"/>
        <v>0</v>
      </c>
      <c r="Q44" s="1">
        <v>0</v>
      </c>
      <c r="R44" s="1">
        <v>0</v>
      </c>
      <c r="S44" s="1">
        <v>0</v>
      </c>
      <c r="T44" s="1">
        <v>0</v>
      </c>
      <c r="U44" s="1">
        <f t="shared" si="3"/>
        <v>0</v>
      </c>
      <c r="V44" s="1">
        <v>0</v>
      </c>
      <c r="W44" s="212">
        <f t="shared" si="4"/>
        <v>1071887</v>
      </c>
      <c r="X44" s="1">
        <v>0</v>
      </c>
      <c r="Y44" s="256">
        <f t="shared" si="5"/>
        <v>1071887</v>
      </c>
    </row>
    <row r="45" spans="1:25" ht="12.75" customHeight="1" collapsed="1">
      <c r="A45" s="252" t="s">
        <v>3164</v>
      </c>
      <c r="B45" s="30"/>
      <c r="C45" s="252" t="s">
        <v>3795</v>
      </c>
      <c r="D45" s="31"/>
      <c r="E45" s="32">
        <v>1071887</v>
      </c>
      <c r="F45" s="32">
        <v>0</v>
      </c>
      <c r="G45" s="36">
        <f t="shared" si="0"/>
        <v>1071887</v>
      </c>
      <c r="H45" s="36">
        <v>0</v>
      </c>
      <c r="I45" s="36">
        <v>0</v>
      </c>
      <c r="J45" s="36">
        <v>0</v>
      </c>
      <c r="K45" s="36">
        <v>0</v>
      </c>
      <c r="L45" s="36">
        <f t="shared" si="1"/>
        <v>0</v>
      </c>
      <c r="M45" s="36">
        <v>0</v>
      </c>
      <c r="N45" s="36">
        <v>0</v>
      </c>
      <c r="O45" s="36">
        <v>0</v>
      </c>
      <c r="P45" s="36">
        <f t="shared" si="2"/>
        <v>0</v>
      </c>
      <c r="Q45" s="36">
        <v>0</v>
      </c>
      <c r="R45" s="36">
        <v>0</v>
      </c>
      <c r="S45" s="36">
        <v>0</v>
      </c>
      <c r="T45" s="36">
        <v>0</v>
      </c>
      <c r="U45" s="36">
        <f t="shared" si="3"/>
        <v>0</v>
      </c>
      <c r="V45" s="36">
        <v>0</v>
      </c>
      <c r="W45" s="257">
        <f t="shared" si="4"/>
        <v>1071887</v>
      </c>
      <c r="X45" s="36">
        <v>0</v>
      </c>
      <c r="Y45" s="258">
        <f t="shared" si="5"/>
        <v>1071887</v>
      </c>
    </row>
    <row r="46" spans="1:25" ht="12.75" hidden="1" outlineLevel="1">
      <c r="A46" s="1" t="s">
        <v>3165</v>
      </c>
      <c r="C46" s="1" t="s">
        <v>3166</v>
      </c>
      <c r="D46" s="2" t="s">
        <v>3167</v>
      </c>
      <c r="E46" s="1">
        <v>789176.46</v>
      </c>
      <c r="F46" s="1">
        <v>786565.01</v>
      </c>
      <c r="G46" s="1">
        <f t="shared" si="0"/>
        <v>1575741.47</v>
      </c>
      <c r="H46" s="1">
        <v>117038.47</v>
      </c>
      <c r="I46" s="1">
        <v>0</v>
      </c>
      <c r="J46" s="1">
        <v>0</v>
      </c>
      <c r="K46" s="1">
        <v>0</v>
      </c>
      <c r="L46" s="1">
        <f t="shared" si="1"/>
        <v>0</v>
      </c>
      <c r="M46" s="1">
        <v>0</v>
      </c>
      <c r="N46" s="1">
        <v>0</v>
      </c>
      <c r="O46" s="1">
        <v>0</v>
      </c>
      <c r="P46" s="1">
        <f t="shared" si="2"/>
        <v>0</v>
      </c>
      <c r="Q46" s="1">
        <v>0</v>
      </c>
      <c r="R46" s="1">
        <v>0</v>
      </c>
      <c r="S46" s="1">
        <v>0</v>
      </c>
      <c r="T46" s="1">
        <v>0</v>
      </c>
      <c r="U46" s="1">
        <f t="shared" si="3"/>
        <v>0</v>
      </c>
      <c r="V46" s="1">
        <v>2306173.63</v>
      </c>
      <c r="W46" s="212">
        <f t="shared" si="4"/>
        <v>3998953.57</v>
      </c>
      <c r="X46" s="1">
        <v>0</v>
      </c>
      <c r="Y46" s="256">
        <f t="shared" si="5"/>
        <v>3998953.57</v>
      </c>
    </row>
    <row r="47" spans="1:25" ht="12.75" customHeight="1" collapsed="1">
      <c r="A47" s="252" t="s">
        <v>3168</v>
      </c>
      <c r="B47" s="30"/>
      <c r="C47" s="252" t="s">
        <v>3169</v>
      </c>
      <c r="D47" s="31"/>
      <c r="E47" s="32">
        <v>789176.46</v>
      </c>
      <c r="F47" s="32">
        <v>786565.01</v>
      </c>
      <c r="G47" s="36">
        <f t="shared" si="0"/>
        <v>1575741.47</v>
      </c>
      <c r="H47" s="36">
        <v>117038.47</v>
      </c>
      <c r="I47" s="36">
        <v>0</v>
      </c>
      <c r="J47" s="36">
        <v>0</v>
      </c>
      <c r="K47" s="36">
        <v>0</v>
      </c>
      <c r="L47" s="36">
        <f t="shared" si="1"/>
        <v>0</v>
      </c>
      <c r="M47" s="36">
        <v>0</v>
      </c>
      <c r="N47" s="36">
        <v>0</v>
      </c>
      <c r="O47" s="36">
        <v>0</v>
      </c>
      <c r="P47" s="36">
        <f t="shared" si="2"/>
        <v>0</v>
      </c>
      <c r="Q47" s="36">
        <v>0</v>
      </c>
      <c r="R47" s="36">
        <v>0</v>
      </c>
      <c r="S47" s="36">
        <v>0</v>
      </c>
      <c r="T47" s="36">
        <v>0</v>
      </c>
      <c r="U47" s="36">
        <f t="shared" si="3"/>
        <v>0</v>
      </c>
      <c r="V47" s="36">
        <v>2306173.63</v>
      </c>
      <c r="W47" s="257">
        <f t="shared" si="4"/>
        <v>3998953.57</v>
      </c>
      <c r="X47" s="36">
        <v>0</v>
      </c>
      <c r="Y47" s="258">
        <f t="shared" si="5"/>
        <v>3998953.57</v>
      </c>
    </row>
    <row r="48" spans="1:25" ht="12.75" hidden="1" outlineLevel="1">
      <c r="A48" s="1" t="s">
        <v>3170</v>
      </c>
      <c r="C48" s="1" t="s">
        <v>3171</v>
      </c>
      <c r="D48" s="2" t="s">
        <v>3172</v>
      </c>
      <c r="E48" s="1">
        <v>0</v>
      </c>
      <c r="F48" s="1">
        <v>0</v>
      </c>
      <c r="G48" s="1">
        <f t="shared" si="0"/>
        <v>0</v>
      </c>
      <c r="H48" s="1">
        <v>0</v>
      </c>
      <c r="I48" s="1">
        <v>54498.23</v>
      </c>
      <c r="J48" s="1">
        <v>0</v>
      </c>
      <c r="K48" s="1">
        <v>4041385.77</v>
      </c>
      <c r="L48" s="1">
        <f t="shared" si="1"/>
        <v>4095884</v>
      </c>
      <c r="M48" s="1">
        <v>0</v>
      </c>
      <c r="N48" s="1">
        <v>0</v>
      </c>
      <c r="O48" s="1">
        <v>0</v>
      </c>
      <c r="P48" s="1">
        <f t="shared" si="2"/>
        <v>0</v>
      </c>
      <c r="Q48" s="1">
        <v>0</v>
      </c>
      <c r="R48" s="1">
        <v>0</v>
      </c>
      <c r="S48" s="1">
        <v>0</v>
      </c>
      <c r="T48" s="1">
        <v>0</v>
      </c>
      <c r="U48" s="1">
        <f t="shared" si="3"/>
        <v>0</v>
      </c>
      <c r="V48" s="1">
        <v>0</v>
      </c>
      <c r="W48" s="212">
        <f t="shared" si="4"/>
        <v>4095884</v>
      </c>
      <c r="X48" s="1">
        <v>0</v>
      </c>
      <c r="Y48" s="256">
        <f t="shared" si="5"/>
        <v>4095884</v>
      </c>
    </row>
    <row r="49" spans="1:25" ht="12.75" hidden="1" outlineLevel="1">
      <c r="A49" s="1" t="s">
        <v>3173</v>
      </c>
      <c r="C49" s="1" t="s">
        <v>3174</v>
      </c>
      <c r="D49" s="2" t="s">
        <v>3175</v>
      </c>
      <c r="E49" s="1">
        <v>0</v>
      </c>
      <c r="F49" s="1">
        <v>0</v>
      </c>
      <c r="G49" s="1">
        <f t="shared" si="0"/>
        <v>0</v>
      </c>
      <c r="H49" s="1">
        <v>0</v>
      </c>
      <c r="I49" s="1">
        <v>-9645.07</v>
      </c>
      <c r="J49" s="1">
        <v>0</v>
      </c>
      <c r="K49" s="1">
        <v>-187808.79</v>
      </c>
      <c r="L49" s="1">
        <f t="shared" si="1"/>
        <v>-197453.86000000002</v>
      </c>
      <c r="M49" s="1">
        <v>0</v>
      </c>
      <c r="N49" s="1">
        <v>0</v>
      </c>
      <c r="O49" s="1">
        <v>0</v>
      </c>
      <c r="P49" s="1">
        <f t="shared" si="2"/>
        <v>0</v>
      </c>
      <c r="Q49" s="1">
        <v>0</v>
      </c>
      <c r="R49" s="1">
        <v>0</v>
      </c>
      <c r="S49" s="1">
        <v>0</v>
      </c>
      <c r="T49" s="1">
        <v>0</v>
      </c>
      <c r="U49" s="1">
        <f t="shared" si="3"/>
        <v>0</v>
      </c>
      <c r="V49" s="1">
        <v>0</v>
      </c>
      <c r="W49" s="212">
        <f t="shared" si="4"/>
        <v>-197453.86000000002</v>
      </c>
      <c r="X49" s="1">
        <v>0</v>
      </c>
      <c r="Y49" s="256">
        <f t="shared" si="5"/>
        <v>-197453.86000000002</v>
      </c>
    </row>
    <row r="50" spans="1:25" ht="12.75" customHeight="1" collapsed="1">
      <c r="A50" s="252" t="s">
        <v>3176</v>
      </c>
      <c r="B50" s="30"/>
      <c r="C50" s="252" t="s">
        <v>3794</v>
      </c>
      <c r="D50" s="31"/>
      <c r="E50" s="32">
        <v>0</v>
      </c>
      <c r="F50" s="32">
        <v>0</v>
      </c>
      <c r="G50" s="36">
        <f t="shared" si="0"/>
        <v>0</v>
      </c>
      <c r="H50" s="36">
        <v>0</v>
      </c>
      <c r="I50" s="36">
        <v>44853.16</v>
      </c>
      <c r="J50" s="36">
        <v>0</v>
      </c>
      <c r="K50" s="36">
        <v>3853576.98</v>
      </c>
      <c r="L50" s="36">
        <f t="shared" si="1"/>
        <v>3898430.14</v>
      </c>
      <c r="M50" s="36">
        <v>0</v>
      </c>
      <c r="N50" s="36">
        <v>0</v>
      </c>
      <c r="O50" s="36">
        <v>0</v>
      </c>
      <c r="P50" s="36">
        <f t="shared" si="2"/>
        <v>0</v>
      </c>
      <c r="Q50" s="36">
        <v>0</v>
      </c>
      <c r="R50" s="36">
        <v>0</v>
      </c>
      <c r="S50" s="36">
        <v>0</v>
      </c>
      <c r="T50" s="36">
        <v>0</v>
      </c>
      <c r="U50" s="36">
        <f t="shared" si="3"/>
        <v>0</v>
      </c>
      <c r="V50" s="36">
        <v>0</v>
      </c>
      <c r="W50" s="257">
        <f t="shared" si="4"/>
        <v>3898430.14</v>
      </c>
      <c r="X50" s="36">
        <v>0</v>
      </c>
      <c r="Y50" s="258">
        <f t="shared" si="5"/>
        <v>3898430.14</v>
      </c>
    </row>
    <row r="51" spans="1:25" ht="12.75" customHeight="1">
      <c r="A51" s="252" t="s">
        <v>3177</v>
      </c>
      <c r="B51" s="30"/>
      <c r="C51" s="252" t="s">
        <v>3178</v>
      </c>
      <c r="D51" s="31"/>
      <c r="E51" s="32">
        <v>0</v>
      </c>
      <c r="F51" s="32">
        <v>0</v>
      </c>
      <c r="G51" s="36">
        <f t="shared" si="0"/>
        <v>0</v>
      </c>
      <c r="H51" s="36">
        <v>0</v>
      </c>
      <c r="I51" s="36">
        <v>0</v>
      </c>
      <c r="J51" s="36">
        <v>0</v>
      </c>
      <c r="K51" s="36">
        <v>0</v>
      </c>
      <c r="L51" s="36">
        <f t="shared" si="1"/>
        <v>0</v>
      </c>
      <c r="M51" s="36">
        <v>0</v>
      </c>
      <c r="N51" s="36">
        <v>0</v>
      </c>
      <c r="O51" s="36">
        <v>0</v>
      </c>
      <c r="P51" s="36">
        <f t="shared" si="2"/>
        <v>0</v>
      </c>
      <c r="Q51" s="36">
        <v>0</v>
      </c>
      <c r="R51" s="36">
        <v>0</v>
      </c>
      <c r="S51" s="36">
        <v>0</v>
      </c>
      <c r="T51" s="36">
        <v>0</v>
      </c>
      <c r="U51" s="36">
        <f t="shared" si="3"/>
        <v>0</v>
      </c>
      <c r="V51" s="36">
        <v>0</v>
      </c>
      <c r="W51" s="257">
        <f t="shared" si="4"/>
        <v>0</v>
      </c>
      <c r="X51" s="36">
        <v>0</v>
      </c>
      <c r="Y51" s="258">
        <f t="shared" si="5"/>
        <v>0</v>
      </c>
    </row>
    <row r="52" spans="1:25" ht="12.75" customHeight="1">
      <c r="A52" s="2"/>
      <c r="B52" s="30"/>
      <c r="C52" s="252"/>
      <c r="D52" s="31"/>
      <c r="E52" s="32"/>
      <c r="F52" s="32"/>
      <c r="G52" s="36"/>
      <c r="H52" s="36"/>
      <c r="I52" s="36"/>
      <c r="J52" s="36"/>
      <c r="K52" s="36"/>
      <c r="L52" s="39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257"/>
      <c r="X52" s="36"/>
      <c r="Y52" s="258"/>
    </row>
    <row r="53" spans="1:25" s="259" customFormat="1" ht="12.75" customHeight="1">
      <c r="A53" s="29"/>
      <c r="B53" s="23" t="s">
        <v>3179</v>
      </c>
      <c r="C53" s="251"/>
      <c r="D53" s="24"/>
      <c r="E53" s="27">
        <f aca="true" t="shared" si="6" ref="E53:Y53">+E14+E26+E31+E32+E34+E41+E45+E47+E50+E24+E51+E43+E42</f>
        <v>12027965.869</v>
      </c>
      <c r="F53" s="27">
        <f t="shared" si="6"/>
        <v>85356.00999999978</v>
      </c>
      <c r="G53" s="39">
        <f t="shared" si="6"/>
        <v>12113321.879</v>
      </c>
      <c r="H53" s="39">
        <f t="shared" si="6"/>
        <v>33953137.41599999</v>
      </c>
      <c r="I53" s="39">
        <f t="shared" si="6"/>
        <v>250279.72</v>
      </c>
      <c r="J53" s="39">
        <f t="shared" si="6"/>
        <v>0</v>
      </c>
      <c r="K53" s="39">
        <f t="shared" si="6"/>
        <v>4335031.45</v>
      </c>
      <c r="L53" s="39">
        <f t="shared" si="6"/>
        <v>4585311.17</v>
      </c>
      <c r="M53" s="39">
        <f t="shared" si="6"/>
        <v>0</v>
      </c>
      <c r="N53" s="39">
        <f t="shared" si="6"/>
        <v>19157285.700000003</v>
      </c>
      <c r="O53" s="39">
        <f t="shared" si="6"/>
        <v>26558.67</v>
      </c>
      <c r="P53" s="39">
        <f t="shared" si="6"/>
        <v>19183844.370000005</v>
      </c>
      <c r="Q53" s="39">
        <f t="shared" si="6"/>
        <v>-179012.31</v>
      </c>
      <c r="R53" s="39">
        <f t="shared" si="6"/>
        <v>3114210.15</v>
      </c>
      <c r="S53" s="39">
        <f t="shared" si="6"/>
        <v>110401.05</v>
      </c>
      <c r="T53" s="39">
        <f t="shared" si="6"/>
        <v>-264.98</v>
      </c>
      <c r="U53" s="39">
        <f t="shared" si="6"/>
        <v>3045333.9099999997</v>
      </c>
      <c r="V53" s="39">
        <f t="shared" si="6"/>
        <v>3129299.79</v>
      </c>
      <c r="W53" s="39">
        <f t="shared" si="6"/>
        <v>76010248.535</v>
      </c>
      <c r="X53" s="39">
        <f t="shared" si="6"/>
        <v>0</v>
      </c>
      <c r="Y53" s="39">
        <f t="shared" si="6"/>
        <v>76010248.535</v>
      </c>
    </row>
    <row r="54" spans="1:25" ht="12.75" customHeight="1">
      <c r="A54" s="2"/>
      <c r="B54" s="30"/>
      <c r="C54" s="252"/>
      <c r="D54" s="31"/>
      <c r="E54" s="32"/>
      <c r="F54" s="32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257"/>
      <c r="X54" s="36"/>
      <c r="Y54" s="258"/>
    </row>
    <row r="55" spans="1:25" ht="12.75" customHeight="1">
      <c r="A55" s="29"/>
      <c r="B55" s="23" t="s">
        <v>3796</v>
      </c>
      <c r="C55" s="251"/>
      <c r="D55" s="24"/>
      <c r="E55" s="27"/>
      <c r="F55" s="27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260"/>
      <c r="X55" s="39"/>
      <c r="Y55" s="258"/>
    </row>
    <row r="56" spans="1:25" ht="12.75" customHeight="1">
      <c r="A56" s="2" t="s">
        <v>3180</v>
      </c>
      <c r="B56" s="30"/>
      <c r="C56" s="252" t="s">
        <v>3181</v>
      </c>
      <c r="D56" s="31"/>
      <c r="E56" s="32">
        <v>0</v>
      </c>
      <c r="F56" s="32">
        <v>0</v>
      </c>
      <c r="G56" s="36">
        <f aca="true" t="shared" si="7" ref="G56:G84">E56+F56</f>
        <v>0</v>
      </c>
      <c r="H56" s="36">
        <v>0</v>
      </c>
      <c r="I56" s="36">
        <v>0</v>
      </c>
      <c r="J56" s="36">
        <v>0</v>
      </c>
      <c r="K56" s="36">
        <v>0</v>
      </c>
      <c r="L56" s="36">
        <f aca="true" t="shared" si="8" ref="L56:L84">I56+J56+K56</f>
        <v>0</v>
      </c>
      <c r="M56" s="36">
        <v>0</v>
      </c>
      <c r="N56" s="36">
        <v>0</v>
      </c>
      <c r="O56" s="36">
        <v>0</v>
      </c>
      <c r="P56" s="36">
        <f aca="true" t="shared" si="9" ref="P56:P84">M56+N56+O56</f>
        <v>0</v>
      </c>
      <c r="Q56" s="36">
        <v>0</v>
      </c>
      <c r="R56" s="36">
        <v>0</v>
      </c>
      <c r="S56" s="36">
        <v>0</v>
      </c>
      <c r="T56" s="36">
        <v>0</v>
      </c>
      <c r="U56" s="36">
        <f aca="true" t="shared" si="10" ref="U56:U84">Q56+R56+S56+T56</f>
        <v>0</v>
      </c>
      <c r="V56" s="36">
        <v>0</v>
      </c>
      <c r="W56" s="257">
        <f aca="true" t="shared" si="11" ref="W56:W84">G56+H56+L56+P56+U56+V56</f>
        <v>0</v>
      </c>
      <c r="X56" s="36">
        <v>0</v>
      </c>
      <c r="Y56" s="258">
        <f aca="true" t="shared" si="12" ref="Y56:Y84">W56+X56</f>
        <v>0</v>
      </c>
    </row>
    <row r="57" spans="1:25" ht="12.75" hidden="1" outlineLevel="1">
      <c r="A57" s="1" t="s">
        <v>3182</v>
      </c>
      <c r="C57" s="1" t="s">
        <v>3183</v>
      </c>
      <c r="D57" s="2" t="s">
        <v>3184</v>
      </c>
      <c r="E57" s="1">
        <v>0</v>
      </c>
      <c r="F57" s="1">
        <v>0</v>
      </c>
      <c r="G57" s="1">
        <f t="shared" si="7"/>
        <v>0</v>
      </c>
      <c r="H57" s="1">
        <v>760974.87</v>
      </c>
      <c r="I57" s="1">
        <v>0</v>
      </c>
      <c r="J57" s="1">
        <v>0</v>
      </c>
      <c r="K57" s="1">
        <v>0</v>
      </c>
      <c r="L57" s="1">
        <f t="shared" si="8"/>
        <v>0</v>
      </c>
      <c r="M57" s="1">
        <v>0</v>
      </c>
      <c r="N57" s="1">
        <v>0</v>
      </c>
      <c r="O57" s="1">
        <v>0</v>
      </c>
      <c r="P57" s="1">
        <f t="shared" si="9"/>
        <v>0</v>
      </c>
      <c r="Q57" s="1">
        <v>0</v>
      </c>
      <c r="R57" s="1">
        <v>0</v>
      </c>
      <c r="S57" s="1">
        <v>0</v>
      </c>
      <c r="T57" s="1">
        <v>0</v>
      </c>
      <c r="U57" s="1">
        <f t="shared" si="10"/>
        <v>0</v>
      </c>
      <c r="V57" s="1">
        <v>0</v>
      </c>
      <c r="W57" s="212">
        <f t="shared" si="11"/>
        <v>760974.87</v>
      </c>
      <c r="X57" s="1">
        <v>0</v>
      </c>
      <c r="Y57" s="256">
        <f t="shared" si="12"/>
        <v>760974.87</v>
      </c>
    </row>
    <row r="58" spans="1:25" ht="12.75" customHeight="1" collapsed="1">
      <c r="A58" s="252" t="s">
        <v>3185</v>
      </c>
      <c r="B58" s="30"/>
      <c r="C58" s="252" t="s">
        <v>3838</v>
      </c>
      <c r="D58" s="31"/>
      <c r="E58" s="32">
        <v>0</v>
      </c>
      <c r="F58" s="32">
        <v>0</v>
      </c>
      <c r="G58" s="36">
        <f t="shared" si="7"/>
        <v>0</v>
      </c>
      <c r="H58" s="36">
        <v>760974.87</v>
      </c>
      <c r="I58" s="36">
        <v>0</v>
      </c>
      <c r="J58" s="36">
        <v>0</v>
      </c>
      <c r="K58" s="36">
        <v>0</v>
      </c>
      <c r="L58" s="36">
        <f t="shared" si="8"/>
        <v>0</v>
      </c>
      <c r="M58" s="36">
        <v>0</v>
      </c>
      <c r="N58" s="36">
        <v>0</v>
      </c>
      <c r="O58" s="36">
        <v>0</v>
      </c>
      <c r="P58" s="36">
        <f t="shared" si="9"/>
        <v>0</v>
      </c>
      <c r="Q58" s="36">
        <v>0</v>
      </c>
      <c r="R58" s="36">
        <v>0</v>
      </c>
      <c r="S58" s="36">
        <v>0</v>
      </c>
      <c r="T58" s="36">
        <v>0</v>
      </c>
      <c r="U58" s="36">
        <f t="shared" si="10"/>
        <v>0</v>
      </c>
      <c r="V58" s="36">
        <v>0</v>
      </c>
      <c r="W58" s="257">
        <f t="shared" si="11"/>
        <v>760974.87</v>
      </c>
      <c r="X58" s="36">
        <v>0</v>
      </c>
      <c r="Y58" s="258">
        <f t="shared" si="12"/>
        <v>760974.87</v>
      </c>
    </row>
    <row r="59" spans="1:25" ht="12.75" hidden="1" outlineLevel="1">
      <c r="A59" s="1" t="s">
        <v>3186</v>
      </c>
      <c r="C59" s="1" t="s">
        <v>3187</v>
      </c>
      <c r="D59" s="2" t="s">
        <v>3188</v>
      </c>
      <c r="E59" s="1">
        <v>0</v>
      </c>
      <c r="F59" s="1">
        <v>0</v>
      </c>
      <c r="G59" s="1">
        <f t="shared" si="7"/>
        <v>0</v>
      </c>
      <c r="H59" s="1">
        <v>0</v>
      </c>
      <c r="I59" s="1">
        <v>-41862.02</v>
      </c>
      <c r="J59" s="1">
        <v>0</v>
      </c>
      <c r="K59" s="1">
        <v>-2869802.06</v>
      </c>
      <c r="L59" s="1">
        <f t="shared" si="8"/>
        <v>-2911664.08</v>
      </c>
      <c r="M59" s="1">
        <v>0</v>
      </c>
      <c r="N59" s="1">
        <v>0</v>
      </c>
      <c r="O59" s="1">
        <v>0</v>
      </c>
      <c r="P59" s="1">
        <f t="shared" si="9"/>
        <v>0</v>
      </c>
      <c r="Q59" s="1">
        <v>0</v>
      </c>
      <c r="R59" s="1">
        <v>0</v>
      </c>
      <c r="S59" s="1">
        <v>0</v>
      </c>
      <c r="T59" s="1">
        <v>0</v>
      </c>
      <c r="U59" s="1">
        <f t="shared" si="10"/>
        <v>0</v>
      </c>
      <c r="V59" s="1">
        <v>0</v>
      </c>
      <c r="W59" s="212">
        <f t="shared" si="11"/>
        <v>-2911664.08</v>
      </c>
      <c r="X59" s="1">
        <v>0</v>
      </c>
      <c r="Y59" s="256">
        <f t="shared" si="12"/>
        <v>-2911664.08</v>
      </c>
    </row>
    <row r="60" spans="1:25" ht="12.75" hidden="1" outlineLevel="1">
      <c r="A60" s="1" t="s">
        <v>3189</v>
      </c>
      <c r="C60" s="1" t="s">
        <v>3190</v>
      </c>
      <c r="D60" s="2" t="s">
        <v>3191</v>
      </c>
      <c r="E60" s="1">
        <v>0</v>
      </c>
      <c r="F60" s="1">
        <v>0</v>
      </c>
      <c r="G60" s="1">
        <f t="shared" si="7"/>
        <v>0</v>
      </c>
      <c r="H60" s="1">
        <v>0</v>
      </c>
      <c r="I60" s="1">
        <v>83467.85</v>
      </c>
      <c r="J60" s="1">
        <v>0</v>
      </c>
      <c r="K60" s="1">
        <v>5434693</v>
      </c>
      <c r="L60" s="1">
        <f t="shared" si="8"/>
        <v>5518160.85</v>
      </c>
      <c r="M60" s="1">
        <v>0</v>
      </c>
      <c r="N60" s="1">
        <v>0</v>
      </c>
      <c r="O60" s="1">
        <v>0</v>
      </c>
      <c r="P60" s="1">
        <f t="shared" si="9"/>
        <v>0</v>
      </c>
      <c r="Q60" s="1">
        <v>0</v>
      </c>
      <c r="R60" s="1">
        <v>0</v>
      </c>
      <c r="S60" s="1">
        <v>0</v>
      </c>
      <c r="T60" s="1">
        <v>0</v>
      </c>
      <c r="U60" s="1">
        <f t="shared" si="10"/>
        <v>0</v>
      </c>
      <c r="V60" s="1">
        <v>0</v>
      </c>
      <c r="W60" s="212">
        <f t="shared" si="11"/>
        <v>5518160.85</v>
      </c>
      <c r="X60" s="1">
        <v>0</v>
      </c>
      <c r="Y60" s="256">
        <f t="shared" si="12"/>
        <v>5518160.85</v>
      </c>
    </row>
    <row r="61" spans="1:25" ht="12.75" hidden="1" outlineLevel="1">
      <c r="A61" s="1" t="s">
        <v>3192</v>
      </c>
      <c r="C61" s="1" t="s">
        <v>3193</v>
      </c>
      <c r="D61" s="2" t="s">
        <v>3194</v>
      </c>
      <c r="E61" s="1">
        <v>0</v>
      </c>
      <c r="F61" s="1">
        <v>0</v>
      </c>
      <c r="G61" s="1">
        <f t="shared" si="7"/>
        <v>0</v>
      </c>
      <c r="H61" s="1">
        <v>0</v>
      </c>
      <c r="I61" s="1">
        <v>274957.75</v>
      </c>
      <c r="J61" s="1">
        <v>0</v>
      </c>
      <c r="K61" s="1">
        <v>14585089.65</v>
      </c>
      <c r="L61" s="1">
        <f t="shared" si="8"/>
        <v>14860047.4</v>
      </c>
      <c r="M61" s="1">
        <v>0</v>
      </c>
      <c r="N61" s="1">
        <v>0</v>
      </c>
      <c r="O61" s="1">
        <v>0</v>
      </c>
      <c r="P61" s="1">
        <f t="shared" si="9"/>
        <v>0</v>
      </c>
      <c r="Q61" s="1">
        <v>0</v>
      </c>
      <c r="R61" s="1">
        <v>0</v>
      </c>
      <c r="S61" s="1">
        <v>0</v>
      </c>
      <c r="T61" s="1">
        <v>0</v>
      </c>
      <c r="U61" s="1">
        <f t="shared" si="10"/>
        <v>0</v>
      </c>
      <c r="V61" s="1">
        <v>0</v>
      </c>
      <c r="W61" s="212">
        <f t="shared" si="11"/>
        <v>14860047.4</v>
      </c>
      <c r="X61" s="1">
        <v>0</v>
      </c>
      <c r="Y61" s="256">
        <f t="shared" si="12"/>
        <v>14860047.4</v>
      </c>
    </row>
    <row r="62" spans="1:25" ht="12.75" hidden="1" outlineLevel="1">
      <c r="A62" s="1" t="s">
        <v>3195</v>
      </c>
      <c r="C62" s="1" t="s">
        <v>3196</v>
      </c>
      <c r="D62" s="2" t="s">
        <v>3197</v>
      </c>
      <c r="E62" s="1">
        <v>0</v>
      </c>
      <c r="F62" s="1">
        <v>0</v>
      </c>
      <c r="G62" s="1">
        <f t="shared" si="7"/>
        <v>0</v>
      </c>
      <c r="H62" s="1">
        <v>0</v>
      </c>
      <c r="I62" s="1">
        <v>-54655.38</v>
      </c>
      <c r="J62" s="1">
        <v>0</v>
      </c>
      <c r="K62" s="1">
        <v>-800658.52</v>
      </c>
      <c r="L62" s="1">
        <f t="shared" si="8"/>
        <v>-855313.9</v>
      </c>
      <c r="M62" s="1">
        <v>0</v>
      </c>
      <c r="N62" s="1">
        <v>0</v>
      </c>
      <c r="O62" s="1">
        <v>0</v>
      </c>
      <c r="P62" s="1">
        <f t="shared" si="9"/>
        <v>0</v>
      </c>
      <c r="Q62" s="1">
        <v>0</v>
      </c>
      <c r="R62" s="1">
        <v>0</v>
      </c>
      <c r="S62" s="1">
        <v>0</v>
      </c>
      <c r="T62" s="1">
        <v>0</v>
      </c>
      <c r="U62" s="1">
        <f t="shared" si="10"/>
        <v>0</v>
      </c>
      <c r="V62" s="1">
        <v>0</v>
      </c>
      <c r="W62" s="212">
        <f t="shared" si="11"/>
        <v>-855313.9</v>
      </c>
      <c r="X62" s="1">
        <v>0</v>
      </c>
      <c r="Y62" s="256">
        <f t="shared" si="12"/>
        <v>-855313.9</v>
      </c>
    </row>
    <row r="63" spans="1:25" ht="12.75" customHeight="1" collapsed="1">
      <c r="A63" s="252" t="s">
        <v>3198</v>
      </c>
      <c r="B63" s="30"/>
      <c r="C63" s="252" t="s">
        <v>3797</v>
      </c>
      <c r="D63" s="31"/>
      <c r="E63" s="32">
        <v>0</v>
      </c>
      <c r="F63" s="32">
        <v>0</v>
      </c>
      <c r="G63" s="36">
        <f t="shared" si="7"/>
        <v>0</v>
      </c>
      <c r="H63" s="36">
        <v>0</v>
      </c>
      <c r="I63" s="36">
        <v>261908.2</v>
      </c>
      <c r="J63" s="36">
        <v>0</v>
      </c>
      <c r="K63" s="36">
        <v>16349322.07</v>
      </c>
      <c r="L63" s="36">
        <f t="shared" si="8"/>
        <v>16611230.27</v>
      </c>
      <c r="M63" s="36">
        <v>0</v>
      </c>
      <c r="N63" s="36">
        <v>0</v>
      </c>
      <c r="O63" s="36">
        <v>0</v>
      </c>
      <c r="P63" s="36">
        <f t="shared" si="9"/>
        <v>0</v>
      </c>
      <c r="Q63" s="36">
        <v>0</v>
      </c>
      <c r="R63" s="36">
        <v>0</v>
      </c>
      <c r="S63" s="36">
        <v>0</v>
      </c>
      <c r="T63" s="36">
        <v>0</v>
      </c>
      <c r="U63" s="36">
        <f t="shared" si="10"/>
        <v>0</v>
      </c>
      <c r="V63" s="36">
        <v>0</v>
      </c>
      <c r="W63" s="257">
        <f t="shared" si="11"/>
        <v>16611230.27</v>
      </c>
      <c r="X63" s="36">
        <v>0</v>
      </c>
      <c r="Y63" s="258">
        <f t="shared" si="12"/>
        <v>16611230.27</v>
      </c>
    </row>
    <row r="64" spans="1:25" ht="12.75" hidden="1" outlineLevel="1">
      <c r="A64" s="1" t="s">
        <v>3199</v>
      </c>
      <c r="C64" s="1" t="s">
        <v>3200</v>
      </c>
      <c r="D64" s="2" t="s">
        <v>3201</v>
      </c>
      <c r="E64" s="1">
        <v>0</v>
      </c>
      <c r="F64" s="1">
        <v>0</v>
      </c>
      <c r="G64" s="1">
        <f t="shared" si="7"/>
        <v>0</v>
      </c>
      <c r="H64" s="1">
        <v>0</v>
      </c>
      <c r="I64" s="1">
        <v>0</v>
      </c>
      <c r="J64" s="1">
        <v>0</v>
      </c>
      <c r="K64" s="1">
        <v>0</v>
      </c>
      <c r="L64" s="1">
        <f t="shared" si="8"/>
        <v>0</v>
      </c>
      <c r="M64" s="1">
        <v>0</v>
      </c>
      <c r="N64" s="1">
        <v>0</v>
      </c>
      <c r="O64" s="1">
        <v>0</v>
      </c>
      <c r="P64" s="1">
        <f t="shared" si="9"/>
        <v>0</v>
      </c>
      <c r="Q64" s="1">
        <v>0</v>
      </c>
      <c r="R64" s="1">
        <v>0</v>
      </c>
      <c r="S64" s="1">
        <v>311459.33</v>
      </c>
      <c r="T64" s="1">
        <v>0</v>
      </c>
      <c r="U64" s="1">
        <f t="shared" si="10"/>
        <v>311459.33</v>
      </c>
      <c r="V64" s="1">
        <v>0</v>
      </c>
      <c r="W64" s="212">
        <f t="shared" si="11"/>
        <v>311459.33</v>
      </c>
      <c r="X64" s="1">
        <v>0</v>
      </c>
      <c r="Y64" s="256">
        <f t="shared" si="12"/>
        <v>311459.33</v>
      </c>
    </row>
    <row r="65" spans="1:25" ht="12.75" customHeight="1" collapsed="1">
      <c r="A65" s="252" t="s">
        <v>3202</v>
      </c>
      <c r="B65" s="30"/>
      <c r="C65" s="252" t="s">
        <v>3839</v>
      </c>
      <c r="D65" s="31"/>
      <c r="E65" s="32">
        <v>0</v>
      </c>
      <c r="F65" s="32">
        <v>0</v>
      </c>
      <c r="G65" s="36">
        <f t="shared" si="7"/>
        <v>0</v>
      </c>
      <c r="H65" s="36">
        <v>0</v>
      </c>
      <c r="I65" s="36">
        <v>0</v>
      </c>
      <c r="J65" s="36">
        <v>0</v>
      </c>
      <c r="K65" s="36">
        <v>0</v>
      </c>
      <c r="L65" s="36">
        <f t="shared" si="8"/>
        <v>0</v>
      </c>
      <c r="M65" s="36">
        <v>0</v>
      </c>
      <c r="N65" s="36">
        <v>0</v>
      </c>
      <c r="O65" s="36">
        <v>0</v>
      </c>
      <c r="P65" s="36">
        <f t="shared" si="9"/>
        <v>0</v>
      </c>
      <c r="Q65" s="36">
        <v>0</v>
      </c>
      <c r="R65" s="36">
        <v>0</v>
      </c>
      <c r="S65" s="36">
        <v>311459.33</v>
      </c>
      <c r="T65" s="36">
        <v>0</v>
      </c>
      <c r="U65" s="36">
        <f t="shared" si="10"/>
        <v>311459.33</v>
      </c>
      <c r="V65" s="36">
        <v>0</v>
      </c>
      <c r="W65" s="257">
        <f t="shared" si="11"/>
        <v>311459.33</v>
      </c>
      <c r="X65" s="36">
        <v>0</v>
      </c>
      <c r="Y65" s="258">
        <f t="shared" si="12"/>
        <v>311459.33</v>
      </c>
    </row>
    <row r="66" spans="1:25" ht="12.75" hidden="1" outlineLevel="1">
      <c r="A66" s="1" t="s">
        <v>3203</v>
      </c>
      <c r="C66" s="1" t="s">
        <v>3204</v>
      </c>
      <c r="D66" s="2" t="s">
        <v>3205</v>
      </c>
      <c r="E66" s="1">
        <v>0</v>
      </c>
      <c r="F66" s="1">
        <v>0</v>
      </c>
      <c r="G66" s="1">
        <f t="shared" si="7"/>
        <v>0</v>
      </c>
      <c r="H66" s="1">
        <v>0</v>
      </c>
      <c r="I66" s="1">
        <v>0</v>
      </c>
      <c r="J66" s="1">
        <v>0</v>
      </c>
      <c r="K66" s="1">
        <v>0</v>
      </c>
      <c r="L66" s="1">
        <f t="shared" si="8"/>
        <v>0</v>
      </c>
      <c r="M66" s="1">
        <v>0</v>
      </c>
      <c r="N66" s="1">
        <v>5108275.53</v>
      </c>
      <c r="O66" s="1">
        <v>303011.48</v>
      </c>
      <c r="P66" s="1">
        <f t="shared" si="9"/>
        <v>5411287.01</v>
      </c>
      <c r="Q66" s="1">
        <v>0</v>
      </c>
      <c r="R66" s="1">
        <v>0</v>
      </c>
      <c r="S66" s="1">
        <v>0</v>
      </c>
      <c r="T66" s="1">
        <v>0</v>
      </c>
      <c r="U66" s="1">
        <f t="shared" si="10"/>
        <v>0</v>
      </c>
      <c r="V66" s="1">
        <v>0</v>
      </c>
      <c r="W66" s="212">
        <f t="shared" si="11"/>
        <v>5411287.01</v>
      </c>
      <c r="X66" s="1">
        <v>0</v>
      </c>
      <c r="Y66" s="256">
        <f t="shared" si="12"/>
        <v>5411287.01</v>
      </c>
    </row>
    <row r="67" spans="1:25" ht="12.75" hidden="1" outlineLevel="1">
      <c r="A67" s="1" t="s">
        <v>3206</v>
      </c>
      <c r="C67" s="1" t="s">
        <v>3207</v>
      </c>
      <c r="D67" s="2" t="s">
        <v>3208</v>
      </c>
      <c r="E67" s="1">
        <v>-94.82</v>
      </c>
      <c r="F67" s="1">
        <v>0</v>
      </c>
      <c r="G67" s="1">
        <f t="shared" si="7"/>
        <v>-94.82</v>
      </c>
      <c r="H67" s="1">
        <v>4481.76</v>
      </c>
      <c r="I67" s="1">
        <v>0</v>
      </c>
      <c r="J67" s="1">
        <v>0</v>
      </c>
      <c r="K67" s="1">
        <v>0</v>
      </c>
      <c r="L67" s="1">
        <f t="shared" si="8"/>
        <v>0</v>
      </c>
      <c r="M67" s="1">
        <v>0</v>
      </c>
      <c r="N67" s="1">
        <v>71994456.76</v>
      </c>
      <c r="O67" s="1">
        <v>26100128.65</v>
      </c>
      <c r="P67" s="1">
        <f t="shared" si="9"/>
        <v>98094585.41</v>
      </c>
      <c r="Q67" s="1">
        <v>0</v>
      </c>
      <c r="R67" s="1">
        <v>0</v>
      </c>
      <c r="S67" s="1">
        <v>0</v>
      </c>
      <c r="T67" s="1">
        <v>0</v>
      </c>
      <c r="U67" s="1">
        <f t="shared" si="10"/>
        <v>0</v>
      </c>
      <c r="V67" s="1">
        <v>15446315.17</v>
      </c>
      <c r="W67" s="212">
        <f t="shared" si="11"/>
        <v>113545287.52</v>
      </c>
      <c r="X67" s="1">
        <v>0</v>
      </c>
      <c r="Y67" s="256">
        <f t="shared" si="12"/>
        <v>113545287.52</v>
      </c>
    </row>
    <row r="68" spans="1:25" ht="12.75" hidden="1" outlineLevel="1">
      <c r="A68" s="1" t="s">
        <v>3209</v>
      </c>
      <c r="C68" s="1" t="s">
        <v>3210</v>
      </c>
      <c r="D68" s="2" t="s">
        <v>3211</v>
      </c>
      <c r="E68" s="1">
        <v>0</v>
      </c>
      <c r="F68" s="1">
        <v>0</v>
      </c>
      <c r="G68" s="1">
        <f t="shared" si="7"/>
        <v>0</v>
      </c>
      <c r="H68" s="1">
        <v>0</v>
      </c>
      <c r="I68" s="1">
        <v>0</v>
      </c>
      <c r="J68" s="1">
        <v>0</v>
      </c>
      <c r="K68" s="1">
        <v>0</v>
      </c>
      <c r="L68" s="1">
        <f t="shared" si="8"/>
        <v>0</v>
      </c>
      <c r="M68" s="1">
        <v>0</v>
      </c>
      <c r="N68" s="1">
        <v>480158.41</v>
      </c>
      <c r="O68" s="1">
        <v>152909.16</v>
      </c>
      <c r="P68" s="1">
        <f t="shared" si="9"/>
        <v>633067.57</v>
      </c>
      <c r="Q68" s="1">
        <v>0</v>
      </c>
      <c r="R68" s="1">
        <v>0</v>
      </c>
      <c r="S68" s="1">
        <v>0</v>
      </c>
      <c r="T68" s="1">
        <v>0</v>
      </c>
      <c r="U68" s="1">
        <f t="shared" si="10"/>
        <v>0</v>
      </c>
      <c r="V68" s="1">
        <v>0</v>
      </c>
      <c r="W68" s="212">
        <f t="shared" si="11"/>
        <v>633067.57</v>
      </c>
      <c r="X68" s="1">
        <v>0</v>
      </c>
      <c r="Y68" s="256">
        <f t="shared" si="12"/>
        <v>633067.57</v>
      </c>
    </row>
    <row r="69" spans="1:25" ht="12.75" hidden="1" outlineLevel="1">
      <c r="A69" s="1" t="s">
        <v>3212</v>
      </c>
      <c r="C69" s="1" t="s">
        <v>3213</v>
      </c>
      <c r="D69" s="2" t="s">
        <v>3214</v>
      </c>
      <c r="E69" s="1">
        <v>37257396.3</v>
      </c>
      <c r="F69" s="1">
        <v>0</v>
      </c>
      <c r="G69" s="1">
        <f t="shared" si="7"/>
        <v>37257396.3</v>
      </c>
      <c r="H69" s="1">
        <v>0</v>
      </c>
      <c r="I69" s="1">
        <v>0</v>
      </c>
      <c r="J69" s="1">
        <v>0</v>
      </c>
      <c r="K69" s="1">
        <v>1222455.83</v>
      </c>
      <c r="L69" s="1">
        <f t="shared" si="8"/>
        <v>1222455.83</v>
      </c>
      <c r="M69" s="1">
        <v>0</v>
      </c>
      <c r="N69" s="1">
        <v>403804.53</v>
      </c>
      <c r="O69" s="1">
        <v>0</v>
      </c>
      <c r="P69" s="1">
        <f t="shared" si="9"/>
        <v>403804.53</v>
      </c>
      <c r="Q69" s="1">
        <v>846458.62</v>
      </c>
      <c r="R69" s="1">
        <v>3489266.94</v>
      </c>
      <c r="S69" s="1">
        <v>210420.64</v>
      </c>
      <c r="T69" s="1">
        <v>0</v>
      </c>
      <c r="U69" s="1">
        <f t="shared" si="10"/>
        <v>4546146.199999999</v>
      </c>
      <c r="V69" s="1">
        <v>1501104.56</v>
      </c>
      <c r="W69" s="212">
        <f t="shared" si="11"/>
        <v>44930907.42</v>
      </c>
      <c r="X69" s="1">
        <v>0</v>
      </c>
      <c r="Y69" s="256">
        <f t="shared" si="12"/>
        <v>44930907.42</v>
      </c>
    </row>
    <row r="70" spans="1:25" ht="12.75" hidden="1" outlineLevel="1">
      <c r="A70" s="1" t="s">
        <v>3215</v>
      </c>
      <c r="C70" s="1" t="s">
        <v>3216</v>
      </c>
      <c r="D70" s="2" t="s">
        <v>3217</v>
      </c>
      <c r="E70" s="1">
        <v>582403.86</v>
      </c>
      <c r="F70" s="1">
        <v>0</v>
      </c>
      <c r="G70" s="1">
        <f t="shared" si="7"/>
        <v>582403.86</v>
      </c>
      <c r="H70" s="1">
        <v>96650.53</v>
      </c>
      <c r="I70" s="1">
        <v>0</v>
      </c>
      <c r="J70" s="1">
        <v>0</v>
      </c>
      <c r="K70" s="1">
        <v>22396.53</v>
      </c>
      <c r="L70" s="1">
        <f t="shared" si="8"/>
        <v>22396.53</v>
      </c>
      <c r="M70" s="1">
        <v>0</v>
      </c>
      <c r="N70" s="1">
        <v>14345.05</v>
      </c>
      <c r="O70" s="1">
        <v>1796.88</v>
      </c>
      <c r="P70" s="1">
        <f t="shared" si="9"/>
        <v>16141.93</v>
      </c>
      <c r="Q70" s="1">
        <v>13231.76</v>
      </c>
      <c r="R70" s="1">
        <v>54543.87</v>
      </c>
      <c r="S70" s="1">
        <v>3289.27</v>
      </c>
      <c r="T70" s="1">
        <v>0</v>
      </c>
      <c r="U70" s="1">
        <f t="shared" si="10"/>
        <v>71064.90000000001</v>
      </c>
      <c r="V70" s="1">
        <v>23465.11</v>
      </c>
      <c r="W70" s="212">
        <f t="shared" si="11"/>
        <v>812122.8600000001</v>
      </c>
      <c r="X70" s="1">
        <v>0</v>
      </c>
      <c r="Y70" s="256">
        <f t="shared" si="12"/>
        <v>812122.8600000001</v>
      </c>
    </row>
    <row r="71" spans="1:25" ht="12.75" customHeight="1" collapsed="1">
      <c r="A71" s="252" t="s">
        <v>3218</v>
      </c>
      <c r="B71" s="30"/>
      <c r="C71" s="252" t="s">
        <v>3798</v>
      </c>
      <c r="D71" s="31"/>
      <c r="E71" s="32">
        <v>37839705.339999996</v>
      </c>
      <c r="F71" s="32">
        <v>0</v>
      </c>
      <c r="G71" s="36">
        <f t="shared" si="7"/>
        <v>37839705.339999996</v>
      </c>
      <c r="H71" s="36">
        <v>101132.29</v>
      </c>
      <c r="I71" s="36">
        <v>0</v>
      </c>
      <c r="J71" s="36">
        <v>0</v>
      </c>
      <c r="K71" s="36">
        <v>1244852.36</v>
      </c>
      <c r="L71" s="36">
        <f t="shared" si="8"/>
        <v>1244852.36</v>
      </c>
      <c r="M71" s="36">
        <v>0</v>
      </c>
      <c r="N71" s="36">
        <v>78001040.28</v>
      </c>
      <c r="O71" s="36">
        <v>26557846.169999998</v>
      </c>
      <c r="P71" s="36">
        <f t="shared" si="9"/>
        <v>104558886.45</v>
      </c>
      <c r="Q71" s="36">
        <v>859690.38</v>
      </c>
      <c r="R71" s="36">
        <v>3543810.81</v>
      </c>
      <c r="S71" s="36">
        <v>213709.91</v>
      </c>
      <c r="T71" s="36">
        <v>0</v>
      </c>
      <c r="U71" s="36">
        <f t="shared" si="10"/>
        <v>4617211.100000001</v>
      </c>
      <c r="V71" s="36">
        <v>16970884.84</v>
      </c>
      <c r="W71" s="257">
        <f t="shared" si="11"/>
        <v>165332672.38</v>
      </c>
      <c r="X71" s="36">
        <v>0</v>
      </c>
      <c r="Y71" s="258">
        <f t="shared" si="12"/>
        <v>165332672.38</v>
      </c>
    </row>
    <row r="72" spans="1:25" ht="12.75" hidden="1" outlineLevel="1">
      <c r="A72" s="1" t="s">
        <v>3219</v>
      </c>
      <c r="C72" s="1" t="s">
        <v>2982</v>
      </c>
      <c r="D72" s="2" t="s">
        <v>3220</v>
      </c>
      <c r="E72" s="1">
        <v>0</v>
      </c>
      <c r="F72" s="1">
        <v>0</v>
      </c>
      <c r="G72" s="1">
        <f t="shared" si="7"/>
        <v>0</v>
      </c>
      <c r="H72" s="1">
        <v>0</v>
      </c>
      <c r="I72" s="1">
        <v>0</v>
      </c>
      <c r="J72" s="1">
        <v>0</v>
      </c>
      <c r="K72" s="1">
        <v>0</v>
      </c>
      <c r="L72" s="1">
        <f t="shared" si="8"/>
        <v>0</v>
      </c>
      <c r="M72" s="1">
        <v>0</v>
      </c>
      <c r="N72" s="1">
        <v>0</v>
      </c>
      <c r="O72" s="1">
        <v>0</v>
      </c>
      <c r="P72" s="1">
        <f t="shared" si="9"/>
        <v>0</v>
      </c>
      <c r="Q72" s="1">
        <v>0</v>
      </c>
      <c r="R72" s="1">
        <v>0</v>
      </c>
      <c r="S72" s="1">
        <v>0</v>
      </c>
      <c r="T72" s="1">
        <v>15307966.07</v>
      </c>
      <c r="U72" s="1">
        <f t="shared" si="10"/>
        <v>15307966.07</v>
      </c>
      <c r="V72" s="1">
        <v>0</v>
      </c>
      <c r="W72" s="212">
        <f t="shared" si="11"/>
        <v>15307966.07</v>
      </c>
      <c r="X72" s="1">
        <v>0</v>
      </c>
      <c r="Y72" s="256">
        <f t="shared" si="12"/>
        <v>15307966.07</v>
      </c>
    </row>
    <row r="73" spans="1:25" ht="12.75" hidden="1" outlineLevel="1">
      <c r="A73" s="1" t="s">
        <v>3221</v>
      </c>
      <c r="C73" s="1" t="s">
        <v>3222</v>
      </c>
      <c r="D73" s="2" t="s">
        <v>3223</v>
      </c>
      <c r="E73" s="1">
        <v>0</v>
      </c>
      <c r="F73" s="1">
        <v>0</v>
      </c>
      <c r="G73" s="1">
        <f t="shared" si="7"/>
        <v>0</v>
      </c>
      <c r="H73" s="1">
        <v>0</v>
      </c>
      <c r="I73" s="1">
        <v>0</v>
      </c>
      <c r="J73" s="1">
        <v>0</v>
      </c>
      <c r="K73" s="1">
        <v>0</v>
      </c>
      <c r="L73" s="1">
        <f t="shared" si="8"/>
        <v>0</v>
      </c>
      <c r="M73" s="1">
        <v>0</v>
      </c>
      <c r="N73" s="1">
        <v>0</v>
      </c>
      <c r="O73" s="1">
        <v>0</v>
      </c>
      <c r="P73" s="1">
        <f t="shared" si="9"/>
        <v>0</v>
      </c>
      <c r="Q73" s="1">
        <v>0</v>
      </c>
      <c r="R73" s="1">
        <v>0</v>
      </c>
      <c r="S73" s="1">
        <v>0</v>
      </c>
      <c r="T73" s="1">
        <v>27006897.28</v>
      </c>
      <c r="U73" s="1">
        <f t="shared" si="10"/>
        <v>27006897.28</v>
      </c>
      <c r="V73" s="1">
        <v>0</v>
      </c>
      <c r="W73" s="212">
        <f t="shared" si="11"/>
        <v>27006897.28</v>
      </c>
      <c r="X73" s="1">
        <v>0</v>
      </c>
      <c r="Y73" s="256">
        <f t="shared" si="12"/>
        <v>27006897.28</v>
      </c>
    </row>
    <row r="74" spans="1:25" ht="12.75" hidden="1" outlineLevel="1">
      <c r="A74" s="1" t="s">
        <v>3224</v>
      </c>
      <c r="C74" s="1" t="s">
        <v>3225</v>
      </c>
      <c r="D74" s="2" t="s">
        <v>3226</v>
      </c>
      <c r="E74" s="1">
        <v>0</v>
      </c>
      <c r="F74" s="1">
        <v>0</v>
      </c>
      <c r="G74" s="1">
        <f t="shared" si="7"/>
        <v>0</v>
      </c>
      <c r="H74" s="1">
        <v>0</v>
      </c>
      <c r="I74" s="1">
        <v>0</v>
      </c>
      <c r="J74" s="1">
        <v>0</v>
      </c>
      <c r="K74" s="1">
        <v>0</v>
      </c>
      <c r="L74" s="1">
        <f t="shared" si="8"/>
        <v>0</v>
      </c>
      <c r="M74" s="1">
        <v>0</v>
      </c>
      <c r="N74" s="1">
        <v>0</v>
      </c>
      <c r="O74" s="1">
        <v>0</v>
      </c>
      <c r="P74" s="1">
        <f t="shared" si="9"/>
        <v>0</v>
      </c>
      <c r="Q74" s="1">
        <v>0</v>
      </c>
      <c r="R74" s="1">
        <v>0</v>
      </c>
      <c r="S74" s="1">
        <v>0</v>
      </c>
      <c r="T74" s="1">
        <v>-10123095.47</v>
      </c>
      <c r="U74" s="1">
        <f t="shared" si="10"/>
        <v>-10123095.47</v>
      </c>
      <c r="V74" s="1">
        <v>0</v>
      </c>
      <c r="W74" s="212">
        <f t="shared" si="11"/>
        <v>-10123095.47</v>
      </c>
      <c r="X74" s="1">
        <v>0</v>
      </c>
      <c r="Y74" s="256">
        <f t="shared" si="12"/>
        <v>-10123095.47</v>
      </c>
    </row>
    <row r="75" spans="1:25" ht="12.75" hidden="1" outlineLevel="1">
      <c r="A75" s="1" t="s">
        <v>3227</v>
      </c>
      <c r="C75" s="1" t="s">
        <v>3228</v>
      </c>
      <c r="D75" s="2" t="s">
        <v>3229</v>
      </c>
      <c r="E75" s="1">
        <v>0</v>
      </c>
      <c r="F75" s="1">
        <v>0</v>
      </c>
      <c r="G75" s="1">
        <f t="shared" si="7"/>
        <v>0</v>
      </c>
      <c r="H75" s="1">
        <v>0</v>
      </c>
      <c r="I75" s="1">
        <v>0</v>
      </c>
      <c r="J75" s="1">
        <v>0</v>
      </c>
      <c r="K75" s="1">
        <v>0</v>
      </c>
      <c r="L75" s="1">
        <f t="shared" si="8"/>
        <v>0</v>
      </c>
      <c r="M75" s="1">
        <v>0</v>
      </c>
      <c r="N75" s="1">
        <v>0</v>
      </c>
      <c r="O75" s="1">
        <v>0</v>
      </c>
      <c r="P75" s="1">
        <f t="shared" si="9"/>
        <v>0</v>
      </c>
      <c r="Q75" s="1">
        <v>0</v>
      </c>
      <c r="R75" s="1">
        <v>0</v>
      </c>
      <c r="S75" s="1">
        <v>0</v>
      </c>
      <c r="T75" s="1">
        <v>245838294.16</v>
      </c>
      <c r="U75" s="1">
        <f t="shared" si="10"/>
        <v>245838294.16</v>
      </c>
      <c r="V75" s="1">
        <v>0</v>
      </c>
      <c r="W75" s="212">
        <f t="shared" si="11"/>
        <v>245838294.16</v>
      </c>
      <c r="X75" s="1">
        <v>0</v>
      </c>
      <c r="Y75" s="256">
        <f t="shared" si="12"/>
        <v>245838294.16</v>
      </c>
    </row>
    <row r="76" spans="1:25" ht="12.75" hidden="1" outlineLevel="1">
      <c r="A76" s="1" t="s">
        <v>3230</v>
      </c>
      <c r="C76" s="1" t="s">
        <v>3231</v>
      </c>
      <c r="D76" s="2" t="s">
        <v>3232</v>
      </c>
      <c r="E76" s="1">
        <v>0</v>
      </c>
      <c r="F76" s="1">
        <v>0</v>
      </c>
      <c r="G76" s="1">
        <f t="shared" si="7"/>
        <v>0</v>
      </c>
      <c r="H76" s="1">
        <v>0</v>
      </c>
      <c r="I76" s="1">
        <v>0</v>
      </c>
      <c r="J76" s="1">
        <v>0</v>
      </c>
      <c r="K76" s="1">
        <v>0</v>
      </c>
      <c r="L76" s="1">
        <f t="shared" si="8"/>
        <v>0</v>
      </c>
      <c r="M76" s="1">
        <v>0</v>
      </c>
      <c r="N76" s="1">
        <v>0</v>
      </c>
      <c r="O76" s="1">
        <v>0</v>
      </c>
      <c r="P76" s="1">
        <f t="shared" si="9"/>
        <v>0</v>
      </c>
      <c r="Q76" s="1">
        <v>0</v>
      </c>
      <c r="R76" s="1">
        <v>0</v>
      </c>
      <c r="S76" s="1">
        <v>0</v>
      </c>
      <c r="T76" s="1">
        <v>-141438409.32</v>
      </c>
      <c r="U76" s="1">
        <f t="shared" si="10"/>
        <v>-141438409.32</v>
      </c>
      <c r="V76" s="1">
        <v>0</v>
      </c>
      <c r="W76" s="212">
        <f t="shared" si="11"/>
        <v>-141438409.32</v>
      </c>
      <c r="X76" s="1">
        <v>0</v>
      </c>
      <c r="Y76" s="256">
        <f t="shared" si="12"/>
        <v>-141438409.32</v>
      </c>
    </row>
    <row r="77" spans="1:25" ht="12.75" hidden="1" outlineLevel="1">
      <c r="A77" s="1" t="s">
        <v>3233</v>
      </c>
      <c r="C77" s="1" t="s">
        <v>3234</v>
      </c>
      <c r="D77" s="2" t="s">
        <v>3235</v>
      </c>
      <c r="E77" s="1">
        <v>0</v>
      </c>
      <c r="F77" s="1">
        <v>0</v>
      </c>
      <c r="G77" s="1">
        <f t="shared" si="7"/>
        <v>0</v>
      </c>
      <c r="H77" s="1">
        <v>0</v>
      </c>
      <c r="I77" s="1">
        <v>0</v>
      </c>
      <c r="J77" s="1">
        <v>0</v>
      </c>
      <c r="K77" s="1">
        <v>0</v>
      </c>
      <c r="L77" s="1">
        <f t="shared" si="8"/>
        <v>0</v>
      </c>
      <c r="M77" s="1">
        <v>0</v>
      </c>
      <c r="N77" s="1">
        <v>0</v>
      </c>
      <c r="O77" s="1">
        <v>0</v>
      </c>
      <c r="P77" s="1">
        <f t="shared" si="9"/>
        <v>0</v>
      </c>
      <c r="Q77" s="1">
        <v>0</v>
      </c>
      <c r="R77" s="1">
        <v>0</v>
      </c>
      <c r="S77" s="1">
        <v>0</v>
      </c>
      <c r="T77" s="1">
        <v>28095303.83</v>
      </c>
      <c r="U77" s="1">
        <f t="shared" si="10"/>
        <v>28095303.83</v>
      </c>
      <c r="V77" s="1">
        <v>0</v>
      </c>
      <c r="W77" s="212">
        <f t="shared" si="11"/>
        <v>28095303.83</v>
      </c>
      <c r="X77" s="1">
        <v>0</v>
      </c>
      <c r="Y77" s="256">
        <f t="shared" si="12"/>
        <v>28095303.83</v>
      </c>
    </row>
    <row r="78" spans="1:25" ht="12.75" hidden="1" outlineLevel="1">
      <c r="A78" s="1" t="s">
        <v>3236</v>
      </c>
      <c r="C78" s="1" t="s">
        <v>3237</v>
      </c>
      <c r="D78" s="2" t="s">
        <v>3238</v>
      </c>
      <c r="E78" s="1">
        <v>0</v>
      </c>
      <c r="F78" s="1">
        <v>0</v>
      </c>
      <c r="G78" s="1">
        <f t="shared" si="7"/>
        <v>0</v>
      </c>
      <c r="H78" s="1">
        <v>0</v>
      </c>
      <c r="I78" s="1">
        <v>0</v>
      </c>
      <c r="J78" s="1">
        <v>0</v>
      </c>
      <c r="K78" s="1">
        <v>0</v>
      </c>
      <c r="L78" s="1">
        <f t="shared" si="8"/>
        <v>0</v>
      </c>
      <c r="M78" s="1">
        <v>0</v>
      </c>
      <c r="N78" s="1">
        <v>0</v>
      </c>
      <c r="O78" s="1">
        <v>0</v>
      </c>
      <c r="P78" s="1">
        <f t="shared" si="9"/>
        <v>0</v>
      </c>
      <c r="Q78" s="1">
        <v>0</v>
      </c>
      <c r="R78" s="1">
        <v>0</v>
      </c>
      <c r="S78" s="1">
        <v>0</v>
      </c>
      <c r="T78" s="1">
        <v>966980.93</v>
      </c>
      <c r="U78" s="1">
        <f t="shared" si="10"/>
        <v>966980.93</v>
      </c>
      <c r="V78" s="1">
        <v>0</v>
      </c>
      <c r="W78" s="212">
        <f t="shared" si="11"/>
        <v>966980.93</v>
      </c>
      <c r="X78" s="1">
        <v>0</v>
      </c>
      <c r="Y78" s="256">
        <f t="shared" si="12"/>
        <v>966980.93</v>
      </c>
    </row>
    <row r="79" spans="1:25" ht="12.75" hidden="1" outlineLevel="1">
      <c r="A79" s="1" t="s">
        <v>3239</v>
      </c>
      <c r="C79" s="1" t="s">
        <v>3240</v>
      </c>
      <c r="D79" s="2" t="s">
        <v>3241</v>
      </c>
      <c r="E79" s="1">
        <v>0</v>
      </c>
      <c r="F79" s="1">
        <v>0</v>
      </c>
      <c r="G79" s="1">
        <f t="shared" si="7"/>
        <v>0</v>
      </c>
      <c r="H79" s="1">
        <v>0</v>
      </c>
      <c r="I79" s="1">
        <v>0</v>
      </c>
      <c r="J79" s="1">
        <v>0</v>
      </c>
      <c r="K79" s="1">
        <v>0</v>
      </c>
      <c r="L79" s="1">
        <f t="shared" si="8"/>
        <v>0</v>
      </c>
      <c r="M79" s="1">
        <v>0</v>
      </c>
      <c r="N79" s="1">
        <v>0</v>
      </c>
      <c r="O79" s="1">
        <v>0</v>
      </c>
      <c r="P79" s="1">
        <f t="shared" si="9"/>
        <v>0</v>
      </c>
      <c r="Q79" s="1">
        <v>0</v>
      </c>
      <c r="R79" s="1">
        <v>0</v>
      </c>
      <c r="S79" s="1">
        <v>0</v>
      </c>
      <c r="T79" s="1">
        <v>-17722003.88</v>
      </c>
      <c r="U79" s="1">
        <f t="shared" si="10"/>
        <v>-17722003.88</v>
      </c>
      <c r="V79" s="1">
        <v>0</v>
      </c>
      <c r="W79" s="212">
        <f t="shared" si="11"/>
        <v>-17722003.88</v>
      </c>
      <c r="X79" s="1">
        <v>0</v>
      </c>
      <c r="Y79" s="256">
        <f t="shared" si="12"/>
        <v>-17722003.88</v>
      </c>
    </row>
    <row r="80" spans="1:25" ht="12.75" hidden="1" outlineLevel="1">
      <c r="A80" s="1" t="s">
        <v>3242</v>
      </c>
      <c r="C80" s="1" t="s">
        <v>3243</v>
      </c>
      <c r="D80" s="2" t="s">
        <v>3244</v>
      </c>
      <c r="E80" s="1">
        <v>0</v>
      </c>
      <c r="F80" s="1">
        <v>0</v>
      </c>
      <c r="G80" s="1">
        <f t="shared" si="7"/>
        <v>0</v>
      </c>
      <c r="H80" s="1">
        <v>0</v>
      </c>
      <c r="I80" s="1">
        <v>0</v>
      </c>
      <c r="J80" s="1">
        <v>0</v>
      </c>
      <c r="K80" s="1">
        <v>0</v>
      </c>
      <c r="L80" s="1">
        <f t="shared" si="8"/>
        <v>0</v>
      </c>
      <c r="M80" s="1">
        <v>0</v>
      </c>
      <c r="N80" s="1">
        <v>0</v>
      </c>
      <c r="O80" s="1">
        <v>0</v>
      </c>
      <c r="P80" s="1">
        <f t="shared" si="9"/>
        <v>0</v>
      </c>
      <c r="Q80" s="1">
        <v>0</v>
      </c>
      <c r="R80" s="1">
        <v>0</v>
      </c>
      <c r="S80" s="1">
        <v>0</v>
      </c>
      <c r="T80" s="1">
        <v>35840973.32</v>
      </c>
      <c r="U80" s="1">
        <f t="shared" si="10"/>
        <v>35840973.32</v>
      </c>
      <c r="V80" s="1">
        <v>0</v>
      </c>
      <c r="W80" s="212">
        <f t="shared" si="11"/>
        <v>35840973.32</v>
      </c>
      <c r="X80" s="1">
        <v>0</v>
      </c>
      <c r="Y80" s="256">
        <f t="shared" si="12"/>
        <v>35840973.32</v>
      </c>
    </row>
    <row r="81" spans="1:25" ht="12.75" hidden="1" outlineLevel="1">
      <c r="A81" s="1" t="s">
        <v>3245</v>
      </c>
      <c r="C81" s="1" t="s">
        <v>3246</v>
      </c>
      <c r="D81" s="2" t="s">
        <v>3247</v>
      </c>
      <c r="E81" s="1">
        <v>0</v>
      </c>
      <c r="F81" s="1">
        <v>0</v>
      </c>
      <c r="G81" s="1">
        <f t="shared" si="7"/>
        <v>0</v>
      </c>
      <c r="H81" s="1">
        <v>0</v>
      </c>
      <c r="I81" s="1">
        <v>0</v>
      </c>
      <c r="J81" s="1">
        <v>0</v>
      </c>
      <c r="K81" s="1">
        <v>0</v>
      </c>
      <c r="L81" s="1">
        <f t="shared" si="8"/>
        <v>0</v>
      </c>
      <c r="M81" s="1">
        <v>0</v>
      </c>
      <c r="N81" s="1">
        <v>0</v>
      </c>
      <c r="O81" s="1">
        <v>0</v>
      </c>
      <c r="P81" s="1">
        <f t="shared" si="9"/>
        <v>0</v>
      </c>
      <c r="Q81" s="1">
        <v>0</v>
      </c>
      <c r="R81" s="1">
        <v>0</v>
      </c>
      <c r="S81" s="1">
        <v>0</v>
      </c>
      <c r="T81" s="1">
        <v>-20847709.16</v>
      </c>
      <c r="U81" s="1">
        <f t="shared" si="10"/>
        <v>-20847709.16</v>
      </c>
      <c r="V81" s="1">
        <v>0</v>
      </c>
      <c r="W81" s="212">
        <f t="shared" si="11"/>
        <v>-20847709.16</v>
      </c>
      <c r="X81" s="1">
        <v>0</v>
      </c>
      <c r="Y81" s="256">
        <f t="shared" si="12"/>
        <v>-20847709.16</v>
      </c>
    </row>
    <row r="82" spans="1:25" ht="12.75" hidden="1" outlineLevel="1">
      <c r="A82" s="1" t="s">
        <v>3248</v>
      </c>
      <c r="C82" s="1" t="s">
        <v>3249</v>
      </c>
      <c r="D82" s="2" t="s">
        <v>3250</v>
      </c>
      <c r="E82" s="1">
        <v>0</v>
      </c>
      <c r="F82" s="1">
        <v>0</v>
      </c>
      <c r="G82" s="1">
        <f t="shared" si="7"/>
        <v>0</v>
      </c>
      <c r="H82" s="1">
        <v>0</v>
      </c>
      <c r="I82" s="1">
        <v>0</v>
      </c>
      <c r="J82" s="1">
        <v>0</v>
      </c>
      <c r="K82" s="1">
        <v>0</v>
      </c>
      <c r="L82" s="1">
        <f t="shared" si="8"/>
        <v>0</v>
      </c>
      <c r="M82" s="1">
        <v>0</v>
      </c>
      <c r="N82" s="1">
        <v>0</v>
      </c>
      <c r="O82" s="1">
        <v>0</v>
      </c>
      <c r="P82" s="1">
        <f t="shared" si="9"/>
        <v>0</v>
      </c>
      <c r="Q82" s="1">
        <v>0</v>
      </c>
      <c r="R82" s="1">
        <v>0</v>
      </c>
      <c r="S82" s="1">
        <v>0</v>
      </c>
      <c r="T82" s="1">
        <v>44371533.64</v>
      </c>
      <c r="U82" s="1">
        <f t="shared" si="10"/>
        <v>44371533.64</v>
      </c>
      <c r="V82" s="1">
        <v>0</v>
      </c>
      <c r="W82" s="212">
        <f t="shared" si="11"/>
        <v>44371533.64</v>
      </c>
      <c r="X82" s="1">
        <v>0</v>
      </c>
      <c r="Y82" s="256">
        <f t="shared" si="12"/>
        <v>44371533.64</v>
      </c>
    </row>
    <row r="83" spans="1:25" ht="12.75" hidden="1" outlineLevel="1">
      <c r="A83" s="1" t="s">
        <v>3251</v>
      </c>
      <c r="C83" s="1" t="s">
        <v>3252</v>
      </c>
      <c r="D83" s="2" t="s">
        <v>3253</v>
      </c>
      <c r="E83" s="1">
        <v>0</v>
      </c>
      <c r="F83" s="1">
        <v>0</v>
      </c>
      <c r="G83" s="1">
        <f t="shared" si="7"/>
        <v>0</v>
      </c>
      <c r="H83" s="1">
        <v>0</v>
      </c>
      <c r="I83" s="1">
        <v>0</v>
      </c>
      <c r="J83" s="1">
        <v>0</v>
      </c>
      <c r="K83" s="1">
        <v>0</v>
      </c>
      <c r="L83" s="1">
        <f t="shared" si="8"/>
        <v>0</v>
      </c>
      <c r="M83" s="1">
        <v>0</v>
      </c>
      <c r="N83" s="1">
        <v>0</v>
      </c>
      <c r="O83" s="1">
        <v>0</v>
      </c>
      <c r="P83" s="1">
        <f t="shared" si="9"/>
        <v>0</v>
      </c>
      <c r="Q83" s="1">
        <v>0</v>
      </c>
      <c r="R83" s="1">
        <v>0</v>
      </c>
      <c r="S83" s="1">
        <v>0</v>
      </c>
      <c r="T83" s="1">
        <v>176838.45</v>
      </c>
      <c r="U83" s="1">
        <f t="shared" si="10"/>
        <v>176838.45</v>
      </c>
      <c r="V83" s="1">
        <v>0</v>
      </c>
      <c r="W83" s="212">
        <f t="shared" si="11"/>
        <v>176838.45</v>
      </c>
      <c r="X83" s="1">
        <v>0</v>
      </c>
      <c r="Y83" s="256">
        <f t="shared" si="12"/>
        <v>176838.45</v>
      </c>
    </row>
    <row r="84" spans="1:25" ht="12.75" customHeight="1" collapsed="1">
      <c r="A84" s="252" t="s">
        <v>3254</v>
      </c>
      <c r="B84" s="30"/>
      <c r="C84" s="252" t="s">
        <v>3840</v>
      </c>
      <c r="D84" s="31"/>
      <c r="E84" s="32">
        <v>0</v>
      </c>
      <c r="F84" s="32">
        <v>0</v>
      </c>
      <c r="G84" s="36">
        <f t="shared" si="7"/>
        <v>0</v>
      </c>
      <c r="H84" s="36">
        <v>0</v>
      </c>
      <c r="I84" s="36">
        <v>0</v>
      </c>
      <c r="J84" s="36">
        <v>0</v>
      </c>
      <c r="K84" s="36">
        <v>0</v>
      </c>
      <c r="L84" s="36">
        <f t="shared" si="8"/>
        <v>0</v>
      </c>
      <c r="M84" s="36">
        <v>0</v>
      </c>
      <c r="N84" s="36">
        <v>0</v>
      </c>
      <c r="O84" s="36">
        <v>0</v>
      </c>
      <c r="P84" s="36">
        <f t="shared" si="9"/>
        <v>0</v>
      </c>
      <c r="Q84" s="36">
        <v>0</v>
      </c>
      <c r="R84" s="36">
        <v>0</v>
      </c>
      <c r="S84" s="36">
        <v>0</v>
      </c>
      <c r="T84" s="36">
        <v>207473569.85000002</v>
      </c>
      <c r="U84" s="36">
        <f t="shared" si="10"/>
        <v>207473569.85000002</v>
      </c>
      <c r="V84" s="36">
        <v>0</v>
      </c>
      <c r="W84" s="257">
        <f t="shared" si="11"/>
        <v>207473569.85000002</v>
      </c>
      <c r="X84" s="36">
        <v>0</v>
      </c>
      <c r="Y84" s="258">
        <f t="shared" si="12"/>
        <v>207473569.85000002</v>
      </c>
    </row>
    <row r="85" spans="1:25" ht="12.75" customHeight="1">
      <c r="A85" s="2"/>
      <c r="B85" s="30"/>
      <c r="C85" s="252"/>
      <c r="D85" s="31"/>
      <c r="E85" s="32"/>
      <c r="F85" s="32"/>
      <c r="G85" s="36"/>
      <c r="H85" s="36"/>
      <c r="I85" s="36"/>
      <c r="J85" s="36"/>
      <c r="K85" s="36"/>
      <c r="L85" s="39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257"/>
      <c r="X85" s="36"/>
      <c r="Y85" s="258"/>
    </row>
    <row r="86" spans="1:25" s="259" customFormat="1" ht="12.75" customHeight="1">
      <c r="A86" s="29"/>
      <c r="B86" s="23" t="s">
        <v>3255</v>
      </c>
      <c r="C86" s="251"/>
      <c r="D86" s="24"/>
      <c r="E86" s="27">
        <f aca="true" t="shared" si="13" ref="E86:Y86">+E58+E63+E65+E71+E84+E56</f>
        <v>37839705.339999996</v>
      </c>
      <c r="F86" s="27">
        <f t="shared" si="13"/>
        <v>0</v>
      </c>
      <c r="G86" s="39">
        <f t="shared" si="13"/>
        <v>37839705.339999996</v>
      </c>
      <c r="H86" s="39">
        <f t="shared" si="13"/>
        <v>862107.16</v>
      </c>
      <c r="I86" s="39">
        <f t="shared" si="13"/>
        <v>261908.2</v>
      </c>
      <c r="J86" s="39">
        <f t="shared" si="13"/>
        <v>0</v>
      </c>
      <c r="K86" s="39">
        <f t="shared" si="13"/>
        <v>17594174.43</v>
      </c>
      <c r="L86" s="39">
        <f t="shared" si="13"/>
        <v>17856082.63</v>
      </c>
      <c r="M86" s="39">
        <f t="shared" si="13"/>
        <v>0</v>
      </c>
      <c r="N86" s="39">
        <f t="shared" si="13"/>
        <v>78001040.28</v>
      </c>
      <c r="O86" s="39">
        <f t="shared" si="13"/>
        <v>26557846.169999998</v>
      </c>
      <c r="P86" s="39">
        <f t="shared" si="13"/>
        <v>104558886.45</v>
      </c>
      <c r="Q86" s="39">
        <f t="shared" si="13"/>
        <v>859690.38</v>
      </c>
      <c r="R86" s="39">
        <f t="shared" si="13"/>
        <v>3543810.81</v>
      </c>
      <c r="S86" s="39">
        <f t="shared" si="13"/>
        <v>525169.24</v>
      </c>
      <c r="T86" s="39">
        <f t="shared" si="13"/>
        <v>207473569.85000002</v>
      </c>
      <c r="U86" s="39">
        <f t="shared" si="13"/>
        <v>212402240.28000003</v>
      </c>
      <c r="V86" s="39">
        <f t="shared" si="13"/>
        <v>16970884.84</v>
      </c>
      <c r="W86" s="260">
        <f t="shared" si="13"/>
        <v>390489906.70000005</v>
      </c>
      <c r="X86" s="39">
        <f t="shared" si="13"/>
        <v>0</v>
      </c>
      <c r="Y86" s="39">
        <f t="shared" si="13"/>
        <v>390489906.70000005</v>
      </c>
    </row>
    <row r="87" spans="1:25" ht="12.75" customHeight="1">
      <c r="A87" s="2"/>
      <c r="B87" s="30"/>
      <c r="C87" s="252"/>
      <c r="D87" s="31"/>
      <c r="E87" s="32"/>
      <c r="F87" s="32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257"/>
      <c r="X87" s="36"/>
      <c r="Y87" s="36"/>
    </row>
    <row r="88" spans="1:25" s="259" customFormat="1" ht="12.75" customHeight="1">
      <c r="A88" s="29"/>
      <c r="B88" s="23" t="s">
        <v>3256</v>
      </c>
      <c r="C88" s="251"/>
      <c r="D88" s="24"/>
      <c r="E88" s="27">
        <f aca="true" t="shared" si="14" ref="E88:K88">+E53+E86</f>
        <v>49867671.209</v>
      </c>
      <c r="F88" s="27">
        <f t="shared" si="14"/>
        <v>85356.00999999978</v>
      </c>
      <c r="G88" s="41">
        <f t="shared" si="14"/>
        <v>49953027.219</v>
      </c>
      <c r="H88" s="41">
        <f t="shared" si="14"/>
        <v>34815244.57599999</v>
      </c>
      <c r="I88" s="41">
        <f t="shared" si="14"/>
        <v>512187.92000000004</v>
      </c>
      <c r="J88" s="41">
        <f t="shared" si="14"/>
        <v>0</v>
      </c>
      <c r="K88" s="41">
        <f t="shared" si="14"/>
        <v>21929205.88</v>
      </c>
      <c r="L88" s="41">
        <f>I88+J88+K88</f>
        <v>22441393.8</v>
      </c>
      <c r="M88" s="41">
        <f>+M53+M86</f>
        <v>0</v>
      </c>
      <c r="N88" s="41">
        <f>+N53+N86</f>
        <v>97158325.98</v>
      </c>
      <c r="O88" s="41">
        <f>+O53+O86</f>
        <v>26584404.84</v>
      </c>
      <c r="P88" s="41">
        <f>M88+N88+O88</f>
        <v>123742730.82000001</v>
      </c>
      <c r="Q88" s="41">
        <f aca="true" t="shared" si="15" ref="Q88:Y88">+Q53+Q86</f>
        <v>680678.0700000001</v>
      </c>
      <c r="R88" s="41">
        <f t="shared" si="15"/>
        <v>6658020.96</v>
      </c>
      <c r="S88" s="41">
        <f t="shared" si="15"/>
        <v>635570.29</v>
      </c>
      <c r="T88" s="41">
        <f t="shared" si="15"/>
        <v>207473304.87000003</v>
      </c>
      <c r="U88" s="41">
        <f t="shared" si="15"/>
        <v>215447574.19000003</v>
      </c>
      <c r="V88" s="41">
        <f t="shared" si="15"/>
        <v>20100184.63</v>
      </c>
      <c r="W88" s="261">
        <f t="shared" si="15"/>
        <v>466500155.235</v>
      </c>
      <c r="X88" s="41">
        <f t="shared" si="15"/>
        <v>0</v>
      </c>
      <c r="Y88" s="41">
        <f t="shared" si="15"/>
        <v>466500155.235</v>
      </c>
    </row>
    <row r="89" spans="1:25" ht="12.75" customHeight="1">
      <c r="A89" s="2"/>
      <c r="B89" s="30"/>
      <c r="C89" s="252"/>
      <c r="D89" s="31"/>
      <c r="E89" s="32"/>
      <c r="F89" s="32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257"/>
      <c r="X89" s="32"/>
      <c r="Y89" s="246"/>
    </row>
    <row r="90" spans="1:25" ht="12.75" customHeight="1">
      <c r="A90" s="29"/>
      <c r="B90" s="23" t="s">
        <v>3799</v>
      </c>
      <c r="C90" s="251"/>
      <c r="D90" s="24"/>
      <c r="E90" s="27"/>
      <c r="F90" s="27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260"/>
      <c r="X90" s="27"/>
      <c r="Y90" s="246"/>
    </row>
    <row r="91" spans="1:25" ht="12.75" customHeight="1">
      <c r="A91" s="2"/>
      <c r="B91" s="23"/>
      <c r="C91" s="251"/>
      <c r="D91" s="24"/>
      <c r="E91" s="32"/>
      <c r="F91" s="32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257"/>
      <c r="X91" s="32"/>
      <c r="Y91" s="246"/>
    </row>
    <row r="92" spans="1:25" ht="12.75" customHeight="1">
      <c r="A92" s="29"/>
      <c r="B92" s="23" t="s">
        <v>3800</v>
      </c>
      <c r="C92" s="251"/>
      <c r="D92" s="24"/>
      <c r="E92" s="27"/>
      <c r="F92" s="27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260"/>
      <c r="X92" s="27"/>
      <c r="Y92" s="246"/>
    </row>
    <row r="93" spans="1:25" ht="12.75" hidden="1" outlineLevel="1">
      <c r="A93" s="1" t="s">
        <v>3257</v>
      </c>
      <c r="C93" s="1" t="s">
        <v>3258</v>
      </c>
      <c r="D93" s="2" t="s">
        <v>3259</v>
      </c>
      <c r="E93" s="1">
        <v>59258.87</v>
      </c>
      <c r="F93" s="1">
        <v>5915.05</v>
      </c>
      <c r="G93" s="1">
        <f aca="true" t="shared" si="16" ref="G93:G112">E93+F93</f>
        <v>65173.920000000006</v>
      </c>
      <c r="H93" s="1">
        <v>114611.68</v>
      </c>
      <c r="I93" s="1">
        <v>0</v>
      </c>
      <c r="J93" s="1">
        <v>0</v>
      </c>
      <c r="K93" s="1">
        <v>13930.54</v>
      </c>
      <c r="L93" s="1">
        <f aca="true" t="shared" si="17" ref="L93:L112">I93+J93+K93</f>
        <v>13930.54</v>
      </c>
      <c r="M93" s="1">
        <v>0</v>
      </c>
      <c r="N93" s="1">
        <v>0</v>
      </c>
      <c r="O93" s="1">
        <v>0</v>
      </c>
      <c r="P93" s="1">
        <f aca="true" t="shared" si="18" ref="P93:P120">M93+N93+O93</f>
        <v>0</v>
      </c>
      <c r="Q93" s="1">
        <v>0</v>
      </c>
      <c r="R93" s="1">
        <v>32054.35</v>
      </c>
      <c r="S93" s="1">
        <v>0</v>
      </c>
      <c r="T93" s="1">
        <v>0</v>
      </c>
      <c r="U93" s="1">
        <f aca="true" t="shared" si="19" ref="U93:U112">Q93+R93+S93+T93</f>
        <v>32054.35</v>
      </c>
      <c r="V93" s="1">
        <v>0</v>
      </c>
      <c r="W93" s="212">
        <f aca="true" t="shared" si="20" ref="W93:W120">G93+H93+L93+P93+U93+V93</f>
        <v>225770.49000000002</v>
      </c>
      <c r="X93" s="1">
        <v>0</v>
      </c>
      <c r="Y93" s="256">
        <f aca="true" t="shared" si="21" ref="Y93:Y120">W93+X93</f>
        <v>225770.49000000002</v>
      </c>
    </row>
    <row r="94" spans="1:25" ht="12.75" hidden="1" outlineLevel="1">
      <c r="A94" s="1" t="s">
        <v>3260</v>
      </c>
      <c r="C94" s="1" t="s">
        <v>3261</v>
      </c>
      <c r="D94" s="2" t="s">
        <v>3262</v>
      </c>
      <c r="E94" s="1">
        <v>330299.22</v>
      </c>
      <c r="F94" s="1">
        <v>3869.66</v>
      </c>
      <c r="G94" s="1">
        <f t="shared" si="16"/>
        <v>334168.87999999995</v>
      </c>
      <c r="H94" s="1">
        <v>129936.56</v>
      </c>
      <c r="I94" s="1">
        <v>0</v>
      </c>
      <c r="J94" s="1">
        <v>0</v>
      </c>
      <c r="K94" s="1">
        <v>-2445</v>
      </c>
      <c r="L94" s="1">
        <f t="shared" si="17"/>
        <v>-2445</v>
      </c>
      <c r="M94" s="1">
        <v>0</v>
      </c>
      <c r="N94" s="1">
        <v>0</v>
      </c>
      <c r="O94" s="1">
        <v>0</v>
      </c>
      <c r="P94" s="1">
        <f t="shared" si="18"/>
        <v>0</v>
      </c>
      <c r="Q94" s="1">
        <v>3573875.11</v>
      </c>
      <c r="R94" s="1">
        <v>2013832.77</v>
      </c>
      <c r="S94" s="1">
        <v>0</v>
      </c>
      <c r="T94" s="1">
        <v>0</v>
      </c>
      <c r="U94" s="1">
        <f t="shared" si="19"/>
        <v>5587707.88</v>
      </c>
      <c r="V94" s="1">
        <v>8956.78</v>
      </c>
      <c r="W94" s="212">
        <f t="shared" si="20"/>
        <v>6058325.100000001</v>
      </c>
      <c r="X94" s="1">
        <v>0</v>
      </c>
      <c r="Y94" s="256">
        <f t="shared" si="21"/>
        <v>6058325.100000001</v>
      </c>
    </row>
    <row r="95" spans="1:25" ht="12.75" hidden="1" outlineLevel="1">
      <c r="A95" s="1" t="s">
        <v>3263</v>
      </c>
      <c r="C95" s="1" t="s">
        <v>3264</v>
      </c>
      <c r="D95" s="2" t="s">
        <v>3265</v>
      </c>
      <c r="E95" s="1">
        <v>111906.2</v>
      </c>
      <c r="F95" s="1">
        <v>0</v>
      </c>
      <c r="G95" s="1">
        <f t="shared" si="16"/>
        <v>111906.2</v>
      </c>
      <c r="H95" s="1">
        <v>0</v>
      </c>
      <c r="I95" s="1">
        <v>0</v>
      </c>
      <c r="J95" s="1">
        <v>0</v>
      </c>
      <c r="K95" s="1">
        <v>0</v>
      </c>
      <c r="L95" s="1">
        <f t="shared" si="17"/>
        <v>0</v>
      </c>
      <c r="M95" s="1">
        <v>0</v>
      </c>
      <c r="N95" s="1">
        <v>0</v>
      </c>
      <c r="O95" s="1">
        <v>0</v>
      </c>
      <c r="P95" s="1">
        <f t="shared" si="18"/>
        <v>0</v>
      </c>
      <c r="Q95" s="1">
        <v>1009055.68</v>
      </c>
      <c r="R95" s="1">
        <v>619701.13</v>
      </c>
      <c r="S95" s="1">
        <v>0</v>
      </c>
      <c r="T95" s="1">
        <v>0</v>
      </c>
      <c r="U95" s="1">
        <f t="shared" si="19"/>
        <v>1628756.81</v>
      </c>
      <c r="V95" s="1">
        <v>3558.87</v>
      </c>
      <c r="W95" s="212">
        <f t="shared" si="20"/>
        <v>1744221.8800000001</v>
      </c>
      <c r="X95" s="1">
        <v>0</v>
      </c>
      <c r="Y95" s="256">
        <f t="shared" si="21"/>
        <v>1744221.8800000001</v>
      </c>
    </row>
    <row r="96" spans="1:25" ht="12.75" hidden="1" outlineLevel="1">
      <c r="A96" s="1" t="s">
        <v>3266</v>
      </c>
      <c r="C96" s="1" t="s">
        <v>3267</v>
      </c>
      <c r="D96" s="2" t="s">
        <v>3268</v>
      </c>
      <c r="E96" s="1">
        <v>-7436.95</v>
      </c>
      <c r="F96" s="1">
        <v>0</v>
      </c>
      <c r="G96" s="1">
        <f t="shared" si="16"/>
        <v>-7436.95</v>
      </c>
      <c r="H96" s="1">
        <v>11195.66</v>
      </c>
      <c r="I96" s="1">
        <v>0</v>
      </c>
      <c r="J96" s="1">
        <v>0</v>
      </c>
      <c r="K96" s="1">
        <v>0</v>
      </c>
      <c r="L96" s="1">
        <f t="shared" si="17"/>
        <v>0</v>
      </c>
      <c r="M96" s="1">
        <v>0</v>
      </c>
      <c r="N96" s="1">
        <v>0</v>
      </c>
      <c r="O96" s="1">
        <v>92519.39</v>
      </c>
      <c r="P96" s="1">
        <f t="shared" si="18"/>
        <v>92519.39</v>
      </c>
      <c r="Q96" s="1">
        <v>0</v>
      </c>
      <c r="R96" s="1">
        <v>0</v>
      </c>
      <c r="S96" s="1">
        <v>0</v>
      </c>
      <c r="T96" s="1">
        <v>0</v>
      </c>
      <c r="U96" s="1">
        <f t="shared" si="19"/>
        <v>0</v>
      </c>
      <c r="V96" s="1">
        <v>0</v>
      </c>
      <c r="W96" s="212">
        <f t="shared" si="20"/>
        <v>96278.1</v>
      </c>
      <c r="X96" s="1">
        <v>0</v>
      </c>
      <c r="Y96" s="256">
        <f t="shared" si="21"/>
        <v>96278.1</v>
      </c>
    </row>
    <row r="97" spans="1:25" ht="12.75" customHeight="1" collapsed="1">
      <c r="A97" s="252" t="s">
        <v>3269</v>
      </c>
      <c r="B97" s="30"/>
      <c r="C97" s="252" t="s">
        <v>3841</v>
      </c>
      <c r="D97" s="31"/>
      <c r="E97" s="32">
        <v>494027.34</v>
      </c>
      <c r="F97" s="32">
        <v>9784.71</v>
      </c>
      <c r="G97" s="34">
        <f t="shared" si="16"/>
        <v>503812.05000000005</v>
      </c>
      <c r="H97" s="34">
        <v>255743.9</v>
      </c>
      <c r="I97" s="34">
        <v>0</v>
      </c>
      <c r="J97" s="34">
        <v>0</v>
      </c>
      <c r="K97" s="34">
        <v>11485.54</v>
      </c>
      <c r="L97" s="34">
        <f t="shared" si="17"/>
        <v>11485.54</v>
      </c>
      <c r="M97" s="34">
        <v>0</v>
      </c>
      <c r="N97" s="34">
        <v>0</v>
      </c>
      <c r="O97" s="34">
        <v>92519.39</v>
      </c>
      <c r="P97" s="34">
        <f t="shared" si="18"/>
        <v>92519.39</v>
      </c>
      <c r="Q97" s="34">
        <v>4582930.79</v>
      </c>
      <c r="R97" s="34">
        <v>2665588.25</v>
      </c>
      <c r="S97" s="34">
        <v>0</v>
      </c>
      <c r="T97" s="34">
        <v>0</v>
      </c>
      <c r="U97" s="34">
        <f t="shared" si="19"/>
        <v>7248519.04</v>
      </c>
      <c r="V97" s="34">
        <v>12515.65</v>
      </c>
      <c r="W97" s="254">
        <f t="shared" si="20"/>
        <v>8124595.57</v>
      </c>
      <c r="X97" s="34">
        <v>0</v>
      </c>
      <c r="Y97" s="255">
        <f t="shared" si="21"/>
        <v>8124595.57</v>
      </c>
    </row>
    <row r="98" spans="1:25" ht="12.75" hidden="1" outlineLevel="1">
      <c r="A98" s="1" t="s">
        <v>3270</v>
      </c>
      <c r="C98" s="1" t="s">
        <v>3271</v>
      </c>
      <c r="D98" s="2" t="s">
        <v>3272</v>
      </c>
      <c r="E98" s="1">
        <v>4551918.08</v>
      </c>
      <c r="F98" s="1">
        <v>7011.34</v>
      </c>
      <c r="G98" s="1">
        <f t="shared" si="16"/>
        <v>4558929.42</v>
      </c>
      <c r="H98" s="1">
        <v>88197.26</v>
      </c>
      <c r="I98" s="1">
        <v>0</v>
      </c>
      <c r="J98" s="1">
        <v>0</v>
      </c>
      <c r="K98" s="1">
        <v>0</v>
      </c>
      <c r="L98" s="1">
        <f t="shared" si="17"/>
        <v>0</v>
      </c>
      <c r="M98" s="1">
        <v>0</v>
      </c>
      <c r="N98" s="1">
        <v>0</v>
      </c>
      <c r="O98" s="1">
        <v>0</v>
      </c>
      <c r="P98" s="1">
        <f t="shared" si="18"/>
        <v>0</v>
      </c>
      <c r="Q98" s="1">
        <v>0</v>
      </c>
      <c r="R98" s="1">
        <v>0</v>
      </c>
      <c r="S98" s="1">
        <v>0</v>
      </c>
      <c r="T98" s="1">
        <v>0</v>
      </c>
      <c r="U98" s="1">
        <f t="shared" si="19"/>
        <v>0</v>
      </c>
      <c r="V98" s="1">
        <v>0</v>
      </c>
      <c r="W98" s="212">
        <f t="shared" si="20"/>
        <v>4647126.68</v>
      </c>
      <c r="X98" s="1">
        <v>0</v>
      </c>
      <c r="Y98" s="256">
        <f t="shared" si="21"/>
        <v>4647126.68</v>
      </c>
    </row>
    <row r="99" spans="1:25" ht="12.75" hidden="1" outlineLevel="1">
      <c r="A99" s="1" t="s">
        <v>3273</v>
      </c>
      <c r="C99" s="1" t="s">
        <v>3274</v>
      </c>
      <c r="D99" s="2" t="s">
        <v>3275</v>
      </c>
      <c r="E99" s="1">
        <v>543.7</v>
      </c>
      <c r="F99" s="1">
        <v>0</v>
      </c>
      <c r="G99" s="1">
        <f t="shared" si="16"/>
        <v>543.7</v>
      </c>
      <c r="H99" s="1">
        <v>0</v>
      </c>
      <c r="I99" s="1">
        <v>0</v>
      </c>
      <c r="J99" s="1">
        <v>0</v>
      </c>
      <c r="K99" s="1">
        <v>0</v>
      </c>
      <c r="L99" s="1">
        <f t="shared" si="17"/>
        <v>0</v>
      </c>
      <c r="M99" s="1">
        <v>0</v>
      </c>
      <c r="N99" s="1">
        <v>0</v>
      </c>
      <c r="O99" s="1">
        <v>0</v>
      </c>
      <c r="P99" s="1">
        <f t="shared" si="18"/>
        <v>0</v>
      </c>
      <c r="Q99" s="1">
        <v>0</v>
      </c>
      <c r="R99" s="1">
        <v>0</v>
      </c>
      <c r="S99" s="1">
        <v>0</v>
      </c>
      <c r="T99" s="1">
        <v>0</v>
      </c>
      <c r="U99" s="1">
        <f t="shared" si="19"/>
        <v>0</v>
      </c>
      <c r="V99" s="1">
        <v>0</v>
      </c>
      <c r="W99" s="212">
        <f t="shared" si="20"/>
        <v>543.7</v>
      </c>
      <c r="X99" s="1">
        <v>0</v>
      </c>
      <c r="Y99" s="256">
        <f t="shared" si="21"/>
        <v>543.7</v>
      </c>
    </row>
    <row r="100" spans="1:25" ht="12.75" customHeight="1" collapsed="1">
      <c r="A100" s="252" t="s">
        <v>3276</v>
      </c>
      <c r="B100" s="30"/>
      <c r="C100" s="252" t="s">
        <v>3277</v>
      </c>
      <c r="D100" s="31"/>
      <c r="E100" s="32">
        <v>4552461.78</v>
      </c>
      <c r="F100" s="32">
        <v>7011.34</v>
      </c>
      <c r="G100" s="36">
        <f t="shared" si="16"/>
        <v>4559473.12</v>
      </c>
      <c r="H100" s="36">
        <v>88197.26</v>
      </c>
      <c r="I100" s="36">
        <v>0</v>
      </c>
      <c r="J100" s="36">
        <v>0</v>
      </c>
      <c r="K100" s="36">
        <v>0</v>
      </c>
      <c r="L100" s="36">
        <f t="shared" si="17"/>
        <v>0</v>
      </c>
      <c r="M100" s="36">
        <v>0</v>
      </c>
      <c r="N100" s="36">
        <v>0</v>
      </c>
      <c r="O100" s="36">
        <v>0</v>
      </c>
      <c r="P100" s="36">
        <f t="shared" si="18"/>
        <v>0</v>
      </c>
      <c r="Q100" s="36">
        <v>0</v>
      </c>
      <c r="R100" s="36">
        <v>0</v>
      </c>
      <c r="S100" s="36">
        <v>0</v>
      </c>
      <c r="T100" s="36">
        <v>0</v>
      </c>
      <c r="U100" s="36">
        <f t="shared" si="19"/>
        <v>0</v>
      </c>
      <c r="V100" s="36">
        <v>0</v>
      </c>
      <c r="W100" s="257">
        <f t="shared" si="20"/>
        <v>4647670.38</v>
      </c>
      <c r="X100" s="36">
        <v>0</v>
      </c>
      <c r="Y100" s="258">
        <f t="shared" si="21"/>
        <v>4647670.38</v>
      </c>
    </row>
    <row r="101" spans="1:25" ht="12.75" hidden="1" outlineLevel="1">
      <c r="A101" s="1" t="s">
        <v>3278</v>
      </c>
      <c r="C101" s="1" t="s">
        <v>3279</v>
      </c>
      <c r="D101" s="2" t="s">
        <v>3280</v>
      </c>
      <c r="E101" s="1">
        <v>4311120.74</v>
      </c>
      <c r="F101" s="1">
        <v>13260.13</v>
      </c>
      <c r="G101" s="1">
        <f t="shared" si="16"/>
        <v>4324380.87</v>
      </c>
      <c r="H101" s="1">
        <v>485319.65</v>
      </c>
      <c r="I101" s="1">
        <v>0</v>
      </c>
      <c r="J101" s="1">
        <v>0</v>
      </c>
      <c r="K101" s="1">
        <v>0</v>
      </c>
      <c r="L101" s="1">
        <f t="shared" si="17"/>
        <v>0</v>
      </c>
      <c r="M101" s="1">
        <v>0</v>
      </c>
      <c r="N101" s="1">
        <v>0</v>
      </c>
      <c r="O101" s="1">
        <v>0</v>
      </c>
      <c r="P101" s="1">
        <f t="shared" si="18"/>
        <v>0</v>
      </c>
      <c r="Q101" s="1">
        <v>0</v>
      </c>
      <c r="R101" s="1">
        <v>0</v>
      </c>
      <c r="S101" s="1">
        <v>0</v>
      </c>
      <c r="T101" s="1">
        <v>0</v>
      </c>
      <c r="U101" s="1">
        <f t="shared" si="19"/>
        <v>0</v>
      </c>
      <c r="V101" s="1">
        <v>881.61</v>
      </c>
      <c r="W101" s="212">
        <f t="shared" si="20"/>
        <v>4810582.130000001</v>
      </c>
      <c r="X101" s="1">
        <v>0</v>
      </c>
      <c r="Y101" s="256">
        <f t="shared" si="21"/>
        <v>4810582.130000001</v>
      </c>
    </row>
    <row r="102" spans="1:25" ht="12.75" customHeight="1" collapsed="1">
      <c r="A102" s="252" t="s">
        <v>3281</v>
      </c>
      <c r="B102" s="30"/>
      <c r="C102" s="252" t="s">
        <v>3282</v>
      </c>
      <c r="D102" s="31"/>
      <c r="E102" s="32">
        <v>4311120.74</v>
      </c>
      <c r="F102" s="32">
        <v>13260.13</v>
      </c>
      <c r="G102" s="36">
        <f t="shared" si="16"/>
        <v>4324380.87</v>
      </c>
      <c r="H102" s="36">
        <v>485319.65</v>
      </c>
      <c r="I102" s="36">
        <v>0</v>
      </c>
      <c r="J102" s="36">
        <v>0</v>
      </c>
      <c r="K102" s="36">
        <v>0</v>
      </c>
      <c r="L102" s="36">
        <f t="shared" si="17"/>
        <v>0</v>
      </c>
      <c r="M102" s="36">
        <v>0</v>
      </c>
      <c r="N102" s="36">
        <v>0</v>
      </c>
      <c r="O102" s="36">
        <v>0</v>
      </c>
      <c r="P102" s="36">
        <f t="shared" si="18"/>
        <v>0</v>
      </c>
      <c r="Q102" s="36">
        <v>0</v>
      </c>
      <c r="R102" s="36">
        <v>0</v>
      </c>
      <c r="S102" s="36">
        <v>0</v>
      </c>
      <c r="T102" s="36">
        <v>0</v>
      </c>
      <c r="U102" s="36">
        <f t="shared" si="19"/>
        <v>0</v>
      </c>
      <c r="V102" s="36">
        <v>881.61</v>
      </c>
      <c r="W102" s="257">
        <f t="shared" si="20"/>
        <v>4810582.130000001</v>
      </c>
      <c r="X102" s="36">
        <v>0</v>
      </c>
      <c r="Y102" s="258">
        <f t="shared" si="21"/>
        <v>4810582.130000001</v>
      </c>
    </row>
    <row r="103" spans="1:25" ht="12.75" customHeight="1">
      <c r="A103" s="252" t="s">
        <v>3283</v>
      </c>
      <c r="B103" s="30"/>
      <c r="C103" s="252" t="s">
        <v>3284</v>
      </c>
      <c r="D103" s="31"/>
      <c r="E103" s="32">
        <v>0</v>
      </c>
      <c r="F103" s="32">
        <v>0</v>
      </c>
      <c r="G103" s="36">
        <f t="shared" si="16"/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f t="shared" si="17"/>
        <v>0</v>
      </c>
      <c r="M103" s="36">
        <v>0</v>
      </c>
      <c r="N103" s="36">
        <v>0</v>
      </c>
      <c r="O103" s="36">
        <v>0</v>
      </c>
      <c r="P103" s="36">
        <f t="shared" si="18"/>
        <v>0</v>
      </c>
      <c r="Q103" s="36">
        <v>0</v>
      </c>
      <c r="R103" s="36">
        <v>0</v>
      </c>
      <c r="S103" s="36">
        <v>0</v>
      </c>
      <c r="T103" s="36">
        <v>0</v>
      </c>
      <c r="U103" s="36">
        <f t="shared" si="19"/>
        <v>0</v>
      </c>
      <c r="V103" s="36">
        <v>0</v>
      </c>
      <c r="W103" s="257">
        <f t="shared" si="20"/>
        <v>0</v>
      </c>
      <c r="X103" s="36">
        <v>0</v>
      </c>
      <c r="Y103" s="258">
        <f t="shared" si="21"/>
        <v>0</v>
      </c>
    </row>
    <row r="104" spans="1:25" ht="12.75" customHeight="1">
      <c r="A104" s="252" t="s">
        <v>3285</v>
      </c>
      <c r="B104" s="30"/>
      <c r="C104" s="252" t="s">
        <v>3286</v>
      </c>
      <c r="D104" s="31"/>
      <c r="E104" s="32">
        <v>0</v>
      </c>
      <c r="F104" s="32">
        <v>0</v>
      </c>
      <c r="G104" s="36">
        <f t="shared" si="16"/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f t="shared" si="17"/>
        <v>0</v>
      </c>
      <c r="M104" s="36">
        <v>0</v>
      </c>
      <c r="N104" s="36">
        <v>0</v>
      </c>
      <c r="O104" s="36">
        <v>0</v>
      </c>
      <c r="P104" s="36">
        <f t="shared" si="18"/>
        <v>0</v>
      </c>
      <c r="Q104" s="36">
        <v>0</v>
      </c>
      <c r="R104" s="36">
        <v>0</v>
      </c>
      <c r="S104" s="36">
        <v>0</v>
      </c>
      <c r="T104" s="36">
        <v>0</v>
      </c>
      <c r="U104" s="36">
        <f t="shared" si="19"/>
        <v>0</v>
      </c>
      <c r="V104" s="36">
        <v>0</v>
      </c>
      <c r="W104" s="257">
        <f t="shared" si="20"/>
        <v>0</v>
      </c>
      <c r="X104" s="36">
        <v>0</v>
      </c>
      <c r="Y104" s="258">
        <f t="shared" si="21"/>
        <v>0</v>
      </c>
    </row>
    <row r="105" spans="1:25" ht="12.75" hidden="1" outlineLevel="1">
      <c r="A105" s="1" t="s">
        <v>3287</v>
      </c>
      <c r="C105" s="1" t="s">
        <v>3288</v>
      </c>
      <c r="D105" s="2" t="s">
        <v>3289</v>
      </c>
      <c r="E105" s="1">
        <v>6078817.84</v>
      </c>
      <c r="F105" s="1">
        <v>-17.5</v>
      </c>
      <c r="G105" s="1">
        <f t="shared" si="16"/>
        <v>6078800.34</v>
      </c>
      <c r="H105" s="1">
        <v>0</v>
      </c>
      <c r="I105" s="1">
        <v>0</v>
      </c>
      <c r="J105" s="1">
        <v>0</v>
      </c>
      <c r="K105" s="1">
        <v>0</v>
      </c>
      <c r="L105" s="1">
        <f t="shared" si="17"/>
        <v>0</v>
      </c>
      <c r="M105" s="1">
        <v>0</v>
      </c>
      <c r="N105" s="1">
        <v>0</v>
      </c>
      <c r="O105" s="1">
        <v>0</v>
      </c>
      <c r="P105" s="1">
        <f t="shared" si="18"/>
        <v>0</v>
      </c>
      <c r="Q105" s="1">
        <v>0</v>
      </c>
      <c r="R105" s="1">
        <v>0</v>
      </c>
      <c r="S105" s="1">
        <v>0</v>
      </c>
      <c r="T105" s="1">
        <v>0</v>
      </c>
      <c r="U105" s="1">
        <f t="shared" si="19"/>
        <v>0</v>
      </c>
      <c r="V105" s="1">
        <v>3500</v>
      </c>
      <c r="W105" s="212">
        <f t="shared" si="20"/>
        <v>6082300.34</v>
      </c>
      <c r="X105" s="1">
        <v>0</v>
      </c>
      <c r="Y105" s="256">
        <f t="shared" si="21"/>
        <v>6082300.34</v>
      </c>
    </row>
    <row r="106" spans="1:25" ht="12.75" hidden="1" outlineLevel="1">
      <c r="A106" s="1" t="s">
        <v>3290</v>
      </c>
      <c r="C106" s="1" t="s">
        <v>3291</v>
      </c>
      <c r="D106" s="2" t="s">
        <v>3292</v>
      </c>
      <c r="E106" s="1">
        <v>18002.5</v>
      </c>
      <c r="F106" s="1">
        <v>54725.26</v>
      </c>
      <c r="G106" s="1">
        <f t="shared" si="16"/>
        <v>72727.76000000001</v>
      </c>
      <c r="H106" s="1">
        <v>70000</v>
      </c>
      <c r="I106" s="1">
        <v>0</v>
      </c>
      <c r="J106" s="1">
        <v>0</v>
      </c>
      <c r="K106" s="1">
        <v>0</v>
      </c>
      <c r="L106" s="1">
        <f t="shared" si="17"/>
        <v>0</v>
      </c>
      <c r="M106" s="1">
        <v>0</v>
      </c>
      <c r="N106" s="1">
        <v>0</v>
      </c>
      <c r="O106" s="1">
        <v>0</v>
      </c>
      <c r="P106" s="1">
        <f t="shared" si="18"/>
        <v>0</v>
      </c>
      <c r="Q106" s="1">
        <v>0</v>
      </c>
      <c r="R106" s="1">
        <v>0</v>
      </c>
      <c r="S106" s="1">
        <v>0</v>
      </c>
      <c r="T106" s="1">
        <v>0</v>
      </c>
      <c r="U106" s="1">
        <f t="shared" si="19"/>
        <v>0</v>
      </c>
      <c r="V106" s="1">
        <v>0</v>
      </c>
      <c r="W106" s="212">
        <f t="shared" si="20"/>
        <v>142727.76</v>
      </c>
      <c r="X106" s="1">
        <v>0</v>
      </c>
      <c r="Y106" s="256">
        <f t="shared" si="21"/>
        <v>142727.76</v>
      </c>
    </row>
    <row r="107" spans="1:25" ht="12.75" hidden="1" outlineLevel="1">
      <c r="A107" s="1" t="s">
        <v>3293</v>
      </c>
      <c r="C107" s="1" t="s">
        <v>3294</v>
      </c>
      <c r="D107" s="2" t="s">
        <v>3295</v>
      </c>
      <c r="E107" s="1">
        <v>0</v>
      </c>
      <c r="F107" s="1">
        <v>0</v>
      </c>
      <c r="G107" s="1">
        <f t="shared" si="16"/>
        <v>0</v>
      </c>
      <c r="H107" s="1">
        <v>5748164.12</v>
      </c>
      <c r="I107" s="1">
        <v>0</v>
      </c>
      <c r="J107" s="1">
        <v>0</v>
      </c>
      <c r="K107" s="1">
        <v>0</v>
      </c>
      <c r="L107" s="1">
        <f t="shared" si="17"/>
        <v>0</v>
      </c>
      <c r="M107" s="1">
        <v>0</v>
      </c>
      <c r="N107" s="1">
        <v>0</v>
      </c>
      <c r="O107" s="1">
        <v>0</v>
      </c>
      <c r="P107" s="1">
        <f t="shared" si="18"/>
        <v>0</v>
      </c>
      <c r="Q107" s="1">
        <v>0</v>
      </c>
      <c r="R107" s="1">
        <v>0</v>
      </c>
      <c r="S107" s="1">
        <v>0</v>
      </c>
      <c r="T107" s="1">
        <v>0</v>
      </c>
      <c r="U107" s="1">
        <f t="shared" si="19"/>
        <v>0</v>
      </c>
      <c r="V107" s="1">
        <v>0</v>
      </c>
      <c r="W107" s="212">
        <f t="shared" si="20"/>
        <v>5748164.12</v>
      </c>
      <c r="X107" s="1">
        <v>0</v>
      </c>
      <c r="Y107" s="256">
        <f t="shared" si="21"/>
        <v>5748164.12</v>
      </c>
    </row>
    <row r="108" spans="1:25" ht="12.75" hidden="1" outlineLevel="1">
      <c r="A108" s="1" t="s">
        <v>3296</v>
      </c>
      <c r="C108" s="1" t="s">
        <v>3297</v>
      </c>
      <c r="D108" s="2" t="s">
        <v>3298</v>
      </c>
      <c r="E108" s="1">
        <v>0</v>
      </c>
      <c r="F108" s="1">
        <v>0</v>
      </c>
      <c r="G108" s="1">
        <f t="shared" si="16"/>
        <v>0</v>
      </c>
      <c r="H108" s="1">
        <v>0</v>
      </c>
      <c r="I108" s="1">
        <v>0</v>
      </c>
      <c r="J108" s="1">
        <v>0</v>
      </c>
      <c r="K108" s="1">
        <v>0</v>
      </c>
      <c r="L108" s="1">
        <f t="shared" si="17"/>
        <v>0</v>
      </c>
      <c r="M108" s="1">
        <v>0</v>
      </c>
      <c r="N108" s="1">
        <v>0</v>
      </c>
      <c r="O108" s="1">
        <v>0</v>
      </c>
      <c r="P108" s="1">
        <f t="shared" si="18"/>
        <v>0</v>
      </c>
      <c r="Q108" s="1">
        <v>0</v>
      </c>
      <c r="R108" s="1">
        <v>0</v>
      </c>
      <c r="S108" s="1">
        <v>0</v>
      </c>
      <c r="T108" s="1">
        <v>0</v>
      </c>
      <c r="U108" s="1">
        <f t="shared" si="19"/>
        <v>0</v>
      </c>
      <c r="V108" s="1">
        <v>89410.17</v>
      </c>
      <c r="W108" s="212">
        <f t="shared" si="20"/>
        <v>89410.17</v>
      </c>
      <c r="X108" s="1">
        <v>0</v>
      </c>
      <c r="Y108" s="256">
        <f t="shared" si="21"/>
        <v>89410.17</v>
      </c>
    </row>
    <row r="109" spans="1:25" ht="12.75" customHeight="1" collapsed="1">
      <c r="A109" s="252" t="s">
        <v>3299</v>
      </c>
      <c r="B109" s="30"/>
      <c r="C109" s="252" t="s">
        <v>3300</v>
      </c>
      <c r="D109" s="31"/>
      <c r="E109" s="32">
        <v>6096820.34</v>
      </c>
      <c r="F109" s="32">
        <v>54707.76</v>
      </c>
      <c r="G109" s="36">
        <f t="shared" si="16"/>
        <v>6151528.1</v>
      </c>
      <c r="H109" s="36">
        <v>5818164.12</v>
      </c>
      <c r="I109" s="36">
        <v>0</v>
      </c>
      <c r="J109" s="36">
        <v>0</v>
      </c>
      <c r="K109" s="36">
        <v>0</v>
      </c>
      <c r="L109" s="36">
        <f t="shared" si="17"/>
        <v>0</v>
      </c>
      <c r="M109" s="36">
        <v>0</v>
      </c>
      <c r="N109" s="36">
        <v>0</v>
      </c>
      <c r="O109" s="36">
        <v>0</v>
      </c>
      <c r="P109" s="36">
        <f t="shared" si="18"/>
        <v>0</v>
      </c>
      <c r="Q109" s="36">
        <v>0</v>
      </c>
      <c r="R109" s="36">
        <v>0</v>
      </c>
      <c r="S109" s="36">
        <v>0</v>
      </c>
      <c r="T109" s="36">
        <v>0</v>
      </c>
      <c r="U109" s="36">
        <f t="shared" si="19"/>
        <v>0</v>
      </c>
      <c r="V109" s="36">
        <v>92910.17</v>
      </c>
      <c r="W109" s="257">
        <f t="shared" si="20"/>
        <v>12062602.389999999</v>
      </c>
      <c r="X109" s="36">
        <v>0</v>
      </c>
      <c r="Y109" s="258">
        <f t="shared" si="21"/>
        <v>12062602.389999999</v>
      </c>
    </row>
    <row r="110" spans="1:25" ht="12.75" hidden="1" outlineLevel="1">
      <c r="A110" s="1" t="s">
        <v>3301</v>
      </c>
      <c r="C110" s="1" t="s">
        <v>3302</v>
      </c>
      <c r="D110" s="2" t="s">
        <v>3303</v>
      </c>
      <c r="E110" s="1">
        <v>-593.02</v>
      </c>
      <c r="F110" s="1">
        <v>0</v>
      </c>
      <c r="G110" s="1">
        <f t="shared" si="16"/>
        <v>-593.02</v>
      </c>
      <c r="H110" s="1">
        <v>0</v>
      </c>
      <c r="I110" s="1">
        <v>0</v>
      </c>
      <c r="J110" s="1">
        <v>0</v>
      </c>
      <c r="K110" s="1">
        <v>0</v>
      </c>
      <c r="L110" s="1">
        <f t="shared" si="17"/>
        <v>0</v>
      </c>
      <c r="M110" s="1">
        <v>0</v>
      </c>
      <c r="N110" s="1">
        <v>0</v>
      </c>
      <c r="O110" s="1">
        <v>0</v>
      </c>
      <c r="P110" s="1">
        <f t="shared" si="18"/>
        <v>0</v>
      </c>
      <c r="Q110" s="1">
        <v>0</v>
      </c>
      <c r="R110" s="1">
        <v>0</v>
      </c>
      <c r="S110" s="1">
        <v>0</v>
      </c>
      <c r="T110" s="1">
        <v>0</v>
      </c>
      <c r="U110" s="1">
        <f t="shared" si="19"/>
        <v>0</v>
      </c>
      <c r="V110" s="1">
        <v>168.48</v>
      </c>
      <c r="W110" s="212">
        <f t="shared" si="20"/>
        <v>-424.53999999999996</v>
      </c>
      <c r="X110" s="1">
        <v>0</v>
      </c>
      <c r="Y110" s="256">
        <f t="shared" si="21"/>
        <v>-424.53999999999996</v>
      </c>
    </row>
    <row r="111" spans="1:25" ht="12.75" hidden="1" outlineLevel="1">
      <c r="A111" s="1" t="s">
        <v>3304</v>
      </c>
      <c r="C111" s="1" t="s">
        <v>3305</v>
      </c>
      <c r="D111" s="2" t="s">
        <v>3306</v>
      </c>
      <c r="E111" s="1">
        <v>438.58</v>
      </c>
      <c r="F111" s="1">
        <v>0</v>
      </c>
      <c r="G111" s="1">
        <f t="shared" si="16"/>
        <v>438.58</v>
      </c>
      <c r="H111" s="1">
        <v>0</v>
      </c>
      <c r="I111" s="1">
        <v>0</v>
      </c>
      <c r="J111" s="1">
        <v>0</v>
      </c>
      <c r="K111" s="1">
        <v>0</v>
      </c>
      <c r="L111" s="1">
        <f t="shared" si="17"/>
        <v>0</v>
      </c>
      <c r="M111" s="1">
        <v>0</v>
      </c>
      <c r="N111" s="1">
        <v>0</v>
      </c>
      <c r="O111" s="1">
        <v>0</v>
      </c>
      <c r="P111" s="1">
        <f t="shared" si="18"/>
        <v>0</v>
      </c>
      <c r="Q111" s="1">
        <v>0</v>
      </c>
      <c r="R111" s="1">
        <v>0</v>
      </c>
      <c r="S111" s="1">
        <v>0</v>
      </c>
      <c r="T111" s="1">
        <v>0</v>
      </c>
      <c r="U111" s="1">
        <f t="shared" si="19"/>
        <v>0</v>
      </c>
      <c r="V111" s="1">
        <v>0</v>
      </c>
      <c r="W111" s="212">
        <f t="shared" si="20"/>
        <v>438.58</v>
      </c>
      <c r="X111" s="1">
        <v>0</v>
      </c>
      <c r="Y111" s="256">
        <f t="shared" si="21"/>
        <v>438.58</v>
      </c>
    </row>
    <row r="112" spans="1:25" ht="12.75" customHeight="1" collapsed="1">
      <c r="A112" s="252" t="s">
        <v>3307</v>
      </c>
      <c r="B112" s="30"/>
      <c r="C112" s="252" t="s">
        <v>3308</v>
      </c>
      <c r="D112" s="31"/>
      <c r="E112" s="32">
        <v>-154.44</v>
      </c>
      <c r="F112" s="32">
        <v>0</v>
      </c>
      <c r="G112" s="36">
        <f t="shared" si="16"/>
        <v>-154.44</v>
      </c>
      <c r="H112" s="36">
        <v>0</v>
      </c>
      <c r="I112" s="36">
        <v>0</v>
      </c>
      <c r="J112" s="36">
        <v>0</v>
      </c>
      <c r="K112" s="36">
        <v>0</v>
      </c>
      <c r="L112" s="36">
        <f t="shared" si="17"/>
        <v>0</v>
      </c>
      <c r="M112" s="36">
        <v>0</v>
      </c>
      <c r="N112" s="36">
        <v>0</v>
      </c>
      <c r="O112" s="36">
        <v>0</v>
      </c>
      <c r="P112" s="36">
        <f t="shared" si="18"/>
        <v>0</v>
      </c>
      <c r="Q112" s="36">
        <v>0</v>
      </c>
      <c r="R112" s="36">
        <v>0</v>
      </c>
      <c r="S112" s="36">
        <v>0</v>
      </c>
      <c r="T112" s="36">
        <v>0</v>
      </c>
      <c r="U112" s="36">
        <f t="shared" si="19"/>
        <v>0</v>
      </c>
      <c r="V112" s="36">
        <v>168.48</v>
      </c>
      <c r="W112" s="257">
        <f t="shared" si="20"/>
        <v>14.039999999999992</v>
      </c>
      <c r="X112" s="36">
        <v>0</v>
      </c>
      <c r="Y112" s="258">
        <f t="shared" si="21"/>
        <v>14.039999999999992</v>
      </c>
    </row>
    <row r="113" spans="1:25" ht="12.75" customHeight="1">
      <c r="A113" s="252" t="s">
        <v>3783</v>
      </c>
      <c r="B113" s="30"/>
      <c r="C113" s="252" t="s">
        <v>3803</v>
      </c>
      <c r="D113" s="31"/>
      <c r="E113" s="32">
        <v>0</v>
      </c>
      <c r="F113" s="32">
        <v>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f t="shared" si="18"/>
        <v>0</v>
      </c>
      <c r="Q113" s="36">
        <v>0</v>
      </c>
      <c r="R113" s="36">
        <v>0</v>
      </c>
      <c r="S113" s="36">
        <v>0</v>
      </c>
      <c r="T113" s="36">
        <v>0</v>
      </c>
      <c r="U113" s="36">
        <v>0</v>
      </c>
      <c r="V113" s="36">
        <f>V88-V97-V100-V102-V103-V104-V109-V112-V116-V117-V119-V120</f>
        <v>19993708.72</v>
      </c>
      <c r="W113" s="257">
        <f t="shared" si="20"/>
        <v>19993708.72</v>
      </c>
      <c r="X113" s="36">
        <v>0</v>
      </c>
      <c r="Y113" s="258">
        <f t="shared" si="21"/>
        <v>19993708.72</v>
      </c>
    </row>
    <row r="114" spans="1:25" ht="12.75" customHeight="1">
      <c r="A114" s="252" t="s">
        <v>3309</v>
      </c>
      <c r="B114" s="30"/>
      <c r="C114" s="252" t="s">
        <v>3310</v>
      </c>
      <c r="D114" s="31"/>
      <c r="E114" s="32">
        <v>0</v>
      </c>
      <c r="F114" s="32">
        <v>0</v>
      </c>
      <c r="G114" s="36">
        <f aca="true" t="shared" si="22" ref="G114:G120">E114+F114</f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f aca="true" t="shared" si="23" ref="L114:L120">I114+J114+K114</f>
        <v>0</v>
      </c>
      <c r="M114" s="36">
        <v>0</v>
      </c>
      <c r="N114" s="36">
        <v>0</v>
      </c>
      <c r="O114" s="36">
        <v>0</v>
      </c>
      <c r="P114" s="36">
        <f t="shared" si="18"/>
        <v>0</v>
      </c>
      <c r="Q114" s="36">
        <v>0</v>
      </c>
      <c r="R114" s="36">
        <v>0</v>
      </c>
      <c r="S114" s="36">
        <v>0</v>
      </c>
      <c r="T114" s="36">
        <v>0</v>
      </c>
      <c r="U114" s="36">
        <f aca="true" t="shared" si="24" ref="U114:U120">Q114+R114+S114+T114</f>
        <v>0</v>
      </c>
      <c r="V114" s="36">
        <v>0</v>
      </c>
      <c r="W114" s="257">
        <f t="shared" si="20"/>
        <v>0</v>
      </c>
      <c r="X114" s="36">
        <v>0</v>
      </c>
      <c r="Y114" s="258">
        <f t="shared" si="21"/>
        <v>0</v>
      </c>
    </row>
    <row r="115" spans="1:25" ht="12.75" hidden="1" outlineLevel="1">
      <c r="A115" s="1" t="s">
        <v>3311</v>
      </c>
      <c r="C115" s="1" t="s">
        <v>3312</v>
      </c>
      <c r="D115" s="2" t="s">
        <v>3313</v>
      </c>
      <c r="E115" s="1">
        <v>0</v>
      </c>
      <c r="F115" s="1">
        <v>0</v>
      </c>
      <c r="G115" s="1">
        <f t="shared" si="22"/>
        <v>0</v>
      </c>
      <c r="H115" s="1">
        <v>0</v>
      </c>
      <c r="I115" s="1">
        <v>0</v>
      </c>
      <c r="J115" s="1">
        <v>0</v>
      </c>
      <c r="K115" s="1">
        <v>0</v>
      </c>
      <c r="L115" s="1">
        <f t="shared" si="23"/>
        <v>0</v>
      </c>
      <c r="M115" s="1">
        <v>0</v>
      </c>
      <c r="N115" s="1">
        <v>12516732.21</v>
      </c>
      <c r="O115" s="1">
        <v>0</v>
      </c>
      <c r="P115" s="1">
        <f t="shared" si="18"/>
        <v>12516732.21</v>
      </c>
      <c r="Q115" s="1">
        <v>0</v>
      </c>
      <c r="R115" s="1">
        <v>0</v>
      </c>
      <c r="S115" s="1">
        <v>0</v>
      </c>
      <c r="T115" s="1">
        <v>0</v>
      </c>
      <c r="U115" s="1">
        <f t="shared" si="24"/>
        <v>0</v>
      </c>
      <c r="V115" s="1">
        <v>0</v>
      </c>
      <c r="W115" s="212">
        <f t="shared" si="20"/>
        <v>12516732.21</v>
      </c>
      <c r="X115" s="1">
        <v>0</v>
      </c>
      <c r="Y115" s="256">
        <f t="shared" si="21"/>
        <v>12516732.21</v>
      </c>
    </row>
    <row r="116" spans="1:25" ht="12.75" customHeight="1" collapsed="1">
      <c r="A116" s="252" t="s">
        <v>3314</v>
      </c>
      <c r="B116" s="30"/>
      <c r="C116" s="252" t="s">
        <v>3805</v>
      </c>
      <c r="D116" s="31"/>
      <c r="E116" s="32">
        <v>0</v>
      </c>
      <c r="F116" s="32">
        <v>0</v>
      </c>
      <c r="G116" s="36">
        <f t="shared" si="22"/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f t="shared" si="23"/>
        <v>0</v>
      </c>
      <c r="M116" s="36">
        <v>0</v>
      </c>
      <c r="N116" s="36">
        <v>12516732.21</v>
      </c>
      <c r="O116" s="36">
        <v>0</v>
      </c>
      <c r="P116" s="36">
        <f t="shared" si="18"/>
        <v>12516732.21</v>
      </c>
      <c r="Q116" s="36">
        <v>0</v>
      </c>
      <c r="R116" s="36">
        <v>0</v>
      </c>
      <c r="S116" s="36">
        <v>0</v>
      </c>
      <c r="T116" s="36">
        <v>0</v>
      </c>
      <c r="U116" s="36">
        <f t="shared" si="24"/>
        <v>0</v>
      </c>
      <c r="V116" s="36">
        <v>0</v>
      </c>
      <c r="W116" s="257">
        <f t="shared" si="20"/>
        <v>12516732.21</v>
      </c>
      <c r="X116" s="36">
        <v>0</v>
      </c>
      <c r="Y116" s="258">
        <f t="shared" si="21"/>
        <v>12516732.21</v>
      </c>
    </row>
    <row r="117" spans="1:25" ht="12.75" customHeight="1">
      <c r="A117" s="252" t="s">
        <v>3315</v>
      </c>
      <c r="B117" s="30"/>
      <c r="C117" s="252" t="s">
        <v>3316</v>
      </c>
      <c r="D117" s="31"/>
      <c r="E117" s="32">
        <v>0</v>
      </c>
      <c r="F117" s="32">
        <v>0</v>
      </c>
      <c r="G117" s="36">
        <f t="shared" si="22"/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f t="shared" si="23"/>
        <v>0</v>
      </c>
      <c r="M117" s="36">
        <v>0</v>
      </c>
      <c r="N117" s="36">
        <v>0</v>
      </c>
      <c r="O117" s="36">
        <v>0</v>
      </c>
      <c r="P117" s="36">
        <f t="shared" si="18"/>
        <v>0</v>
      </c>
      <c r="Q117" s="36">
        <v>0</v>
      </c>
      <c r="R117" s="36">
        <v>0</v>
      </c>
      <c r="S117" s="36">
        <v>0</v>
      </c>
      <c r="T117" s="36">
        <v>0</v>
      </c>
      <c r="U117" s="36">
        <f t="shared" si="24"/>
        <v>0</v>
      </c>
      <c r="V117" s="36">
        <v>0</v>
      </c>
      <c r="W117" s="257">
        <f t="shared" si="20"/>
        <v>0</v>
      </c>
      <c r="X117" s="36">
        <v>0</v>
      </c>
      <c r="Y117" s="258">
        <f t="shared" si="21"/>
        <v>0</v>
      </c>
    </row>
    <row r="118" spans="1:25" ht="12.75" hidden="1" outlineLevel="1">
      <c r="A118" s="1" t="s">
        <v>3317</v>
      </c>
      <c r="C118" s="1" t="s">
        <v>3318</v>
      </c>
      <c r="D118" s="2" t="s">
        <v>3319</v>
      </c>
      <c r="E118" s="1">
        <v>0</v>
      </c>
      <c r="F118" s="1">
        <v>0</v>
      </c>
      <c r="G118" s="1">
        <f t="shared" si="22"/>
        <v>0</v>
      </c>
      <c r="H118" s="1">
        <v>0</v>
      </c>
      <c r="I118" s="1">
        <v>0</v>
      </c>
      <c r="J118" s="1">
        <v>0</v>
      </c>
      <c r="K118" s="1">
        <v>0</v>
      </c>
      <c r="L118" s="1">
        <f t="shared" si="23"/>
        <v>0</v>
      </c>
      <c r="M118" s="1">
        <v>0</v>
      </c>
      <c r="N118" s="1">
        <v>0</v>
      </c>
      <c r="O118" s="1">
        <v>0</v>
      </c>
      <c r="P118" s="1">
        <f t="shared" si="18"/>
        <v>0</v>
      </c>
      <c r="Q118" s="1">
        <v>0</v>
      </c>
      <c r="R118" s="1">
        <v>0</v>
      </c>
      <c r="S118" s="1">
        <v>0</v>
      </c>
      <c r="T118" s="1">
        <v>1324895.77</v>
      </c>
      <c r="U118" s="1">
        <f t="shared" si="24"/>
        <v>1324895.77</v>
      </c>
      <c r="V118" s="1">
        <v>0</v>
      </c>
      <c r="W118" s="212">
        <f t="shared" si="20"/>
        <v>1324895.77</v>
      </c>
      <c r="X118" s="1">
        <v>0</v>
      </c>
      <c r="Y118" s="256">
        <f t="shared" si="21"/>
        <v>1324895.77</v>
      </c>
    </row>
    <row r="119" spans="1:25" ht="12.75" customHeight="1" collapsed="1">
      <c r="A119" s="252" t="s">
        <v>3320</v>
      </c>
      <c r="B119" s="30"/>
      <c r="C119" s="252" t="s">
        <v>3806</v>
      </c>
      <c r="D119" s="31"/>
      <c r="E119" s="32">
        <v>0</v>
      </c>
      <c r="F119" s="32">
        <v>0</v>
      </c>
      <c r="G119" s="36">
        <f t="shared" si="22"/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f t="shared" si="23"/>
        <v>0</v>
      </c>
      <c r="M119" s="36">
        <v>0</v>
      </c>
      <c r="N119" s="36">
        <v>0</v>
      </c>
      <c r="O119" s="36">
        <v>0</v>
      </c>
      <c r="P119" s="36">
        <f t="shared" si="18"/>
        <v>0</v>
      </c>
      <c r="Q119" s="36">
        <v>0</v>
      </c>
      <c r="R119" s="36">
        <v>0</v>
      </c>
      <c r="S119" s="36">
        <v>0</v>
      </c>
      <c r="T119" s="36">
        <v>1324895.77</v>
      </c>
      <c r="U119" s="36">
        <f t="shared" si="24"/>
        <v>1324895.77</v>
      </c>
      <c r="V119" s="36">
        <v>0</v>
      </c>
      <c r="W119" s="257">
        <f t="shared" si="20"/>
        <v>1324895.77</v>
      </c>
      <c r="X119" s="36">
        <v>0</v>
      </c>
      <c r="Y119" s="258">
        <f t="shared" si="21"/>
        <v>1324895.77</v>
      </c>
    </row>
    <row r="120" spans="1:25" ht="12.75" customHeight="1">
      <c r="A120" s="252" t="s">
        <v>3321</v>
      </c>
      <c r="B120" s="30"/>
      <c r="C120" s="252" t="s">
        <v>335</v>
      </c>
      <c r="D120" s="31"/>
      <c r="E120" s="32">
        <v>0</v>
      </c>
      <c r="F120" s="32">
        <v>0</v>
      </c>
      <c r="G120" s="36">
        <f t="shared" si="22"/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f t="shared" si="23"/>
        <v>0</v>
      </c>
      <c r="M120" s="36">
        <v>0</v>
      </c>
      <c r="N120" s="36">
        <v>0</v>
      </c>
      <c r="O120" s="36">
        <v>0</v>
      </c>
      <c r="P120" s="36">
        <f t="shared" si="18"/>
        <v>0</v>
      </c>
      <c r="Q120" s="36">
        <v>0</v>
      </c>
      <c r="R120" s="36">
        <v>0</v>
      </c>
      <c r="S120" s="36">
        <v>0</v>
      </c>
      <c r="T120" s="36">
        <v>0</v>
      </c>
      <c r="U120" s="36">
        <f t="shared" si="24"/>
        <v>0</v>
      </c>
      <c r="V120" s="36">
        <v>0</v>
      </c>
      <c r="W120" s="257">
        <f t="shared" si="20"/>
        <v>0</v>
      </c>
      <c r="X120" s="36">
        <v>0</v>
      </c>
      <c r="Y120" s="258">
        <f t="shared" si="21"/>
        <v>0</v>
      </c>
    </row>
    <row r="121" spans="1:25" ht="12.75" customHeight="1">
      <c r="A121" s="2"/>
      <c r="B121" s="30"/>
      <c r="C121" s="252"/>
      <c r="D121" s="31"/>
      <c r="E121" s="32"/>
      <c r="F121" s="32"/>
      <c r="G121" s="36"/>
      <c r="H121" s="36"/>
      <c r="I121" s="36"/>
      <c r="J121" s="36"/>
      <c r="K121" s="36"/>
      <c r="L121" s="36"/>
      <c r="M121" s="36"/>
      <c r="N121" s="36"/>
      <c r="O121" s="36"/>
      <c r="P121" s="39"/>
      <c r="Q121" s="36"/>
      <c r="R121" s="36"/>
      <c r="S121" s="36"/>
      <c r="T121" s="36"/>
      <c r="U121" s="36"/>
      <c r="V121" s="36"/>
      <c r="W121" s="257"/>
      <c r="X121" s="36"/>
      <c r="Y121" s="258"/>
    </row>
    <row r="122" spans="1:25" s="259" customFormat="1" ht="12.75" customHeight="1">
      <c r="A122" s="29"/>
      <c r="B122" s="23" t="s">
        <v>336</v>
      </c>
      <c r="C122" s="251"/>
      <c r="D122" s="24"/>
      <c r="E122" s="27">
        <f aca="true" t="shared" si="25" ref="E122:Y122">E97+E100+E102+E103+E112+E104+E109+E113+E116+E117+E119+E120+E114</f>
        <v>15454275.76</v>
      </c>
      <c r="F122" s="27">
        <f t="shared" si="25"/>
        <v>84763.94</v>
      </c>
      <c r="G122" s="39">
        <f t="shared" si="25"/>
        <v>15539039.7</v>
      </c>
      <c r="H122" s="39">
        <f t="shared" si="25"/>
        <v>6647424.93</v>
      </c>
      <c r="I122" s="39">
        <f t="shared" si="25"/>
        <v>0</v>
      </c>
      <c r="J122" s="39">
        <f t="shared" si="25"/>
        <v>0</v>
      </c>
      <c r="K122" s="39">
        <f t="shared" si="25"/>
        <v>11485.54</v>
      </c>
      <c r="L122" s="39">
        <f t="shared" si="25"/>
        <v>11485.54</v>
      </c>
      <c r="M122" s="39">
        <f t="shared" si="25"/>
        <v>0</v>
      </c>
      <c r="N122" s="39">
        <f t="shared" si="25"/>
        <v>12516732.21</v>
      </c>
      <c r="O122" s="39">
        <f t="shared" si="25"/>
        <v>92519.39</v>
      </c>
      <c r="P122" s="39">
        <f t="shared" si="25"/>
        <v>12609251.600000001</v>
      </c>
      <c r="Q122" s="39">
        <f t="shared" si="25"/>
        <v>4582930.79</v>
      </c>
      <c r="R122" s="39">
        <f t="shared" si="25"/>
        <v>2665588.25</v>
      </c>
      <c r="S122" s="39">
        <f t="shared" si="25"/>
        <v>0</v>
      </c>
      <c r="T122" s="39">
        <f t="shared" si="25"/>
        <v>1324895.77</v>
      </c>
      <c r="U122" s="39">
        <f t="shared" si="25"/>
        <v>8573414.81</v>
      </c>
      <c r="V122" s="39">
        <f t="shared" si="25"/>
        <v>20100184.63</v>
      </c>
      <c r="W122" s="39">
        <f t="shared" si="25"/>
        <v>63480801.21</v>
      </c>
      <c r="X122" s="39">
        <f t="shared" si="25"/>
        <v>0</v>
      </c>
      <c r="Y122" s="39">
        <f t="shared" si="25"/>
        <v>63480801.21</v>
      </c>
    </row>
    <row r="123" spans="1:25" ht="12.75" customHeight="1">
      <c r="A123" s="2"/>
      <c r="B123" s="30"/>
      <c r="C123" s="252"/>
      <c r="D123" s="31"/>
      <c r="E123" s="32"/>
      <c r="F123" s="32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257"/>
      <c r="X123" s="36"/>
      <c r="Y123" s="258"/>
    </row>
    <row r="124" spans="1:25" ht="12.75" customHeight="1">
      <c r="A124" s="29"/>
      <c r="B124" s="23" t="s">
        <v>3807</v>
      </c>
      <c r="C124" s="251"/>
      <c r="D124" s="24"/>
      <c r="E124" s="27"/>
      <c r="F124" s="27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260"/>
      <c r="X124" s="39"/>
      <c r="Y124" s="258"/>
    </row>
    <row r="125" spans="1:25" ht="12.75" customHeight="1">
      <c r="A125" s="1" t="s">
        <v>337</v>
      </c>
      <c r="B125" s="30"/>
      <c r="C125" s="252" t="s">
        <v>3842</v>
      </c>
      <c r="D125" s="31"/>
      <c r="E125" s="32">
        <v>0</v>
      </c>
      <c r="F125" s="32">
        <v>0</v>
      </c>
      <c r="G125" s="36">
        <f aca="true" t="shared" si="26" ref="G125:G130">E125+F125</f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f aca="true" t="shared" si="27" ref="L125:L130">I125+J125+K125</f>
        <v>0</v>
      </c>
      <c r="M125" s="36">
        <v>0</v>
      </c>
      <c r="N125" s="36">
        <v>0</v>
      </c>
      <c r="O125" s="36">
        <v>0</v>
      </c>
      <c r="P125" s="36">
        <f aca="true" t="shared" si="28" ref="P125:P130">M125+N125+O125</f>
        <v>0</v>
      </c>
      <c r="Q125" s="36">
        <v>0</v>
      </c>
      <c r="R125" s="36">
        <v>0</v>
      </c>
      <c r="S125" s="36">
        <v>0</v>
      </c>
      <c r="T125" s="36">
        <v>0</v>
      </c>
      <c r="U125" s="36">
        <f aca="true" t="shared" si="29" ref="U125:U130">Q125+R125+S125+T125</f>
        <v>0</v>
      </c>
      <c r="V125" s="36">
        <v>0</v>
      </c>
      <c r="W125" s="257">
        <f aca="true" t="shared" si="30" ref="W125:W130">G125+H125+L125+P125+U125+V125</f>
        <v>0</v>
      </c>
      <c r="X125" s="36">
        <v>0</v>
      </c>
      <c r="Y125" s="258">
        <f aca="true" t="shared" si="31" ref="Y125:Y130">W125+X125</f>
        <v>0</v>
      </c>
    </row>
    <row r="126" spans="1:25" ht="12.75" customHeight="1">
      <c r="A126" s="252" t="s">
        <v>338</v>
      </c>
      <c r="B126" s="30"/>
      <c r="C126" s="252" t="s">
        <v>339</v>
      </c>
      <c r="D126" s="31"/>
      <c r="E126" s="32">
        <v>0</v>
      </c>
      <c r="F126" s="32">
        <v>0</v>
      </c>
      <c r="G126" s="36">
        <f t="shared" si="26"/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f t="shared" si="27"/>
        <v>0</v>
      </c>
      <c r="M126" s="36">
        <v>0</v>
      </c>
      <c r="N126" s="36">
        <v>0</v>
      </c>
      <c r="O126" s="36">
        <v>0</v>
      </c>
      <c r="P126" s="36">
        <f t="shared" si="28"/>
        <v>0</v>
      </c>
      <c r="Q126" s="36">
        <v>0</v>
      </c>
      <c r="R126" s="36">
        <v>0</v>
      </c>
      <c r="S126" s="36">
        <v>0</v>
      </c>
      <c r="T126" s="36">
        <v>0</v>
      </c>
      <c r="U126" s="36">
        <f t="shared" si="29"/>
        <v>0</v>
      </c>
      <c r="V126" s="36">
        <v>0</v>
      </c>
      <c r="W126" s="257">
        <f t="shared" si="30"/>
        <v>0</v>
      </c>
      <c r="X126" s="36">
        <v>0</v>
      </c>
      <c r="Y126" s="258">
        <f t="shared" si="31"/>
        <v>0</v>
      </c>
    </row>
    <row r="127" spans="1:25" ht="12.75" hidden="1" outlineLevel="1">
      <c r="A127" s="1" t="s">
        <v>340</v>
      </c>
      <c r="C127" s="1" t="s">
        <v>341</v>
      </c>
      <c r="D127" s="2" t="s">
        <v>342</v>
      </c>
      <c r="E127" s="1">
        <v>0</v>
      </c>
      <c r="F127" s="1">
        <v>0</v>
      </c>
      <c r="G127" s="1">
        <f t="shared" si="26"/>
        <v>0</v>
      </c>
      <c r="H127" s="1">
        <v>0</v>
      </c>
      <c r="I127" s="1">
        <v>0</v>
      </c>
      <c r="J127" s="1">
        <v>0</v>
      </c>
      <c r="K127" s="1">
        <v>0</v>
      </c>
      <c r="L127" s="1">
        <f t="shared" si="27"/>
        <v>0</v>
      </c>
      <c r="M127" s="1">
        <v>0</v>
      </c>
      <c r="N127" s="1">
        <v>0</v>
      </c>
      <c r="O127" s="1">
        <v>0</v>
      </c>
      <c r="P127" s="1">
        <f t="shared" si="28"/>
        <v>0</v>
      </c>
      <c r="Q127" s="1">
        <v>0</v>
      </c>
      <c r="R127" s="1">
        <v>0</v>
      </c>
      <c r="S127" s="1">
        <v>1164084.45</v>
      </c>
      <c r="T127" s="1">
        <v>0</v>
      </c>
      <c r="U127" s="1">
        <f t="shared" si="29"/>
        <v>1164084.45</v>
      </c>
      <c r="V127" s="1">
        <v>0</v>
      </c>
      <c r="W127" s="212">
        <f t="shared" si="30"/>
        <v>1164084.45</v>
      </c>
      <c r="X127" s="1">
        <v>0</v>
      </c>
      <c r="Y127" s="256">
        <f t="shared" si="31"/>
        <v>1164084.45</v>
      </c>
    </row>
    <row r="128" spans="1:25" ht="12.75" hidden="1" outlineLevel="1">
      <c r="A128" s="1" t="s">
        <v>343</v>
      </c>
      <c r="C128" s="1" t="s">
        <v>344</v>
      </c>
      <c r="D128" s="2" t="s">
        <v>345</v>
      </c>
      <c r="E128" s="1">
        <v>0</v>
      </c>
      <c r="F128" s="1">
        <v>0</v>
      </c>
      <c r="G128" s="1">
        <f t="shared" si="26"/>
        <v>0</v>
      </c>
      <c r="H128" s="1">
        <v>0</v>
      </c>
      <c r="I128" s="1">
        <v>0</v>
      </c>
      <c r="J128" s="1">
        <v>0</v>
      </c>
      <c r="K128" s="1">
        <v>0</v>
      </c>
      <c r="L128" s="1">
        <f t="shared" si="27"/>
        <v>0</v>
      </c>
      <c r="M128" s="1">
        <v>0</v>
      </c>
      <c r="N128" s="1">
        <v>0</v>
      </c>
      <c r="O128" s="1">
        <v>0</v>
      </c>
      <c r="P128" s="1">
        <f t="shared" si="28"/>
        <v>0</v>
      </c>
      <c r="Q128" s="1">
        <v>0</v>
      </c>
      <c r="R128" s="1">
        <v>0</v>
      </c>
      <c r="S128" s="1">
        <v>-81095.01</v>
      </c>
      <c r="T128" s="1">
        <v>0</v>
      </c>
      <c r="U128" s="1">
        <f t="shared" si="29"/>
        <v>-81095.01</v>
      </c>
      <c r="V128" s="1">
        <v>0</v>
      </c>
      <c r="W128" s="212">
        <f t="shared" si="30"/>
        <v>-81095.01</v>
      </c>
      <c r="X128" s="1">
        <v>0</v>
      </c>
      <c r="Y128" s="256">
        <f t="shared" si="31"/>
        <v>-81095.01</v>
      </c>
    </row>
    <row r="129" spans="1:25" ht="12.75" hidden="1" outlineLevel="1">
      <c r="A129" s="1" t="s">
        <v>346</v>
      </c>
      <c r="C129" s="1" t="s">
        <v>347</v>
      </c>
      <c r="D129" s="2" t="s">
        <v>348</v>
      </c>
      <c r="E129" s="1">
        <v>0</v>
      </c>
      <c r="F129" s="1">
        <v>0</v>
      </c>
      <c r="G129" s="1">
        <f t="shared" si="26"/>
        <v>0</v>
      </c>
      <c r="H129" s="1">
        <v>0</v>
      </c>
      <c r="I129" s="1">
        <v>0</v>
      </c>
      <c r="J129" s="1">
        <v>0</v>
      </c>
      <c r="K129" s="1">
        <v>0</v>
      </c>
      <c r="L129" s="1">
        <f t="shared" si="27"/>
        <v>0</v>
      </c>
      <c r="M129" s="1">
        <v>0</v>
      </c>
      <c r="N129" s="1">
        <v>0</v>
      </c>
      <c r="O129" s="1">
        <v>0</v>
      </c>
      <c r="P129" s="1">
        <f t="shared" si="28"/>
        <v>0</v>
      </c>
      <c r="Q129" s="1">
        <v>0</v>
      </c>
      <c r="R129" s="1">
        <v>2511154.22</v>
      </c>
      <c r="S129" s="1">
        <v>-169837.79</v>
      </c>
      <c r="T129" s="1">
        <v>54735341.87</v>
      </c>
      <c r="U129" s="1">
        <f t="shared" si="29"/>
        <v>57076658.3</v>
      </c>
      <c r="V129" s="1">
        <v>0</v>
      </c>
      <c r="W129" s="212">
        <f t="shared" si="30"/>
        <v>57076658.3</v>
      </c>
      <c r="X129" s="1">
        <v>0</v>
      </c>
      <c r="Y129" s="256">
        <f t="shared" si="31"/>
        <v>57076658.3</v>
      </c>
    </row>
    <row r="130" spans="1:25" ht="12.75" customHeight="1" collapsed="1">
      <c r="A130" s="252" t="s">
        <v>349</v>
      </c>
      <c r="B130" s="30"/>
      <c r="C130" s="252" t="s">
        <v>3808</v>
      </c>
      <c r="D130" s="31"/>
      <c r="E130" s="32">
        <v>0</v>
      </c>
      <c r="F130" s="32">
        <v>0</v>
      </c>
      <c r="G130" s="36">
        <f t="shared" si="26"/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f t="shared" si="27"/>
        <v>0</v>
      </c>
      <c r="M130" s="36">
        <v>0</v>
      </c>
      <c r="N130" s="36">
        <v>0</v>
      </c>
      <c r="O130" s="36">
        <v>0</v>
      </c>
      <c r="P130" s="36">
        <f t="shared" si="28"/>
        <v>0</v>
      </c>
      <c r="Q130" s="36">
        <v>0</v>
      </c>
      <c r="R130" s="36">
        <v>2511154.22</v>
      </c>
      <c r="S130" s="36">
        <v>913151.65</v>
      </c>
      <c r="T130" s="36">
        <v>54735341.87</v>
      </c>
      <c r="U130" s="36">
        <f t="shared" si="29"/>
        <v>58159647.739999995</v>
      </c>
      <c r="V130" s="36">
        <v>0</v>
      </c>
      <c r="W130" s="257">
        <f t="shared" si="30"/>
        <v>58159647.739999995</v>
      </c>
      <c r="X130" s="36">
        <v>0</v>
      </c>
      <c r="Y130" s="258">
        <f t="shared" si="31"/>
        <v>58159647.739999995</v>
      </c>
    </row>
    <row r="131" spans="1:25" ht="12.75" customHeight="1">
      <c r="A131" s="2"/>
      <c r="B131" s="30"/>
      <c r="C131" s="252"/>
      <c r="D131" s="31"/>
      <c r="E131" s="32"/>
      <c r="F131" s="32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257"/>
      <c r="X131" s="36"/>
      <c r="Y131" s="258"/>
    </row>
    <row r="132" spans="1:25" s="259" customFormat="1" ht="12.75" customHeight="1">
      <c r="A132" s="29"/>
      <c r="B132" s="23" t="s">
        <v>350</v>
      </c>
      <c r="C132" s="251"/>
      <c r="D132" s="24"/>
      <c r="E132" s="27">
        <f aca="true" t="shared" si="32" ref="E132:Y132">E125+E126+E130</f>
        <v>0</v>
      </c>
      <c r="F132" s="27">
        <f t="shared" si="32"/>
        <v>0</v>
      </c>
      <c r="G132" s="39">
        <f t="shared" si="32"/>
        <v>0</v>
      </c>
      <c r="H132" s="39">
        <f t="shared" si="32"/>
        <v>0</v>
      </c>
      <c r="I132" s="39">
        <f t="shared" si="32"/>
        <v>0</v>
      </c>
      <c r="J132" s="39">
        <f t="shared" si="32"/>
        <v>0</v>
      </c>
      <c r="K132" s="39">
        <f t="shared" si="32"/>
        <v>0</v>
      </c>
      <c r="L132" s="39">
        <f t="shared" si="32"/>
        <v>0</v>
      </c>
      <c r="M132" s="39">
        <f t="shared" si="32"/>
        <v>0</v>
      </c>
      <c r="N132" s="39">
        <f t="shared" si="32"/>
        <v>0</v>
      </c>
      <c r="O132" s="39">
        <f t="shared" si="32"/>
        <v>0</v>
      </c>
      <c r="P132" s="39">
        <f t="shared" si="32"/>
        <v>0</v>
      </c>
      <c r="Q132" s="39">
        <f t="shared" si="32"/>
        <v>0</v>
      </c>
      <c r="R132" s="39">
        <f t="shared" si="32"/>
        <v>2511154.22</v>
      </c>
      <c r="S132" s="39">
        <f t="shared" si="32"/>
        <v>913151.65</v>
      </c>
      <c r="T132" s="39">
        <f t="shared" si="32"/>
        <v>54735341.87</v>
      </c>
      <c r="U132" s="39">
        <f t="shared" si="32"/>
        <v>58159647.739999995</v>
      </c>
      <c r="V132" s="39">
        <f t="shared" si="32"/>
        <v>0</v>
      </c>
      <c r="W132" s="260">
        <f t="shared" si="32"/>
        <v>58159647.739999995</v>
      </c>
      <c r="X132" s="39">
        <f t="shared" si="32"/>
        <v>0</v>
      </c>
      <c r="Y132" s="39">
        <f t="shared" si="32"/>
        <v>58159647.739999995</v>
      </c>
    </row>
    <row r="133" spans="1:25" ht="12.75" customHeight="1">
      <c r="A133" s="2"/>
      <c r="B133" s="30"/>
      <c r="C133" s="252"/>
      <c r="D133" s="31"/>
      <c r="E133" s="32"/>
      <c r="F133" s="32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257"/>
      <c r="X133" s="36"/>
      <c r="Y133" s="36"/>
    </row>
    <row r="134" spans="1:25" s="259" customFormat="1" ht="12.75" customHeight="1">
      <c r="A134" s="29"/>
      <c r="B134" s="23" t="s">
        <v>351</v>
      </c>
      <c r="C134" s="251"/>
      <c r="D134" s="24"/>
      <c r="E134" s="27">
        <f aca="true" t="shared" si="33" ref="E134:Y134">E122+E132</f>
        <v>15454275.76</v>
      </c>
      <c r="F134" s="27">
        <f t="shared" si="33"/>
        <v>84763.94</v>
      </c>
      <c r="G134" s="39">
        <f t="shared" si="33"/>
        <v>15539039.7</v>
      </c>
      <c r="H134" s="39">
        <f t="shared" si="33"/>
        <v>6647424.93</v>
      </c>
      <c r="I134" s="39">
        <f t="shared" si="33"/>
        <v>0</v>
      </c>
      <c r="J134" s="39">
        <f t="shared" si="33"/>
        <v>0</v>
      </c>
      <c r="K134" s="39">
        <f t="shared" si="33"/>
        <v>11485.54</v>
      </c>
      <c r="L134" s="39">
        <f t="shared" si="33"/>
        <v>11485.54</v>
      </c>
      <c r="M134" s="39">
        <f t="shared" si="33"/>
        <v>0</v>
      </c>
      <c r="N134" s="39">
        <f t="shared" si="33"/>
        <v>12516732.21</v>
      </c>
      <c r="O134" s="39">
        <f t="shared" si="33"/>
        <v>92519.39</v>
      </c>
      <c r="P134" s="39">
        <f t="shared" si="33"/>
        <v>12609251.600000001</v>
      </c>
      <c r="Q134" s="39">
        <f t="shared" si="33"/>
        <v>4582930.79</v>
      </c>
      <c r="R134" s="39">
        <f t="shared" si="33"/>
        <v>5176742.470000001</v>
      </c>
      <c r="S134" s="39">
        <f t="shared" si="33"/>
        <v>913151.65</v>
      </c>
      <c r="T134" s="39">
        <f t="shared" si="33"/>
        <v>56060237.64</v>
      </c>
      <c r="U134" s="39">
        <f t="shared" si="33"/>
        <v>66733062.55</v>
      </c>
      <c r="V134" s="39">
        <f t="shared" si="33"/>
        <v>20100184.63</v>
      </c>
      <c r="W134" s="260">
        <f t="shared" si="33"/>
        <v>121640448.94999999</v>
      </c>
      <c r="X134" s="39">
        <f t="shared" si="33"/>
        <v>0</v>
      </c>
      <c r="Y134" s="39">
        <f t="shared" si="33"/>
        <v>121640448.94999999</v>
      </c>
    </row>
    <row r="135" spans="1:25" ht="12.75" customHeight="1">
      <c r="A135" s="2"/>
      <c r="B135" s="30"/>
      <c r="C135" s="252"/>
      <c r="D135" s="31"/>
      <c r="E135" s="32"/>
      <c r="F135" s="32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257"/>
      <c r="X135" s="36"/>
      <c r="Y135" s="258"/>
    </row>
    <row r="136" spans="1:25" ht="12.75" customHeight="1">
      <c r="A136" s="2"/>
      <c r="B136" s="23" t="s">
        <v>3809</v>
      </c>
      <c r="C136" s="251"/>
      <c r="D136" s="24"/>
      <c r="E136" s="32"/>
      <c r="F136" s="32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257"/>
      <c r="X136" s="36"/>
      <c r="Y136" s="258"/>
    </row>
    <row r="137" spans="1:25" ht="12.75" customHeight="1">
      <c r="A137" s="2"/>
      <c r="B137" s="30"/>
      <c r="C137" s="252"/>
      <c r="D137" s="31"/>
      <c r="E137" s="32"/>
      <c r="F137" s="32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257"/>
      <c r="X137" s="36"/>
      <c r="Y137" s="258"/>
    </row>
    <row r="138" spans="1:25" ht="12.75" customHeight="1">
      <c r="A138" s="252"/>
      <c r="B138" s="30" t="s">
        <v>352</v>
      </c>
      <c r="C138" s="252"/>
      <c r="D138" s="31"/>
      <c r="E138" s="32">
        <v>0</v>
      </c>
      <c r="F138" s="32">
        <v>0</v>
      </c>
      <c r="G138" s="36">
        <f>E138+F138</f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f>I138+J138+K138</f>
        <v>0</v>
      </c>
      <c r="M138" s="36">
        <v>0</v>
      </c>
      <c r="N138" s="36">
        <v>0</v>
      </c>
      <c r="O138" s="36">
        <v>0</v>
      </c>
      <c r="P138" s="36">
        <f>M138+N138+O138</f>
        <v>0</v>
      </c>
      <c r="Q138" s="36">
        <v>0</v>
      </c>
      <c r="R138" s="36">
        <v>0</v>
      </c>
      <c r="S138" s="36">
        <v>0</v>
      </c>
      <c r="T138" s="36">
        <f>T88-T134</f>
        <v>151413067.23000002</v>
      </c>
      <c r="U138" s="36">
        <f>Q138+R138+S138+T138</f>
        <v>151413067.23000002</v>
      </c>
      <c r="V138" s="36">
        <v>0</v>
      </c>
      <c r="W138" s="257">
        <f>G138+H138+L138+P138+U138+V138</f>
        <v>151413067.23000002</v>
      </c>
      <c r="X138" s="36">
        <v>0</v>
      </c>
      <c r="Y138" s="258">
        <f>W138+X138</f>
        <v>151413067.23000002</v>
      </c>
    </row>
    <row r="139" spans="1:25" ht="12.75" customHeight="1" hidden="1">
      <c r="A139" s="252"/>
      <c r="B139" s="30" t="s">
        <v>353</v>
      </c>
      <c r="C139" s="252"/>
      <c r="D139" s="31"/>
      <c r="E139" s="32">
        <v>0</v>
      </c>
      <c r="F139" s="32">
        <v>0</v>
      </c>
      <c r="G139" s="36">
        <f>E139+F139</f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f>I139+J139+K139</f>
        <v>0</v>
      </c>
      <c r="M139" s="36">
        <v>0</v>
      </c>
      <c r="N139" s="36">
        <v>0</v>
      </c>
      <c r="O139" s="36"/>
      <c r="P139" s="36">
        <f>M139+N139+O139</f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f>Q139+R139+S139+T139</f>
        <v>0</v>
      </c>
      <c r="V139" s="36">
        <v>0</v>
      </c>
      <c r="W139" s="257">
        <f>G139+H139+L139+P139+U139+V139</f>
        <v>0</v>
      </c>
      <c r="X139" s="258">
        <f>X88-X134</f>
        <v>0</v>
      </c>
      <c r="Y139" s="258">
        <f>W139+X139</f>
        <v>0</v>
      </c>
    </row>
    <row r="140" spans="1:25" ht="12.75" customHeight="1">
      <c r="A140" s="252"/>
      <c r="B140" s="30" t="s">
        <v>354</v>
      </c>
      <c r="C140" s="252"/>
      <c r="D140" s="31"/>
      <c r="E140" s="32"/>
      <c r="F140" s="32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257"/>
      <c r="X140" s="36"/>
      <c r="Y140" s="258"/>
    </row>
    <row r="141" spans="1:25" ht="12.75" customHeight="1">
      <c r="A141" s="252"/>
      <c r="B141" s="30"/>
      <c r="C141" s="252" t="s">
        <v>355</v>
      </c>
      <c r="D141" s="31"/>
      <c r="E141" s="32">
        <v>0</v>
      </c>
      <c r="F141" s="32">
        <v>0</v>
      </c>
      <c r="G141" s="36">
        <f>E141+F141</f>
        <v>0</v>
      </c>
      <c r="H141" s="36">
        <v>0</v>
      </c>
      <c r="I141" s="36">
        <v>0</v>
      </c>
      <c r="J141" s="36">
        <f>J88-J134</f>
        <v>0</v>
      </c>
      <c r="K141" s="36">
        <v>0</v>
      </c>
      <c r="L141" s="36">
        <f>I141+J141+K141</f>
        <v>0</v>
      </c>
      <c r="M141" s="36">
        <v>0</v>
      </c>
      <c r="N141" s="36">
        <f>N88-N134</f>
        <v>84641593.77000001</v>
      </c>
      <c r="O141" s="36">
        <v>0</v>
      </c>
      <c r="P141" s="36">
        <f>M141+N141+O141</f>
        <v>84641593.77000001</v>
      </c>
      <c r="Q141" s="36">
        <v>0</v>
      </c>
      <c r="R141" s="36">
        <v>0</v>
      </c>
      <c r="S141" s="36">
        <v>0</v>
      </c>
      <c r="T141" s="36">
        <v>0</v>
      </c>
      <c r="U141" s="36">
        <f>Q141+R141+S141+T141</f>
        <v>0</v>
      </c>
      <c r="V141" s="36">
        <v>0</v>
      </c>
      <c r="W141" s="257">
        <f>G141+H141+L141+P141+U141+V141</f>
        <v>84641593.77000001</v>
      </c>
      <c r="X141" s="36">
        <v>0</v>
      </c>
      <c r="Y141" s="258">
        <f>W141+X141</f>
        <v>84641593.77000001</v>
      </c>
    </row>
    <row r="142" spans="1:25" ht="12.75" customHeight="1">
      <c r="A142" s="252"/>
      <c r="B142" s="30"/>
      <c r="C142" s="252" t="s">
        <v>356</v>
      </c>
      <c r="D142" s="31"/>
      <c r="E142" s="32">
        <v>0</v>
      </c>
      <c r="F142" s="32">
        <v>0</v>
      </c>
      <c r="G142" s="36">
        <f>E142+F142</f>
        <v>0</v>
      </c>
      <c r="H142" s="36">
        <f>H88-H134</f>
        <v>28167819.64599999</v>
      </c>
      <c r="I142" s="36">
        <v>0</v>
      </c>
      <c r="J142" s="36">
        <v>0</v>
      </c>
      <c r="K142" s="36">
        <f>K88-K134</f>
        <v>21917720.34</v>
      </c>
      <c r="L142" s="36">
        <f>I142+J142+K142</f>
        <v>21917720.34</v>
      </c>
      <c r="M142" s="36">
        <v>0</v>
      </c>
      <c r="N142" s="36">
        <v>0</v>
      </c>
      <c r="O142" s="36">
        <f>O88-O134</f>
        <v>26491885.45</v>
      </c>
      <c r="P142" s="36">
        <f>M142+N142+O142</f>
        <v>26491885.45</v>
      </c>
      <c r="Q142" s="36">
        <v>0</v>
      </c>
      <c r="R142" s="36">
        <f>R88-R134</f>
        <v>1481278.4899999993</v>
      </c>
      <c r="S142" s="36">
        <f>S88-S134</f>
        <v>-277581.36</v>
      </c>
      <c r="T142" s="36">
        <v>0</v>
      </c>
      <c r="U142" s="36">
        <f>Q142+R142+S142+T142</f>
        <v>1203697.1299999994</v>
      </c>
      <c r="V142" s="36">
        <v>0</v>
      </c>
      <c r="W142" s="257">
        <f>G142+H142+L142+P142+U142+V142</f>
        <v>77781122.56599998</v>
      </c>
      <c r="X142" s="36">
        <v>0</v>
      </c>
      <c r="Y142" s="258">
        <f>W142+X142</f>
        <v>77781122.56599998</v>
      </c>
    </row>
    <row r="143" spans="1:25" ht="12.75" customHeight="1">
      <c r="A143" s="252"/>
      <c r="B143" s="30" t="s">
        <v>357</v>
      </c>
      <c r="C143" s="252"/>
      <c r="D143" s="31"/>
      <c r="E143" s="32">
        <f>E88-E134</f>
        <v>34413395.449</v>
      </c>
      <c r="F143" s="32">
        <f>F88-F134</f>
        <v>592.0699999997742</v>
      </c>
      <c r="G143" s="36">
        <f>E143+F143</f>
        <v>34413987.519</v>
      </c>
      <c r="H143" s="36">
        <v>0</v>
      </c>
      <c r="I143" s="36">
        <f>I88-I134</f>
        <v>512187.92000000004</v>
      </c>
      <c r="J143" s="36">
        <v>0</v>
      </c>
      <c r="K143" s="36">
        <v>0</v>
      </c>
      <c r="L143" s="36">
        <f>I143+J143+K143</f>
        <v>512187.92000000004</v>
      </c>
      <c r="M143" s="36">
        <f>M88-M134</f>
        <v>0</v>
      </c>
      <c r="N143" s="36">
        <v>0</v>
      </c>
      <c r="O143" s="36">
        <v>0</v>
      </c>
      <c r="P143" s="36">
        <f>M143+N143+O143</f>
        <v>0</v>
      </c>
      <c r="Q143" s="36">
        <f>Q88-Q134</f>
        <v>-3902252.7199999997</v>
      </c>
      <c r="R143" s="36">
        <v>0</v>
      </c>
      <c r="S143" s="36">
        <v>0</v>
      </c>
      <c r="T143" s="36">
        <v>0</v>
      </c>
      <c r="U143" s="36">
        <f>Q143+R143+S143+T143</f>
        <v>-3902252.7199999997</v>
      </c>
      <c r="V143" s="36">
        <f>V88-V134</f>
        <v>0</v>
      </c>
      <c r="W143" s="257">
        <f>G143+H143+L143+P143+U143+V143</f>
        <v>31023922.719000004</v>
      </c>
      <c r="X143" s="36">
        <v>0</v>
      </c>
      <c r="Y143" s="258">
        <f>W143+X143</f>
        <v>31023922.719000004</v>
      </c>
    </row>
    <row r="144" spans="1:25" ht="12.75" customHeight="1">
      <c r="A144" s="29"/>
      <c r="B144" s="23"/>
      <c r="C144" s="251"/>
      <c r="D144" s="24"/>
      <c r="E144" s="27"/>
      <c r="F144" s="27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260"/>
      <c r="X144" s="39"/>
      <c r="Y144" s="258"/>
    </row>
    <row r="145" spans="1:25" s="259" customFormat="1" ht="12.75" customHeight="1">
      <c r="A145" s="29"/>
      <c r="B145" s="23" t="s">
        <v>358</v>
      </c>
      <c r="C145" s="251"/>
      <c r="D145" s="24"/>
      <c r="E145" s="27">
        <f aca="true" t="shared" si="34" ref="E145:Y145">+E138+E139+E141+E142+E143</f>
        <v>34413395.449</v>
      </c>
      <c r="F145" s="27">
        <f t="shared" si="34"/>
        <v>592.0699999997742</v>
      </c>
      <c r="G145" s="39">
        <f t="shared" si="34"/>
        <v>34413987.519</v>
      </c>
      <c r="H145" s="39">
        <f t="shared" si="34"/>
        <v>28167819.64599999</v>
      </c>
      <c r="I145" s="39">
        <f t="shared" si="34"/>
        <v>512187.92000000004</v>
      </c>
      <c r="J145" s="39">
        <f t="shared" si="34"/>
        <v>0</v>
      </c>
      <c r="K145" s="39">
        <f t="shared" si="34"/>
        <v>21917720.34</v>
      </c>
      <c r="L145" s="39">
        <f t="shared" si="34"/>
        <v>22429908.26</v>
      </c>
      <c r="M145" s="39">
        <f t="shared" si="34"/>
        <v>0</v>
      </c>
      <c r="N145" s="39">
        <f t="shared" si="34"/>
        <v>84641593.77000001</v>
      </c>
      <c r="O145" s="39">
        <f t="shared" si="34"/>
        <v>26491885.45</v>
      </c>
      <c r="P145" s="39">
        <f t="shared" si="34"/>
        <v>111133479.22000001</v>
      </c>
      <c r="Q145" s="39">
        <f t="shared" si="34"/>
        <v>-3902252.7199999997</v>
      </c>
      <c r="R145" s="39">
        <f t="shared" si="34"/>
        <v>1481278.4899999993</v>
      </c>
      <c r="S145" s="39">
        <f t="shared" si="34"/>
        <v>-277581.36</v>
      </c>
      <c r="T145" s="39">
        <f t="shared" si="34"/>
        <v>151413067.23000002</v>
      </c>
      <c r="U145" s="39">
        <f t="shared" si="34"/>
        <v>148714511.64000002</v>
      </c>
      <c r="V145" s="39">
        <f t="shared" si="34"/>
        <v>0</v>
      </c>
      <c r="W145" s="260">
        <f t="shared" si="34"/>
        <v>344859706.28499997</v>
      </c>
      <c r="X145" s="39">
        <f t="shared" si="34"/>
        <v>0</v>
      </c>
      <c r="Y145" s="39">
        <f t="shared" si="34"/>
        <v>344859706.28499997</v>
      </c>
    </row>
    <row r="146" spans="1:25" ht="12.75" customHeight="1">
      <c r="A146" s="2"/>
      <c r="B146" s="30"/>
      <c r="C146" s="252"/>
      <c r="D146" s="31"/>
      <c r="E146" s="32"/>
      <c r="F146" s="32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257"/>
      <c r="X146" s="36"/>
      <c r="Y146" s="36"/>
    </row>
    <row r="147" spans="1:25" s="259" customFormat="1" ht="12.75" customHeight="1">
      <c r="A147" s="29"/>
      <c r="B147" s="23" t="s">
        <v>359</v>
      </c>
      <c r="C147" s="251"/>
      <c r="D147" s="24"/>
      <c r="E147" s="27">
        <f aca="true" t="shared" si="35" ref="E147:Y147">+E134+E145</f>
        <v>49867671.209</v>
      </c>
      <c r="F147" s="27">
        <f t="shared" si="35"/>
        <v>85356.00999999978</v>
      </c>
      <c r="G147" s="41">
        <f t="shared" si="35"/>
        <v>49953027.219</v>
      </c>
      <c r="H147" s="41">
        <f t="shared" si="35"/>
        <v>34815244.57599999</v>
      </c>
      <c r="I147" s="41">
        <f t="shared" si="35"/>
        <v>512187.92000000004</v>
      </c>
      <c r="J147" s="41">
        <f t="shared" si="35"/>
        <v>0</v>
      </c>
      <c r="K147" s="41">
        <f t="shared" si="35"/>
        <v>21929205.88</v>
      </c>
      <c r="L147" s="41">
        <f t="shared" si="35"/>
        <v>22441393.8</v>
      </c>
      <c r="M147" s="41">
        <f t="shared" si="35"/>
        <v>0</v>
      </c>
      <c r="N147" s="41">
        <f t="shared" si="35"/>
        <v>97158325.98000002</v>
      </c>
      <c r="O147" s="41">
        <f t="shared" si="35"/>
        <v>26584404.84</v>
      </c>
      <c r="P147" s="41">
        <f t="shared" si="35"/>
        <v>123742730.82000002</v>
      </c>
      <c r="Q147" s="41">
        <f t="shared" si="35"/>
        <v>680678.0700000003</v>
      </c>
      <c r="R147" s="41">
        <f t="shared" si="35"/>
        <v>6658020.96</v>
      </c>
      <c r="S147" s="41">
        <f t="shared" si="35"/>
        <v>635570.29</v>
      </c>
      <c r="T147" s="41">
        <f t="shared" si="35"/>
        <v>207473304.87</v>
      </c>
      <c r="U147" s="41">
        <f t="shared" si="35"/>
        <v>215447574.19</v>
      </c>
      <c r="V147" s="41">
        <f t="shared" si="35"/>
        <v>20100184.63</v>
      </c>
      <c r="W147" s="261">
        <f t="shared" si="35"/>
        <v>466500155.23499995</v>
      </c>
      <c r="X147" s="41">
        <f t="shared" si="35"/>
        <v>0</v>
      </c>
      <c r="Y147" s="41">
        <f t="shared" si="35"/>
        <v>466500155.23499995</v>
      </c>
    </row>
  </sheetData>
  <printOptions horizontalCentered="1"/>
  <pageMargins left="0.5" right="0.5" top="0.75" bottom="0.5" header="0.2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03"/>
  <sheetViews>
    <sheetView zoomScale="75" zoomScaleNormal="75" workbookViewId="0" topLeftCell="A1">
      <pane xSplit="4" ySplit="9" topLeftCell="E325" activePane="bottomRight" state="frozen"/>
      <selection pane="topLeft" activeCell="B2" sqref="B2"/>
      <selection pane="topRight" activeCell="D2" sqref="D2"/>
      <selection pane="bottomLeft" activeCell="B9" sqref="B9"/>
      <selection pane="bottomRight" activeCell="C396" sqref="C396"/>
    </sheetView>
  </sheetViews>
  <sheetFormatPr defaultColWidth="9.140625" defaultRowHeight="12.75" outlineLevelRow="1" outlineLevelCol="1"/>
  <cols>
    <col min="1" max="1" width="1.28515625" style="132" hidden="1" customWidth="1"/>
    <col min="2" max="2" width="3.421875" style="171" customWidth="1"/>
    <col min="3" max="3" width="49.57421875" style="171" customWidth="1"/>
    <col min="4" max="4" width="15.421875" style="171" customWidth="1"/>
    <col min="5" max="6" width="19.57421875" style="132" hidden="1" customWidth="1" outlineLevel="1"/>
    <col min="7" max="7" width="17.8515625" style="171" customWidth="1" collapsed="1"/>
    <col min="8" max="8" width="17.8515625" style="132" customWidth="1"/>
    <col min="9" max="11" width="17.8515625" style="132" hidden="1" customWidth="1" outlineLevel="1"/>
    <col min="12" max="12" width="17.8515625" style="132" customWidth="1" collapsed="1"/>
    <col min="13" max="15" width="17.8515625" style="132" hidden="1" customWidth="1" outlineLevel="1"/>
    <col min="16" max="16" width="17.8515625" style="132" customWidth="1" collapsed="1"/>
    <col min="17" max="20" width="17.8515625" style="132" hidden="1" customWidth="1" outlineLevel="1"/>
    <col min="21" max="21" width="17.8515625" style="171" customWidth="1" collapsed="1"/>
    <col min="22" max="22" width="17.8515625" style="171" customWidth="1"/>
    <col min="23" max="24" width="17.8515625" style="132" hidden="1" customWidth="1"/>
    <col min="25" max="25" width="17.8515625" style="171" hidden="1" customWidth="1"/>
    <col min="26" max="26" width="17.8515625" style="132" hidden="1" customWidth="1"/>
    <col min="27" max="27" width="0" style="132" hidden="1" customWidth="1"/>
    <col min="28" max="16384" width="8.00390625" style="176" customWidth="1"/>
  </cols>
  <sheetData>
    <row r="1" spans="1:26" ht="9" customHeight="1" hidden="1">
      <c r="A1" s="132" t="s">
        <v>99</v>
      </c>
      <c r="B1" s="171" t="s">
        <v>3783</v>
      </c>
      <c r="C1" s="171" t="s">
        <v>3784</v>
      </c>
      <c r="D1" s="171" t="s">
        <v>100</v>
      </c>
      <c r="E1" s="132" t="s">
        <v>101</v>
      </c>
      <c r="F1" s="132" t="s">
        <v>102</v>
      </c>
      <c r="G1" s="171" t="s">
        <v>3785</v>
      </c>
      <c r="H1" s="132" t="s">
        <v>103</v>
      </c>
      <c r="I1" s="132" t="s">
        <v>104</v>
      </c>
      <c r="J1" s="132" t="s">
        <v>105</v>
      </c>
      <c r="K1" s="132" t="s">
        <v>106</v>
      </c>
      <c r="L1" s="132" t="s">
        <v>3785</v>
      </c>
      <c r="M1" s="132" t="s">
        <v>107</v>
      </c>
      <c r="N1" s="132" t="s">
        <v>108</v>
      </c>
      <c r="O1" s="132" t="s">
        <v>109</v>
      </c>
      <c r="P1" s="132" t="s">
        <v>3785</v>
      </c>
      <c r="Q1" s="171" t="s">
        <v>110</v>
      </c>
      <c r="R1" s="171" t="s">
        <v>111</v>
      </c>
      <c r="S1" s="171" t="s">
        <v>112</v>
      </c>
      <c r="T1" s="171" t="s">
        <v>113</v>
      </c>
      <c r="U1" s="171" t="s">
        <v>3785</v>
      </c>
      <c r="V1" s="171" t="s">
        <v>3785</v>
      </c>
      <c r="W1" s="132" t="s">
        <v>114</v>
      </c>
      <c r="X1" s="132" t="s">
        <v>3785</v>
      </c>
      <c r="Y1" s="171" t="s">
        <v>115</v>
      </c>
      <c r="Z1" s="132" t="s">
        <v>3785</v>
      </c>
    </row>
    <row r="2" spans="1:31" s="181" customFormat="1" ht="15.75" customHeight="1">
      <c r="A2" s="177"/>
      <c r="B2" s="5" t="str">
        <f>"University of Missouri - "&amp;RBN</f>
        <v>University of Missouri - Kansas City</v>
      </c>
      <c r="C2" s="178"/>
      <c r="D2" s="178"/>
      <c r="E2" s="179"/>
      <c r="F2" s="179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80"/>
      <c r="AA2" s="177"/>
      <c r="AE2" s="182" t="s">
        <v>3861</v>
      </c>
    </row>
    <row r="3" spans="1:27" s="185" customFormat="1" ht="15.75" customHeight="1">
      <c r="A3" s="183"/>
      <c r="B3" s="184" t="s">
        <v>116</v>
      </c>
      <c r="C3" s="48"/>
      <c r="D3" s="48"/>
      <c r="E3" s="130"/>
      <c r="F3" s="130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126"/>
      <c r="AA3" s="183"/>
    </row>
    <row r="4" spans="1:27" s="185" customFormat="1" ht="15.75" customHeight="1">
      <c r="A4" s="183"/>
      <c r="B4" s="84" t="str">
        <f>"For the Year Ending "&amp;TEXT(AA4,"MMMM DD, YYY")</f>
        <v>For the Year Ending June 30, 2006</v>
      </c>
      <c r="C4" s="48"/>
      <c r="D4" s="48"/>
      <c r="E4" s="130"/>
      <c r="F4" s="130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126"/>
      <c r="AA4" s="186" t="s">
        <v>3862</v>
      </c>
    </row>
    <row r="5" spans="1:27" s="185" customFormat="1" ht="12.75" customHeight="1">
      <c r="A5" s="183"/>
      <c r="B5" s="187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183"/>
    </row>
    <row r="6" spans="2:26" ht="12.75">
      <c r="B6" s="188"/>
      <c r="C6" s="189"/>
      <c r="D6" s="190"/>
      <c r="E6" s="155"/>
      <c r="F6" s="155"/>
      <c r="G6" s="191"/>
      <c r="H6" s="192"/>
      <c r="I6" s="193"/>
      <c r="J6" s="193"/>
      <c r="K6" s="193"/>
      <c r="L6" s="139"/>
      <c r="M6" s="193" t="s">
        <v>3836</v>
      </c>
      <c r="N6" s="193" t="s">
        <v>117</v>
      </c>
      <c r="O6" s="193" t="s">
        <v>118</v>
      </c>
      <c r="P6" s="139"/>
      <c r="Q6" s="149" t="s">
        <v>119</v>
      </c>
      <c r="R6" s="149"/>
      <c r="S6" s="149"/>
      <c r="T6" s="149"/>
      <c r="U6" s="194"/>
      <c r="V6" s="194" t="s">
        <v>120</v>
      </c>
      <c r="W6" s="195"/>
      <c r="X6" s="139"/>
      <c r="Y6" s="194"/>
      <c r="Z6" s="195"/>
    </row>
    <row r="7" spans="2:26" ht="12.75">
      <c r="B7" s="196"/>
      <c r="C7" s="170"/>
      <c r="D7" s="197"/>
      <c r="E7" s="155"/>
      <c r="F7" s="155"/>
      <c r="G7" s="196"/>
      <c r="H7" s="198"/>
      <c r="I7" s="193" t="s">
        <v>3836</v>
      </c>
      <c r="J7" s="193" t="s">
        <v>117</v>
      </c>
      <c r="K7" s="193" t="s">
        <v>118</v>
      </c>
      <c r="L7" s="199"/>
      <c r="M7" s="193" t="s">
        <v>121</v>
      </c>
      <c r="N7" s="193" t="s">
        <v>121</v>
      </c>
      <c r="O7" s="193" t="s">
        <v>121</v>
      </c>
      <c r="P7" s="199" t="s">
        <v>121</v>
      </c>
      <c r="Q7" s="193" t="s">
        <v>3836</v>
      </c>
      <c r="R7" s="193" t="s">
        <v>122</v>
      </c>
      <c r="S7" s="149"/>
      <c r="T7" s="149"/>
      <c r="U7" s="199"/>
      <c r="V7" s="199" t="s">
        <v>123</v>
      </c>
      <c r="W7" s="200"/>
      <c r="X7" s="199" t="s">
        <v>120</v>
      </c>
      <c r="Y7" s="201"/>
      <c r="Z7" s="200"/>
    </row>
    <row r="8" spans="2:26" ht="12.75">
      <c r="B8" s="202"/>
      <c r="C8" s="60"/>
      <c r="D8" s="203"/>
      <c r="E8" s="149"/>
      <c r="F8" s="149"/>
      <c r="G8" s="201" t="s">
        <v>124</v>
      </c>
      <c r="H8" s="201"/>
      <c r="I8" s="193" t="s">
        <v>125</v>
      </c>
      <c r="J8" s="193" t="s">
        <v>125</v>
      </c>
      <c r="K8" s="193" t="s">
        <v>125</v>
      </c>
      <c r="L8" s="199" t="s">
        <v>125</v>
      </c>
      <c r="M8" s="193" t="s">
        <v>126</v>
      </c>
      <c r="N8" s="193" t="s">
        <v>126</v>
      </c>
      <c r="O8" s="193" t="s">
        <v>126</v>
      </c>
      <c r="P8" s="199" t="s">
        <v>126</v>
      </c>
      <c r="Q8" s="193" t="s">
        <v>127</v>
      </c>
      <c r="R8" s="193" t="s">
        <v>127</v>
      </c>
      <c r="S8" s="193" t="s">
        <v>128</v>
      </c>
      <c r="T8" s="193" t="s">
        <v>129</v>
      </c>
      <c r="U8" s="199" t="s">
        <v>130</v>
      </c>
      <c r="V8" s="199" t="s">
        <v>131</v>
      </c>
      <c r="W8" s="199" t="s">
        <v>132</v>
      </c>
      <c r="X8" s="199" t="s">
        <v>123</v>
      </c>
      <c r="Y8" s="199"/>
      <c r="Z8" s="199" t="s">
        <v>133</v>
      </c>
    </row>
    <row r="9" spans="2:26" ht="12.75">
      <c r="B9" s="204"/>
      <c r="C9" s="205"/>
      <c r="D9" s="206"/>
      <c r="E9" s="193" t="s">
        <v>134</v>
      </c>
      <c r="F9" s="193" t="s">
        <v>3836</v>
      </c>
      <c r="G9" s="193" t="s">
        <v>3836</v>
      </c>
      <c r="H9" s="193" t="s">
        <v>117</v>
      </c>
      <c r="I9" s="193" t="s">
        <v>135</v>
      </c>
      <c r="J9" s="193" t="s">
        <v>135</v>
      </c>
      <c r="K9" s="193" t="s">
        <v>135</v>
      </c>
      <c r="L9" s="207" t="s">
        <v>135</v>
      </c>
      <c r="M9" s="193" t="s">
        <v>135</v>
      </c>
      <c r="N9" s="193" t="s">
        <v>135</v>
      </c>
      <c r="O9" s="193" t="s">
        <v>135</v>
      </c>
      <c r="P9" s="207" t="s">
        <v>135</v>
      </c>
      <c r="Q9" s="193" t="s">
        <v>136</v>
      </c>
      <c r="R9" s="193" t="s">
        <v>136</v>
      </c>
      <c r="S9" s="193" t="s">
        <v>132</v>
      </c>
      <c r="T9" s="193" t="s">
        <v>137</v>
      </c>
      <c r="U9" s="207" t="s">
        <v>135</v>
      </c>
      <c r="V9" s="207" t="s">
        <v>132</v>
      </c>
      <c r="W9" s="207" t="s">
        <v>135</v>
      </c>
      <c r="X9" s="207" t="s">
        <v>138</v>
      </c>
      <c r="Y9" s="207" t="s">
        <v>139</v>
      </c>
      <c r="Z9" s="207" t="s">
        <v>135</v>
      </c>
    </row>
    <row r="10" spans="1:27" ht="15">
      <c r="A10" s="167"/>
      <c r="B10" s="61" t="s">
        <v>3815</v>
      </c>
      <c r="C10" s="154"/>
      <c r="D10" s="62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7"/>
    </row>
    <row r="11" spans="1:26" ht="12.75" hidden="1" outlineLevel="1">
      <c r="A11" s="132" t="s">
        <v>1379</v>
      </c>
      <c r="C11" s="171" t="s">
        <v>1380</v>
      </c>
      <c r="D11" s="171" t="s">
        <v>1381</v>
      </c>
      <c r="E11" s="132">
        <v>-37.35</v>
      </c>
      <c r="F11" s="132">
        <v>0</v>
      </c>
      <c r="G11" s="171">
        <f aca="true" t="shared" si="0" ref="G11:G29">E11+F11</f>
        <v>-37.35</v>
      </c>
      <c r="H11" s="132">
        <v>0</v>
      </c>
      <c r="I11" s="132">
        <v>0</v>
      </c>
      <c r="J11" s="132">
        <v>0</v>
      </c>
      <c r="K11" s="132">
        <v>0</v>
      </c>
      <c r="L11" s="132">
        <f aca="true" t="shared" si="1" ref="L11:L17">I11+J11+K11</f>
        <v>0</v>
      </c>
      <c r="M11" s="132">
        <v>0</v>
      </c>
      <c r="N11" s="132">
        <v>0</v>
      </c>
      <c r="O11" s="132">
        <v>0</v>
      </c>
      <c r="P11" s="132">
        <f aca="true" t="shared" si="2" ref="P11:P29">M11+N11+O11</f>
        <v>0</v>
      </c>
      <c r="Q11" s="171">
        <v>0</v>
      </c>
      <c r="R11" s="171">
        <v>0</v>
      </c>
      <c r="S11" s="171">
        <v>0</v>
      </c>
      <c r="T11" s="171">
        <v>0</v>
      </c>
      <c r="U11" s="171">
        <f aca="true" t="shared" si="3" ref="U11:U29">Q11+R11+S11+T11</f>
        <v>0</v>
      </c>
      <c r="V11" s="171">
        <f aca="true" t="shared" si="4" ref="V11:V29">G11+H11+L11+P11+U11</f>
        <v>-37.35</v>
      </c>
      <c r="W11" s="132">
        <v>0</v>
      </c>
      <c r="X11" s="132">
        <f aca="true" t="shared" si="5" ref="X11:X29">V11+W11</f>
        <v>-37.35</v>
      </c>
      <c r="Y11" s="171">
        <v>0</v>
      </c>
      <c r="Z11" s="132">
        <f aca="true" t="shared" si="6" ref="Z11:Z29">X11+Y11</f>
        <v>-37.35</v>
      </c>
    </row>
    <row r="12" spans="1:26" ht="12.75" hidden="1" outlineLevel="1">
      <c r="A12" s="132" t="s">
        <v>1421</v>
      </c>
      <c r="C12" s="171" t="s">
        <v>1422</v>
      </c>
      <c r="D12" s="171" t="s">
        <v>1423</v>
      </c>
      <c r="E12" s="132">
        <v>0.01</v>
      </c>
      <c r="F12" s="132">
        <v>0</v>
      </c>
      <c r="G12" s="171">
        <f t="shared" si="0"/>
        <v>0.01</v>
      </c>
      <c r="H12" s="132">
        <v>0</v>
      </c>
      <c r="I12" s="132">
        <v>0</v>
      </c>
      <c r="J12" s="132">
        <v>0</v>
      </c>
      <c r="K12" s="132">
        <v>0</v>
      </c>
      <c r="L12" s="132">
        <f t="shared" si="1"/>
        <v>0</v>
      </c>
      <c r="M12" s="132">
        <v>0</v>
      </c>
      <c r="N12" s="132">
        <v>0</v>
      </c>
      <c r="O12" s="132">
        <v>0</v>
      </c>
      <c r="P12" s="132">
        <f t="shared" si="2"/>
        <v>0</v>
      </c>
      <c r="Q12" s="171">
        <v>0</v>
      </c>
      <c r="R12" s="171">
        <v>0</v>
      </c>
      <c r="S12" s="171">
        <v>0</v>
      </c>
      <c r="T12" s="171">
        <v>0</v>
      </c>
      <c r="U12" s="171">
        <f t="shared" si="3"/>
        <v>0</v>
      </c>
      <c r="V12" s="171">
        <f t="shared" si="4"/>
        <v>0.01</v>
      </c>
      <c r="W12" s="132">
        <v>0</v>
      </c>
      <c r="X12" s="132">
        <f t="shared" si="5"/>
        <v>0.01</v>
      </c>
      <c r="Y12" s="171">
        <v>0</v>
      </c>
      <c r="Z12" s="132">
        <f t="shared" si="6"/>
        <v>0.01</v>
      </c>
    </row>
    <row r="13" spans="1:26" ht="12.75" hidden="1" outlineLevel="1">
      <c r="A13" s="132" t="s">
        <v>1427</v>
      </c>
      <c r="C13" s="171" t="s">
        <v>1428</v>
      </c>
      <c r="D13" s="171" t="s">
        <v>1429</v>
      </c>
      <c r="E13" s="132">
        <v>-373.5</v>
      </c>
      <c r="F13" s="132">
        <v>0</v>
      </c>
      <c r="G13" s="171">
        <f t="shared" si="0"/>
        <v>-373.5</v>
      </c>
      <c r="H13" s="132">
        <v>0</v>
      </c>
      <c r="I13" s="132">
        <v>0</v>
      </c>
      <c r="J13" s="132">
        <v>0</v>
      </c>
      <c r="K13" s="132">
        <v>0</v>
      </c>
      <c r="L13" s="132">
        <f t="shared" si="1"/>
        <v>0</v>
      </c>
      <c r="M13" s="132">
        <v>0</v>
      </c>
      <c r="N13" s="132">
        <v>0</v>
      </c>
      <c r="O13" s="132">
        <v>0</v>
      </c>
      <c r="P13" s="132">
        <f t="shared" si="2"/>
        <v>0</v>
      </c>
      <c r="Q13" s="171">
        <v>0</v>
      </c>
      <c r="R13" s="171">
        <v>0</v>
      </c>
      <c r="S13" s="171">
        <v>0</v>
      </c>
      <c r="T13" s="171">
        <v>0</v>
      </c>
      <c r="U13" s="171">
        <f t="shared" si="3"/>
        <v>0</v>
      </c>
      <c r="V13" s="171">
        <f t="shared" si="4"/>
        <v>-373.5</v>
      </c>
      <c r="W13" s="132">
        <v>0</v>
      </c>
      <c r="X13" s="132">
        <f t="shared" si="5"/>
        <v>-373.5</v>
      </c>
      <c r="Y13" s="171">
        <v>0</v>
      </c>
      <c r="Z13" s="132">
        <f t="shared" si="6"/>
        <v>-373.5</v>
      </c>
    </row>
    <row r="14" spans="1:26" ht="12.75" hidden="1" outlineLevel="1">
      <c r="A14" s="132" t="s">
        <v>1430</v>
      </c>
      <c r="C14" s="171" t="s">
        <v>1431</v>
      </c>
      <c r="D14" s="171" t="s">
        <v>1432</v>
      </c>
      <c r="E14" s="132">
        <v>0.01</v>
      </c>
      <c r="F14" s="132">
        <v>0</v>
      </c>
      <c r="G14" s="171">
        <f t="shared" si="0"/>
        <v>0.01</v>
      </c>
      <c r="H14" s="132">
        <v>0</v>
      </c>
      <c r="I14" s="132">
        <v>0</v>
      </c>
      <c r="J14" s="132">
        <v>0</v>
      </c>
      <c r="K14" s="132">
        <v>0</v>
      </c>
      <c r="L14" s="132">
        <f t="shared" si="1"/>
        <v>0</v>
      </c>
      <c r="M14" s="132">
        <v>0</v>
      </c>
      <c r="N14" s="132">
        <v>0</v>
      </c>
      <c r="O14" s="132">
        <v>0</v>
      </c>
      <c r="P14" s="132">
        <f t="shared" si="2"/>
        <v>0</v>
      </c>
      <c r="Q14" s="171">
        <v>0</v>
      </c>
      <c r="R14" s="171">
        <v>0</v>
      </c>
      <c r="S14" s="171">
        <v>0</v>
      </c>
      <c r="T14" s="171">
        <v>0</v>
      </c>
      <c r="U14" s="171">
        <f t="shared" si="3"/>
        <v>0</v>
      </c>
      <c r="V14" s="171">
        <f t="shared" si="4"/>
        <v>0.01</v>
      </c>
      <c r="W14" s="132">
        <v>0</v>
      </c>
      <c r="X14" s="132">
        <f t="shared" si="5"/>
        <v>0.01</v>
      </c>
      <c r="Y14" s="171">
        <v>0</v>
      </c>
      <c r="Z14" s="132">
        <f t="shared" si="6"/>
        <v>0.01</v>
      </c>
    </row>
    <row r="15" spans="1:26" ht="12.75" hidden="1" outlineLevel="1">
      <c r="A15" s="132" t="s">
        <v>1436</v>
      </c>
      <c r="C15" s="171" t="s">
        <v>1437</v>
      </c>
      <c r="D15" s="171" t="s">
        <v>1438</v>
      </c>
      <c r="E15" s="132">
        <v>-2147.98</v>
      </c>
      <c r="F15" s="132">
        <v>0</v>
      </c>
      <c r="G15" s="171">
        <f t="shared" si="0"/>
        <v>-2147.98</v>
      </c>
      <c r="H15" s="132">
        <v>0</v>
      </c>
      <c r="I15" s="132">
        <v>0</v>
      </c>
      <c r="J15" s="132">
        <v>0</v>
      </c>
      <c r="K15" s="132">
        <v>0</v>
      </c>
      <c r="L15" s="132">
        <f t="shared" si="1"/>
        <v>0</v>
      </c>
      <c r="M15" s="132">
        <v>0</v>
      </c>
      <c r="N15" s="132">
        <v>0</v>
      </c>
      <c r="O15" s="132">
        <v>0</v>
      </c>
      <c r="P15" s="132">
        <f t="shared" si="2"/>
        <v>0</v>
      </c>
      <c r="Q15" s="171">
        <v>0</v>
      </c>
      <c r="R15" s="171">
        <v>0</v>
      </c>
      <c r="S15" s="171">
        <v>0</v>
      </c>
      <c r="T15" s="171">
        <v>0</v>
      </c>
      <c r="U15" s="171">
        <f t="shared" si="3"/>
        <v>0</v>
      </c>
      <c r="V15" s="171">
        <f t="shared" si="4"/>
        <v>-2147.98</v>
      </c>
      <c r="W15" s="132">
        <v>0</v>
      </c>
      <c r="X15" s="132">
        <f t="shared" si="5"/>
        <v>-2147.98</v>
      </c>
      <c r="Y15" s="171">
        <v>0</v>
      </c>
      <c r="Z15" s="132">
        <f t="shared" si="6"/>
        <v>-2147.98</v>
      </c>
    </row>
    <row r="16" spans="1:26" ht="12.75" hidden="1" outlineLevel="1">
      <c r="A16" s="132" t="s">
        <v>1439</v>
      </c>
      <c r="C16" s="171" t="s">
        <v>1440</v>
      </c>
      <c r="D16" s="171" t="s">
        <v>1441</v>
      </c>
      <c r="E16" s="132">
        <v>-759.85</v>
      </c>
      <c r="F16" s="132">
        <v>0</v>
      </c>
      <c r="G16" s="171">
        <f t="shared" si="0"/>
        <v>-759.85</v>
      </c>
      <c r="H16" s="132">
        <v>0</v>
      </c>
      <c r="I16" s="132">
        <v>0</v>
      </c>
      <c r="J16" s="132">
        <v>0</v>
      </c>
      <c r="K16" s="132">
        <v>0</v>
      </c>
      <c r="L16" s="132">
        <f t="shared" si="1"/>
        <v>0</v>
      </c>
      <c r="M16" s="132">
        <v>0</v>
      </c>
      <c r="N16" s="132">
        <v>0</v>
      </c>
      <c r="O16" s="132">
        <v>0</v>
      </c>
      <c r="P16" s="132">
        <f t="shared" si="2"/>
        <v>0</v>
      </c>
      <c r="Q16" s="171">
        <v>0</v>
      </c>
      <c r="R16" s="171">
        <v>0</v>
      </c>
      <c r="S16" s="171">
        <v>0</v>
      </c>
      <c r="T16" s="171">
        <v>0</v>
      </c>
      <c r="U16" s="171">
        <f t="shared" si="3"/>
        <v>0</v>
      </c>
      <c r="V16" s="171">
        <f t="shared" si="4"/>
        <v>-759.85</v>
      </c>
      <c r="W16" s="132">
        <v>0</v>
      </c>
      <c r="X16" s="132">
        <f t="shared" si="5"/>
        <v>-759.85</v>
      </c>
      <c r="Y16" s="171">
        <v>0</v>
      </c>
      <c r="Z16" s="132">
        <f t="shared" si="6"/>
        <v>-759.85</v>
      </c>
    </row>
    <row r="17" spans="1:27" ht="12" customHeight="1" collapsed="1">
      <c r="A17" s="150" t="s">
        <v>1448</v>
      </c>
      <c r="B17" s="148"/>
      <c r="C17" s="150" t="s">
        <v>1449</v>
      </c>
      <c r="D17" s="157"/>
      <c r="E17" s="155">
        <v>-3318.66</v>
      </c>
      <c r="F17" s="155">
        <v>119733995.38</v>
      </c>
      <c r="G17" s="158">
        <f t="shared" si="0"/>
        <v>119730676.72</v>
      </c>
      <c r="H17" s="158">
        <v>0</v>
      </c>
      <c r="I17" s="158">
        <v>0</v>
      </c>
      <c r="J17" s="158">
        <v>0</v>
      </c>
      <c r="K17" s="158">
        <v>0</v>
      </c>
      <c r="L17" s="158">
        <f t="shared" si="1"/>
        <v>0</v>
      </c>
      <c r="M17" s="158">
        <v>0</v>
      </c>
      <c r="N17" s="158">
        <v>0</v>
      </c>
      <c r="O17" s="158">
        <v>0</v>
      </c>
      <c r="P17" s="158">
        <f t="shared" si="2"/>
        <v>0</v>
      </c>
      <c r="Q17" s="158">
        <v>0</v>
      </c>
      <c r="R17" s="158">
        <v>0</v>
      </c>
      <c r="S17" s="158">
        <v>0</v>
      </c>
      <c r="T17" s="158">
        <v>0</v>
      </c>
      <c r="U17" s="158">
        <f t="shared" si="3"/>
        <v>0</v>
      </c>
      <c r="V17" s="158">
        <f t="shared" si="4"/>
        <v>119730676.72</v>
      </c>
      <c r="W17" s="158">
        <v>0</v>
      </c>
      <c r="X17" s="158">
        <f t="shared" si="5"/>
        <v>119730676.72</v>
      </c>
      <c r="Y17" s="158">
        <v>0</v>
      </c>
      <c r="Z17" s="158">
        <f t="shared" si="6"/>
        <v>119730676.72</v>
      </c>
      <c r="AA17" s="150"/>
    </row>
    <row r="18" spans="1:26" ht="12.75" hidden="1" outlineLevel="1">
      <c r="A18" s="132" t="s">
        <v>1450</v>
      </c>
      <c r="C18" s="171" t="s">
        <v>1451</v>
      </c>
      <c r="D18" s="171" t="s">
        <v>1452</v>
      </c>
      <c r="E18" s="132">
        <v>0</v>
      </c>
      <c r="F18" s="132">
        <v>0</v>
      </c>
      <c r="G18" s="171">
        <f t="shared" si="0"/>
        <v>0</v>
      </c>
      <c r="H18" s="132">
        <v>-1200</v>
      </c>
      <c r="I18" s="132">
        <v>0</v>
      </c>
      <c r="J18" s="132">
        <v>0</v>
      </c>
      <c r="K18" s="132">
        <v>0</v>
      </c>
      <c r="L18" s="132">
        <f aca="true" t="shared" si="7" ref="L18:L29">J18+I18+K18</f>
        <v>0</v>
      </c>
      <c r="M18" s="132">
        <v>0</v>
      </c>
      <c r="N18" s="132">
        <v>0</v>
      </c>
      <c r="O18" s="132">
        <v>0</v>
      </c>
      <c r="P18" s="132">
        <f t="shared" si="2"/>
        <v>0</v>
      </c>
      <c r="Q18" s="171">
        <v>0</v>
      </c>
      <c r="R18" s="171">
        <v>0</v>
      </c>
      <c r="S18" s="171">
        <v>0</v>
      </c>
      <c r="T18" s="171">
        <v>0</v>
      </c>
      <c r="U18" s="171">
        <f t="shared" si="3"/>
        <v>0</v>
      </c>
      <c r="V18" s="171">
        <f t="shared" si="4"/>
        <v>-1200</v>
      </c>
      <c r="W18" s="132">
        <v>0</v>
      </c>
      <c r="X18" s="132">
        <f t="shared" si="5"/>
        <v>-1200</v>
      </c>
      <c r="Y18" s="171">
        <v>1928911.5</v>
      </c>
      <c r="Z18" s="132">
        <f t="shared" si="6"/>
        <v>1927711.5</v>
      </c>
    </row>
    <row r="19" spans="1:26" ht="12.75" hidden="1" outlineLevel="1">
      <c r="A19" s="132" t="s">
        <v>1453</v>
      </c>
      <c r="C19" s="171" t="s">
        <v>1454</v>
      </c>
      <c r="D19" s="171" t="s">
        <v>1455</v>
      </c>
      <c r="E19" s="132">
        <v>-24272.68</v>
      </c>
      <c r="F19" s="132">
        <v>0</v>
      </c>
      <c r="G19" s="171">
        <f t="shared" si="0"/>
        <v>-24272.68</v>
      </c>
      <c r="H19" s="132">
        <v>6176407.120000001</v>
      </c>
      <c r="I19" s="132">
        <v>0</v>
      </c>
      <c r="J19" s="132">
        <v>0</v>
      </c>
      <c r="K19" s="132">
        <v>0</v>
      </c>
      <c r="L19" s="132">
        <f t="shared" si="7"/>
        <v>0</v>
      </c>
      <c r="M19" s="132">
        <v>0</v>
      </c>
      <c r="N19" s="132">
        <v>0</v>
      </c>
      <c r="O19" s="132">
        <v>0</v>
      </c>
      <c r="P19" s="132">
        <f t="shared" si="2"/>
        <v>0</v>
      </c>
      <c r="Q19" s="171">
        <v>0</v>
      </c>
      <c r="R19" s="171">
        <v>0</v>
      </c>
      <c r="S19" s="171">
        <v>0</v>
      </c>
      <c r="T19" s="171">
        <v>0</v>
      </c>
      <c r="U19" s="171">
        <f t="shared" si="3"/>
        <v>0</v>
      </c>
      <c r="V19" s="171">
        <f t="shared" si="4"/>
        <v>6152134.440000001</v>
      </c>
      <c r="W19" s="132">
        <v>0</v>
      </c>
      <c r="X19" s="132">
        <f t="shared" si="5"/>
        <v>6152134.440000001</v>
      </c>
      <c r="Y19" s="171">
        <v>31974705.22</v>
      </c>
      <c r="Z19" s="132">
        <f t="shared" si="6"/>
        <v>38126839.66</v>
      </c>
    </row>
    <row r="20" spans="1:26" ht="12.75" hidden="1" outlineLevel="1">
      <c r="A20" s="132" t="s">
        <v>1456</v>
      </c>
      <c r="C20" s="171" t="s">
        <v>1457</v>
      </c>
      <c r="D20" s="171" t="s">
        <v>1458</v>
      </c>
      <c r="E20" s="132">
        <v>-2165.01</v>
      </c>
      <c r="F20" s="132">
        <v>0</v>
      </c>
      <c r="G20" s="171">
        <f t="shared" si="0"/>
        <v>-2165.01</v>
      </c>
      <c r="H20" s="132">
        <v>1949774.77</v>
      </c>
      <c r="I20" s="132">
        <v>0</v>
      </c>
      <c r="J20" s="132">
        <v>0</v>
      </c>
      <c r="K20" s="132">
        <v>0</v>
      </c>
      <c r="L20" s="132">
        <f t="shared" si="7"/>
        <v>0</v>
      </c>
      <c r="M20" s="132">
        <v>0</v>
      </c>
      <c r="N20" s="132">
        <v>0</v>
      </c>
      <c r="O20" s="132">
        <v>0</v>
      </c>
      <c r="P20" s="132">
        <f t="shared" si="2"/>
        <v>0</v>
      </c>
      <c r="Q20" s="171">
        <v>0</v>
      </c>
      <c r="R20" s="171">
        <v>0</v>
      </c>
      <c r="S20" s="171">
        <v>0</v>
      </c>
      <c r="T20" s="171">
        <v>0</v>
      </c>
      <c r="U20" s="171">
        <f t="shared" si="3"/>
        <v>0</v>
      </c>
      <c r="V20" s="171">
        <f t="shared" si="4"/>
        <v>1947609.76</v>
      </c>
      <c r="W20" s="132">
        <v>0</v>
      </c>
      <c r="X20" s="132">
        <f t="shared" si="5"/>
        <v>1947609.76</v>
      </c>
      <c r="Y20" s="171">
        <v>8973383.35</v>
      </c>
      <c r="Z20" s="132">
        <f t="shared" si="6"/>
        <v>10920993.11</v>
      </c>
    </row>
    <row r="21" spans="1:26" ht="12.75" hidden="1" outlineLevel="1">
      <c r="A21" s="132" t="s">
        <v>1459</v>
      </c>
      <c r="C21" s="171" t="s">
        <v>1460</v>
      </c>
      <c r="D21" s="171" t="s">
        <v>1461</v>
      </c>
      <c r="E21" s="132">
        <v>-22175.7</v>
      </c>
      <c r="F21" s="132">
        <v>0</v>
      </c>
      <c r="G21" s="171">
        <f t="shared" si="0"/>
        <v>-22175.7</v>
      </c>
      <c r="H21" s="132">
        <v>466663.46</v>
      </c>
      <c r="I21" s="132">
        <v>0</v>
      </c>
      <c r="J21" s="132">
        <v>0</v>
      </c>
      <c r="K21" s="132">
        <v>0</v>
      </c>
      <c r="L21" s="132">
        <f t="shared" si="7"/>
        <v>0</v>
      </c>
      <c r="M21" s="132">
        <v>0</v>
      </c>
      <c r="N21" s="132">
        <v>0</v>
      </c>
      <c r="O21" s="132">
        <v>0</v>
      </c>
      <c r="P21" s="132">
        <f t="shared" si="2"/>
        <v>0</v>
      </c>
      <c r="Q21" s="171">
        <v>0</v>
      </c>
      <c r="R21" s="171">
        <v>0</v>
      </c>
      <c r="S21" s="171">
        <v>0</v>
      </c>
      <c r="T21" s="171">
        <v>0</v>
      </c>
      <c r="U21" s="171">
        <f t="shared" si="3"/>
        <v>0</v>
      </c>
      <c r="V21" s="171">
        <f t="shared" si="4"/>
        <v>444487.76</v>
      </c>
      <c r="W21" s="132">
        <v>0</v>
      </c>
      <c r="X21" s="132">
        <f t="shared" si="5"/>
        <v>444487.76</v>
      </c>
      <c r="Y21" s="171">
        <v>14957348.02</v>
      </c>
      <c r="Z21" s="132">
        <f t="shared" si="6"/>
        <v>15401835.78</v>
      </c>
    </row>
    <row r="22" spans="1:26" ht="12.75" hidden="1" outlineLevel="1">
      <c r="A22" s="132" t="s">
        <v>1462</v>
      </c>
      <c r="C22" s="171" t="s">
        <v>1463</v>
      </c>
      <c r="D22" s="171" t="s">
        <v>1464</v>
      </c>
      <c r="E22" s="132">
        <v>-11645.6</v>
      </c>
      <c r="F22" s="132">
        <v>0</v>
      </c>
      <c r="G22" s="171">
        <f t="shared" si="0"/>
        <v>-11645.6</v>
      </c>
      <c r="H22" s="132">
        <v>315410.33</v>
      </c>
      <c r="I22" s="132">
        <v>0</v>
      </c>
      <c r="J22" s="132">
        <v>0</v>
      </c>
      <c r="K22" s="132">
        <v>0</v>
      </c>
      <c r="L22" s="132">
        <f t="shared" si="7"/>
        <v>0</v>
      </c>
      <c r="M22" s="132">
        <v>0</v>
      </c>
      <c r="N22" s="132">
        <v>0</v>
      </c>
      <c r="O22" s="132">
        <v>0</v>
      </c>
      <c r="P22" s="132">
        <f t="shared" si="2"/>
        <v>0</v>
      </c>
      <c r="Q22" s="171">
        <v>0</v>
      </c>
      <c r="R22" s="171">
        <v>0</v>
      </c>
      <c r="S22" s="171">
        <v>0</v>
      </c>
      <c r="T22" s="171">
        <v>0</v>
      </c>
      <c r="U22" s="171">
        <f t="shared" si="3"/>
        <v>0</v>
      </c>
      <c r="V22" s="171">
        <f t="shared" si="4"/>
        <v>303764.73000000004</v>
      </c>
      <c r="W22" s="132">
        <v>0</v>
      </c>
      <c r="X22" s="132">
        <f t="shared" si="5"/>
        <v>303764.73000000004</v>
      </c>
      <c r="Y22" s="171">
        <v>6154360.79</v>
      </c>
      <c r="Z22" s="132">
        <f t="shared" si="6"/>
        <v>6458125.5200000005</v>
      </c>
    </row>
    <row r="23" spans="1:26" ht="12.75" hidden="1" outlineLevel="1">
      <c r="A23" s="132" t="s">
        <v>1465</v>
      </c>
      <c r="C23" s="171" t="s">
        <v>1466</v>
      </c>
      <c r="D23" s="171" t="s">
        <v>1467</v>
      </c>
      <c r="E23" s="132">
        <v>0</v>
      </c>
      <c r="F23" s="132">
        <v>0</v>
      </c>
      <c r="G23" s="171">
        <f t="shared" si="0"/>
        <v>0</v>
      </c>
      <c r="H23" s="132">
        <v>265655.6</v>
      </c>
      <c r="I23" s="132">
        <v>0</v>
      </c>
      <c r="J23" s="132">
        <v>0</v>
      </c>
      <c r="K23" s="132">
        <v>0</v>
      </c>
      <c r="L23" s="132">
        <f t="shared" si="7"/>
        <v>0</v>
      </c>
      <c r="M23" s="132">
        <v>0</v>
      </c>
      <c r="N23" s="132">
        <v>0</v>
      </c>
      <c r="O23" s="132">
        <v>0</v>
      </c>
      <c r="P23" s="132">
        <f t="shared" si="2"/>
        <v>0</v>
      </c>
      <c r="Q23" s="171">
        <v>0</v>
      </c>
      <c r="R23" s="171">
        <v>0</v>
      </c>
      <c r="S23" s="171">
        <v>0</v>
      </c>
      <c r="T23" s="171">
        <v>0</v>
      </c>
      <c r="U23" s="171">
        <f t="shared" si="3"/>
        <v>0</v>
      </c>
      <c r="V23" s="171">
        <f t="shared" si="4"/>
        <v>265655.6</v>
      </c>
      <c r="W23" s="132">
        <v>0</v>
      </c>
      <c r="X23" s="132">
        <f t="shared" si="5"/>
        <v>265655.6</v>
      </c>
      <c r="Y23" s="171">
        <v>25317347.18</v>
      </c>
      <c r="Z23" s="132">
        <f t="shared" si="6"/>
        <v>25583002.78</v>
      </c>
    </row>
    <row r="24" spans="1:26" ht="12.75" hidden="1" outlineLevel="1">
      <c r="A24" s="132" t="s">
        <v>1468</v>
      </c>
      <c r="C24" s="171" t="s">
        <v>1469</v>
      </c>
      <c r="D24" s="171" t="s">
        <v>1470</v>
      </c>
      <c r="E24" s="132">
        <v>0</v>
      </c>
      <c r="F24" s="132">
        <v>0</v>
      </c>
      <c r="G24" s="171">
        <f t="shared" si="0"/>
        <v>0</v>
      </c>
      <c r="H24" s="132">
        <v>151724.45</v>
      </c>
      <c r="I24" s="132">
        <v>0</v>
      </c>
      <c r="J24" s="132">
        <v>0</v>
      </c>
      <c r="K24" s="132">
        <v>0</v>
      </c>
      <c r="L24" s="132">
        <f t="shared" si="7"/>
        <v>0</v>
      </c>
      <c r="M24" s="132">
        <v>0</v>
      </c>
      <c r="N24" s="132">
        <v>0</v>
      </c>
      <c r="O24" s="132">
        <v>0</v>
      </c>
      <c r="P24" s="132">
        <f t="shared" si="2"/>
        <v>0</v>
      </c>
      <c r="Q24" s="171">
        <v>0</v>
      </c>
      <c r="R24" s="171">
        <v>0</v>
      </c>
      <c r="S24" s="171">
        <v>0</v>
      </c>
      <c r="T24" s="171">
        <v>0</v>
      </c>
      <c r="U24" s="171">
        <f t="shared" si="3"/>
        <v>0</v>
      </c>
      <c r="V24" s="171">
        <f t="shared" si="4"/>
        <v>151724.45</v>
      </c>
      <c r="W24" s="132">
        <v>0</v>
      </c>
      <c r="X24" s="132">
        <f t="shared" si="5"/>
        <v>151724.45</v>
      </c>
      <c r="Y24" s="171">
        <v>8692536.5</v>
      </c>
      <c r="Z24" s="132">
        <f t="shared" si="6"/>
        <v>8844260.95</v>
      </c>
    </row>
    <row r="25" spans="1:26" ht="12.75" hidden="1" outlineLevel="1">
      <c r="A25" s="132" t="s">
        <v>1471</v>
      </c>
      <c r="C25" s="171" t="s">
        <v>1472</v>
      </c>
      <c r="D25" s="171" t="s">
        <v>1473</v>
      </c>
      <c r="E25" s="132">
        <v>0</v>
      </c>
      <c r="F25" s="132">
        <v>0</v>
      </c>
      <c r="G25" s="171">
        <f t="shared" si="0"/>
        <v>0</v>
      </c>
      <c r="H25" s="132">
        <v>75465.38</v>
      </c>
      <c r="I25" s="132">
        <v>0</v>
      </c>
      <c r="J25" s="132">
        <v>0</v>
      </c>
      <c r="K25" s="132">
        <v>0</v>
      </c>
      <c r="L25" s="132">
        <f t="shared" si="7"/>
        <v>0</v>
      </c>
      <c r="M25" s="132">
        <v>0</v>
      </c>
      <c r="N25" s="132">
        <v>0</v>
      </c>
      <c r="O25" s="132">
        <v>0</v>
      </c>
      <c r="P25" s="132">
        <f t="shared" si="2"/>
        <v>0</v>
      </c>
      <c r="Q25" s="171">
        <v>0</v>
      </c>
      <c r="R25" s="171">
        <v>0</v>
      </c>
      <c r="S25" s="171">
        <v>0</v>
      </c>
      <c r="T25" s="171">
        <v>0</v>
      </c>
      <c r="U25" s="171">
        <f t="shared" si="3"/>
        <v>0</v>
      </c>
      <c r="V25" s="171">
        <f t="shared" si="4"/>
        <v>75465.38</v>
      </c>
      <c r="W25" s="132">
        <v>0</v>
      </c>
      <c r="X25" s="132">
        <f t="shared" si="5"/>
        <v>75465.38</v>
      </c>
      <c r="Y25" s="171">
        <v>0</v>
      </c>
      <c r="Z25" s="132">
        <f t="shared" si="6"/>
        <v>75465.38</v>
      </c>
    </row>
    <row r="26" spans="1:26" ht="12.75" hidden="1" outlineLevel="1">
      <c r="A26" s="132" t="s">
        <v>1474</v>
      </c>
      <c r="C26" s="171" t="s">
        <v>1475</v>
      </c>
      <c r="D26" s="171" t="s">
        <v>1476</v>
      </c>
      <c r="E26" s="132">
        <v>0</v>
      </c>
      <c r="F26" s="132">
        <v>0</v>
      </c>
      <c r="G26" s="171">
        <f t="shared" si="0"/>
        <v>0</v>
      </c>
      <c r="H26" s="132">
        <v>85690.9</v>
      </c>
      <c r="I26" s="132">
        <v>0</v>
      </c>
      <c r="J26" s="132">
        <v>0</v>
      </c>
      <c r="K26" s="132">
        <v>0</v>
      </c>
      <c r="L26" s="132">
        <f t="shared" si="7"/>
        <v>0</v>
      </c>
      <c r="M26" s="132">
        <v>0</v>
      </c>
      <c r="N26" s="132">
        <v>0</v>
      </c>
      <c r="O26" s="132">
        <v>0</v>
      </c>
      <c r="P26" s="132">
        <f t="shared" si="2"/>
        <v>0</v>
      </c>
      <c r="Q26" s="171">
        <v>0</v>
      </c>
      <c r="R26" s="171">
        <v>0</v>
      </c>
      <c r="S26" s="171">
        <v>0</v>
      </c>
      <c r="T26" s="171">
        <v>0</v>
      </c>
      <c r="U26" s="171">
        <f t="shared" si="3"/>
        <v>0</v>
      </c>
      <c r="V26" s="171">
        <f t="shared" si="4"/>
        <v>85690.9</v>
      </c>
      <c r="W26" s="132">
        <v>0</v>
      </c>
      <c r="X26" s="132">
        <f t="shared" si="5"/>
        <v>85690.9</v>
      </c>
      <c r="Y26" s="171">
        <v>36861.86</v>
      </c>
      <c r="Z26" s="132">
        <f t="shared" si="6"/>
        <v>122552.76</v>
      </c>
    </row>
    <row r="27" spans="1:26" ht="12.75" hidden="1" outlineLevel="1">
      <c r="A27" s="132" t="s">
        <v>1477</v>
      </c>
      <c r="C27" s="171" t="s">
        <v>1478</v>
      </c>
      <c r="D27" s="171" t="s">
        <v>1479</v>
      </c>
      <c r="E27" s="132">
        <v>0</v>
      </c>
      <c r="F27" s="132">
        <v>0</v>
      </c>
      <c r="G27" s="171">
        <f t="shared" si="0"/>
        <v>0</v>
      </c>
      <c r="H27" s="132">
        <v>44195.78</v>
      </c>
      <c r="I27" s="132">
        <v>0</v>
      </c>
      <c r="J27" s="132">
        <v>0</v>
      </c>
      <c r="K27" s="132">
        <v>0</v>
      </c>
      <c r="L27" s="132">
        <f t="shared" si="7"/>
        <v>0</v>
      </c>
      <c r="M27" s="132">
        <v>0</v>
      </c>
      <c r="N27" s="132">
        <v>0</v>
      </c>
      <c r="O27" s="132">
        <v>0</v>
      </c>
      <c r="P27" s="132">
        <f t="shared" si="2"/>
        <v>0</v>
      </c>
      <c r="Q27" s="171">
        <v>0</v>
      </c>
      <c r="R27" s="171">
        <v>0</v>
      </c>
      <c r="S27" s="171">
        <v>0</v>
      </c>
      <c r="T27" s="171">
        <v>0</v>
      </c>
      <c r="U27" s="171">
        <f t="shared" si="3"/>
        <v>0</v>
      </c>
      <c r="V27" s="171">
        <f t="shared" si="4"/>
        <v>44195.78</v>
      </c>
      <c r="W27" s="132">
        <v>0</v>
      </c>
      <c r="X27" s="132">
        <f t="shared" si="5"/>
        <v>44195.78</v>
      </c>
      <c r="Y27" s="171">
        <v>0</v>
      </c>
      <c r="Z27" s="132">
        <f t="shared" si="6"/>
        <v>44195.78</v>
      </c>
    </row>
    <row r="28" spans="1:26" ht="12.75" hidden="1" outlineLevel="1">
      <c r="A28" s="132" t="s">
        <v>1480</v>
      </c>
      <c r="C28" s="171" t="s">
        <v>1481</v>
      </c>
      <c r="D28" s="171" t="s">
        <v>1482</v>
      </c>
      <c r="E28" s="132">
        <v>0</v>
      </c>
      <c r="F28" s="132">
        <v>0</v>
      </c>
      <c r="G28" s="171">
        <f t="shared" si="0"/>
        <v>0</v>
      </c>
      <c r="H28" s="132">
        <v>543238.76</v>
      </c>
      <c r="I28" s="132">
        <v>0</v>
      </c>
      <c r="J28" s="132">
        <v>0</v>
      </c>
      <c r="K28" s="132">
        <v>0</v>
      </c>
      <c r="L28" s="132">
        <f t="shared" si="7"/>
        <v>0</v>
      </c>
      <c r="M28" s="132">
        <v>0</v>
      </c>
      <c r="N28" s="132">
        <v>0</v>
      </c>
      <c r="O28" s="132">
        <v>0</v>
      </c>
      <c r="P28" s="132">
        <f t="shared" si="2"/>
        <v>0</v>
      </c>
      <c r="Q28" s="171">
        <v>0</v>
      </c>
      <c r="R28" s="171">
        <v>0</v>
      </c>
      <c r="S28" s="171">
        <v>0</v>
      </c>
      <c r="T28" s="171">
        <v>0</v>
      </c>
      <c r="U28" s="171">
        <f t="shared" si="3"/>
        <v>0</v>
      </c>
      <c r="V28" s="171">
        <f t="shared" si="4"/>
        <v>543238.76</v>
      </c>
      <c r="W28" s="132">
        <v>0</v>
      </c>
      <c r="X28" s="132">
        <f t="shared" si="5"/>
        <v>543238.76</v>
      </c>
      <c r="Y28" s="171">
        <v>27221</v>
      </c>
      <c r="Z28" s="132">
        <f t="shared" si="6"/>
        <v>570459.76</v>
      </c>
    </row>
    <row r="29" spans="1:27" ht="12" customHeight="1" collapsed="1">
      <c r="A29" s="150" t="s">
        <v>1489</v>
      </c>
      <c r="B29" s="148"/>
      <c r="C29" s="150" t="s">
        <v>3843</v>
      </c>
      <c r="D29" s="157"/>
      <c r="E29" s="155">
        <v>-60258.99</v>
      </c>
      <c r="F29" s="155">
        <v>20960873.39</v>
      </c>
      <c r="G29" s="117">
        <f t="shared" si="0"/>
        <v>20900614.400000002</v>
      </c>
      <c r="H29" s="117">
        <v>10073026.550000004</v>
      </c>
      <c r="I29" s="117">
        <v>0</v>
      </c>
      <c r="J29" s="117">
        <v>0</v>
      </c>
      <c r="K29" s="117">
        <v>0</v>
      </c>
      <c r="L29" s="117">
        <f t="shared" si="7"/>
        <v>0</v>
      </c>
      <c r="M29" s="117">
        <v>0</v>
      </c>
      <c r="N29" s="117">
        <v>0</v>
      </c>
      <c r="O29" s="117">
        <v>0</v>
      </c>
      <c r="P29" s="117">
        <f t="shared" si="2"/>
        <v>0</v>
      </c>
      <c r="Q29" s="117">
        <v>0</v>
      </c>
      <c r="R29" s="117">
        <v>0</v>
      </c>
      <c r="S29" s="117">
        <v>0</v>
      </c>
      <c r="T29" s="117">
        <v>0</v>
      </c>
      <c r="U29" s="117">
        <f t="shared" si="3"/>
        <v>0</v>
      </c>
      <c r="V29" s="117">
        <f t="shared" si="4"/>
        <v>30973640.950000007</v>
      </c>
      <c r="W29" s="117">
        <v>0</v>
      </c>
      <c r="X29" s="117">
        <f t="shared" si="5"/>
        <v>30973640.950000007</v>
      </c>
      <c r="Y29" s="117">
        <v>98062675.42</v>
      </c>
      <c r="Z29" s="117">
        <f t="shared" si="6"/>
        <v>129036316.37</v>
      </c>
      <c r="AA29" s="150"/>
    </row>
    <row r="30" spans="1:27" ht="15.75">
      <c r="A30" s="166"/>
      <c r="B30" s="160"/>
      <c r="C30" s="161" t="s">
        <v>1490</v>
      </c>
      <c r="D30" s="72"/>
      <c r="E30" s="208">
        <f aca="true" t="shared" si="8" ref="E30:Z30">E17-E29</f>
        <v>56940.33</v>
      </c>
      <c r="F30" s="208">
        <f t="shared" si="8"/>
        <v>98773121.99</v>
      </c>
      <c r="G30" s="101">
        <f t="shared" si="8"/>
        <v>98830062.32</v>
      </c>
      <c r="H30" s="101">
        <f t="shared" si="8"/>
        <v>-10073026.550000004</v>
      </c>
      <c r="I30" s="101">
        <f t="shared" si="8"/>
        <v>0</v>
      </c>
      <c r="J30" s="101">
        <f t="shared" si="8"/>
        <v>0</v>
      </c>
      <c r="K30" s="101">
        <f t="shared" si="8"/>
        <v>0</v>
      </c>
      <c r="L30" s="101">
        <f t="shared" si="8"/>
        <v>0</v>
      </c>
      <c r="M30" s="101">
        <f t="shared" si="8"/>
        <v>0</v>
      </c>
      <c r="N30" s="101">
        <f t="shared" si="8"/>
        <v>0</v>
      </c>
      <c r="O30" s="101">
        <f t="shared" si="8"/>
        <v>0</v>
      </c>
      <c r="P30" s="101">
        <f t="shared" si="8"/>
        <v>0</v>
      </c>
      <c r="Q30" s="101">
        <f t="shared" si="8"/>
        <v>0</v>
      </c>
      <c r="R30" s="101">
        <f t="shared" si="8"/>
        <v>0</v>
      </c>
      <c r="S30" s="101">
        <f t="shared" si="8"/>
        <v>0</v>
      </c>
      <c r="T30" s="101">
        <f t="shared" si="8"/>
        <v>0</v>
      </c>
      <c r="U30" s="101">
        <f t="shared" si="8"/>
        <v>0</v>
      </c>
      <c r="V30" s="101">
        <f t="shared" si="8"/>
        <v>88757035.77</v>
      </c>
      <c r="W30" s="101">
        <f t="shared" si="8"/>
        <v>0</v>
      </c>
      <c r="X30" s="101">
        <f t="shared" si="8"/>
        <v>88757035.77</v>
      </c>
      <c r="Y30" s="101">
        <f t="shared" si="8"/>
        <v>-98062675.42</v>
      </c>
      <c r="Z30" s="101">
        <f t="shared" si="8"/>
        <v>-9305639.650000006</v>
      </c>
      <c r="AA30" s="167"/>
    </row>
    <row r="31" spans="2:26" ht="12" customHeight="1">
      <c r="B31" s="148"/>
      <c r="C31" s="150"/>
      <c r="D31" s="157"/>
      <c r="E31" s="155"/>
      <c r="F31" s="155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</row>
    <row r="32" spans="1:27" ht="12.75">
      <c r="A32" s="150" t="s">
        <v>140</v>
      </c>
      <c r="B32" s="148"/>
      <c r="C32" s="150" t="s">
        <v>3817</v>
      </c>
      <c r="D32" s="157"/>
      <c r="E32" s="155">
        <v>0</v>
      </c>
      <c r="F32" s="155">
        <v>0</v>
      </c>
      <c r="G32" s="117">
        <f aca="true" t="shared" si="9" ref="G32:G38">E32+F32</f>
        <v>0</v>
      </c>
      <c r="H32" s="117">
        <v>28363544.22</v>
      </c>
      <c r="I32" s="117">
        <v>0</v>
      </c>
      <c r="J32" s="117">
        <v>0</v>
      </c>
      <c r="K32" s="117">
        <v>9177</v>
      </c>
      <c r="L32" s="117">
        <f aca="true" t="shared" si="10" ref="L32:L38">J32+I32+K32</f>
        <v>9177</v>
      </c>
      <c r="M32" s="117">
        <v>0</v>
      </c>
      <c r="N32" s="117">
        <v>0</v>
      </c>
      <c r="O32" s="117">
        <v>0</v>
      </c>
      <c r="P32" s="117">
        <f aca="true" t="shared" si="11" ref="P32:P38">M32+N32+O32</f>
        <v>0</v>
      </c>
      <c r="Q32" s="117">
        <v>0</v>
      </c>
      <c r="R32" s="117">
        <v>0</v>
      </c>
      <c r="S32" s="117">
        <v>0</v>
      </c>
      <c r="T32" s="117">
        <v>0</v>
      </c>
      <c r="U32" s="117"/>
      <c r="V32" s="117">
        <f>G32+H32+L32+P32</f>
        <v>28372721.22</v>
      </c>
      <c r="W32" s="117">
        <v>0</v>
      </c>
      <c r="X32" s="117">
        <f aca="true" t="shared" si="12" ref="X32:X38">V32+W32</f>
        <v>28372721.22</v>
      </c>
      <c r="Y32" s="117">
        <v>0</v>
      </c>
      <c r="Z32" s="117">
        <f aca="true" t="shared" si="13" ref="Z32:Z38">X32+Y32</f>
        <v>28372721.22</v>
      </c>
      <c r="AA32" s="150"/>
    </row>
    <row r="33" spans="1:27" ht="12.75">
      <c r="A33" s="150" t="s">
        <v>141</v>
      </c>
      <c r="B33" s="148"/>
      <c r="C33" s="150" t="s">
        <v>3818</v>
      </c>
      <c r="D33" s="157"/>
      <c r="E33" s="155">
        <v>0</v>
      </c>
      <c r="F33" s="155">
        <v>119</v>
      </c>
      <c r="G33" s="117">
        <f t="shared" si="9"/>
        <v>119</v>
      </c>
      <c r="H33" s="117">
        <v>4695591.91</v>
      </c>
      <c r="I33" s="117">
        <v>0</v>
      </c>
      <c r="J33" s="117">
        <v>0</v>
      </c>
      <c r="K33" s="117">
        <v>0</v>
      </c>
      <c r="L33" s="117">
        <f t="shared" si="10"/>
        <v>0</v>
      </c>
      <c r="M33" s="117">
        <v>0</v>
      </c>
      <c r="N33" s="117">
        <v>0</v>
      </c>
      <c r="O33" s="117">
        <v>0</v>
      </c>
      <c r="P33" s="117">
        <f t="shared" si="11"/>
        <v>0</v>
      </c>
      <c r="Q33" s="117">
        <v>0</v>
      </c>
      <c r="R33" s="117">
        <v>0</v>
      </c>
      <c r="S33" s="117">
        <v>0</v>
      </c>
      <c r="T33" s="117">
        <v>0</v>
      </c>
      <c r="U33" s="117"/>
      <c r="V33" s="117">
        <f aca="true" t="shared" si="14" ref="V33:V38">G33+H33+L33+P33+U33</f>
        <v>4695710.91</v>
      </c>
      <c r="W33" s="117">
        <v>0</v>
      </c>
      <c r="X33" s="117">
        <f t="shared" si="12"/>
        <v>4695710.91</v>
      </c>
      <c r="Y33" s="117">
        <v>0</v>
      </c>
      <c r="Z33" s="117">
        <f t="shared" si="13"/>
        <v>4695710.91</v>
      </c>
      <c r="AA33" s="150"/>
    </row>
    <row r="34" spans="1:27" ht="12.75">
      <c r="A34" s="150" t="s">
        <v>142</v>
      </c>
      <c r="B34" s="148"/>
      <c r="C34" s="150" t="s">
        <v>3819</v>
      </c>
      <c r="D34" s="157"/>
      <c r="E34" s="155">
        <v>0</v>
      </c>
      <c r="F34" s="155">
        <v>11650</v>
      </c>
      <c r="G34" s="117">
        <f t="shared" si="9"/>
        <v>11650</v>
      </c>
      <c r="H34" s="117">
        <v>7111187.34</v>
      </c>
      <c r="I34" s="117">
        <v>0</v>
      </c>
      <c r="J34" s="117">
        <v>0</v>
      </c>
      <c r="K34" s="117">
        <v>0</v>
      </c>
      <c r="L34" s="117">
        <f t="shared" si="10"/>
        <v>0</v>
      </c>
      <c r="M34" s="117">
        <v>0</v>
      </c>
      <c r="N34" s="117">
        <v>0</v>
      </c>
      <c r="O34" s="117">
        <v>0</v>
      </c>
      <c r="P34" s="117">
        <f t="shared" si="11"/>
        <v>0</v>
      </c>
      <c r="Q34" s="117">
        <v>0</v>
      </c>
      <c r="R34" s="117">
        <v>0</v>
      </c>
      <c r="S34" s="117">
        <v>0</v>
      </c>
      <c r="T34" s="117">
        <v>0</v>
      </c>
      <c r="U34" s="117"/>
      <c r="V34" s="117">
        <f t="shared" si="14"/>
        <v>7122837.34</v>
      </c>
      <c r="W34" s="117">
        <v>0</v>
      </c>
      <c r="X34" s="117">
        <f t="shared" si="12"/>
        <v>7122837.34</v>
      </c>
      <c r="Y34" s="117">
        <v>0</v>
      </c>
      <c r="Z34" s="117">
        <f t="shared" si="13"/>
        <v>7122837.34</v>
      </c>
      <c r="AA34" s="150"/>
    </row>
    <row r="35" spans="1:26" ht="12.75" hidden="1" outlineLevel="1">
      <c r="A35" s="132" t="s">
        <v>1512</v>
      </c>
      <c r="C35" s="171" t="s">
        <v>1513</v>
      </c>
      <c r="D35" s="171" t="s">
        <v>1514</v>
      </c>
      <c r="E35" s="132">
        <v>0</v>
      </c>
      <c r="F35" s="132">
        <v>0</v>
      </c>
      <c r="G35" s="171">
        <f t="shared" si="9"/>
        <v>0</v>
      </c>
      <c r="H35" s="132">
        <v>3383</v>
      </c>
      <c r="I35" s="132">
        <v>0</v>
      </c>
      <c r="J35" s="132">
        <v>0</v>
      </c>
      <c r="K35" s="132">
        <v>0</v>
      </c>
      <c r="L35" s="132">
        <f t="shared" si="10"/>
        <v>0</v>
      </c>
      <c r="M35" s="132">
        <v>0</v>
      </c>
      <c r="N35" s="132">
        <v>0</v>
      </c>
      <c r="O35" s="132">
        <v>0</v>
      </c>
      <c r="P35" s="132">
        <f t="shared" si="11"/>
        <v>0</v>
      </c>
      <c r="Q35" s="171">
        <v>0</v>
      </c>
      <c r="R35" s="171">
        <v>0</v>
      </c>
      <c r="S35" s="171">
        <v>0</v>
      </c>
      <c r="T35" s="171">
        <v>0</v>
      </c>
      <c r="U35" s="171">
        <f>Q35+R35+S35+T35</f>
        <v>0</v>
      </c>
      <c r="V35" s="171">
        <f t="shared" si="14"/>
        <v>3383</v>
      </c>
      <c r="W35" s="132">
        <v>0</v>
      </c>
      <c r="X35" s="132">
        <f t="shared" si="12"/>
        <v>3383</v>
      </c>
      <c r="Y35" s="171">
        <v>-81540.62</v>
      </c>
      <c r="Z35" s="132">
        <f t="shared" si="13"/>
        <v>-78157.62</v>
      </c>
    </row>
    <row r="36" spans="1:26" ht="12.75" hidden="1" outlineLevel="1">
      <c r="A36" s="132" t="s">
        <v>143</v>
      </c>
      <c r="C36" s="171" t="s">
        <v>144</v>
      </c>
      <c r="D36" s="171" t="s">
        <v>145</v>
      </c>
      <c r="E36" s="132">
        <v>0</v>
      </c>
      <c r="F36" s="132">
        <v>0</v>
      </c>
      <c r="G36" s="171">
        <f t="shared" si="9"/>
        <v>0</v>
      </c>
      <c r="H36" s="132">
        <v>0</v>
      </c>
      <c r="I36" s="132">
        <v>0</v>
      </c>
      <c r="J36" s="132">
        <v>0</v>
      </c>
      <c r="K36" s="132">
        <v>0</v>
      </c>
      <c r="L36" s="132">
        <f t="shared" si="10"/>
        <v>0</v>
      </c>
      <c r="M36" s="132">
        <v>0</v>
      </c>
      <c r="N36" s="132">
        <v>0</v>
      </c>
      <c r="O36" s="132">
        <v>0</v>
      </c>
      <c r="P36" s="132">
        <f t="shared" si="11"/>
        <v>0</v>
      </c>
      <c r="Q36" s="171">
        <v>0</v>
      </c>
      <c r="R36" s="171">
        <v>0</v>
      </c>
      <c r="S36" s="171">
        <v>0</v>
      </c>
      <c r="T36" s="171">
        <v>0</v>
      </c>
      <c r="U36" s="171">
        <f>Q36+R36+S36+T36</f>
        <v>0</v>
      </c>
      <c r="V36" s="171">
        <f t="shared" si="14"/>
        <v>0</v>
      </c>
      <c r="W36" s="132">
        <v>0</v>
      </c>
      <c r="X36" s="132">
        <f t="shared" si="12"/>
        <v>0</v>
      </c>
      <c r="Y36" s="171">
        <v>2150</v>
      </c>
      <c r="Z36" s="132">
        <f t="shared" si="13"/>
        <v>2150</v>
      </c>
    </row>
    <row r="37" spans="1:26" ht="12.75" hidden="1" outlineLevel="1">
      <c r="A37" s="132" t="s">
        <v>1530</v>
      </c>
      <c r="C37" s="171" t="s">
        <v>1531</v>
      </c>
      <c r="D37" s="171" t="s">
        <v>1532</v>
      </c>
      <c r="E37" s="132">
        <v>0</v>
      </c>
      <c r="F37" s="132">
        <v>0</v>
      </c>
      <c r="G37" s="171">
        <f t="shared" si="9"/>
        <v>0</v>
      </c>
      <c r="H37" s="132">
        <v>0</v>
      </c>
      <c r="I37" s="132">
        <v>0</v>
      </c>
      <c r="J37" s="132">
        <v>0</v>
      </c>
      <c r="K37" s="132">
        <v>0</v>
      </c>
      <c r="L37" s="132">
        <f t="shared" si="10"/>
        <v>0</v>
      </c>
      <c r="M37" s="132">
        <v>0</v>
      </c>
      <c r="N37" s="132">
        <v>0</v>
      </c>
      <c r="O37" s="132">
        <v>0</v>
      </c>
      <c r="P37" s="132">
        <f t="shared" si="11"/>
        <v>0</v>
      </c>
      <c r="Q37" s="171">
        <v>0</v>
      </c>
      <c r="R37" s="171">
        <v>0</v>
      </c>
      <c r="S37" s="171">
        <v>0</v>
      </c>
      <c r="T37" s="171">
        <v>0</v>
      </c>
      <c r="U37" s="171">
        <f>Q37+R37+S37+T37</f>
        <v>0</v>
      </c>
      <c r="V37" s="171">
        <f t="shared" si="14"/>
        <v>0</v>
      </c>
      <c r="W37" s="132">
        <v>0</v>
      </c>
      <c r="X37" s="132">
        <f t="shared" si="12"/>
        <v>0</v>
      </c>
      <c r="Y37" s="171">
        <v>71753</v>
      </c>
      <c r="Z37" s="132">
        <f t="shared" si="13"/>
        <v>71753</v>
      </c>
    </row>
    <row r="38" spans="1:27" ht="12.75" collapsed="1">
      <c r="A38" s="150" t="s">
        <v>1533</v>
      </c>
      <c r="B38" s="148"/>
      <c r="C38" s="150" t="s">
        <v>1534</v>
      </c>
      <c r="D38" s="157"/>
      <c r="E38" s="155">
        <v>0</v>
      </c>
      <c r="F38" s="155">
        <v>3909726.91</v>
      </c>
      <c r="G38" s="117">
        <f t="shared" si="9"/>
        <v>3909726.91</v>
      </c>
      <c r="H38" s="117">
        <v>3383</v>
      </c>
      <c r="I38" s="117">
        <v>0</v>
      </c>
      <c r="J38" s="117">
        <v>0</v>
      </c>
      <c r="K38" s="117">
        <v>0</v>
      </c>
      <c r="L38" s="117">
        <f t="shared" si="10"/>
        <v>0</v>
      </c>
      <c r="M38" s="117">
        <v>0</v>
      </c>
      <c r="N38" s="117">
        <v>0</v>
      </c>
      <c r="O38" s="117">
        <v>0</v>
      </c>
      <c r="P38" s="117">
        <f t="shared" si="11"/>
        <v>0</v>
      </c>
      <c r="Q38" s="117">
        <v>0</v>
      </c>
      <c r="R38" s="117">
        <v>0</v>
      </c>
      <c r="S38" s="117">
        <v>0</v>
      </c>
      <c r="T38" s="117">
        <v>0</v>
      </c>
      <c r="U38" s="117">
        <f>Q38+R38+S38+T38</f>
        <v>0</v>
      </c>
      <c r="V38" s="117">
        <f t="shared" si="14"/>
        <v>3913109.91</v>
      </c>
      <c r="W38" s="117">
        <v>0</v>
      </c>
      <c r="X38" s="117">
        <f t="shared" si="12"/>
        <v>3913109.91</v>
      </c>
      <c r="Y38" s="117">
        <v>-7637.62</v>
      </c>
      <c r="Z38" s="117">
        <f t="shared" si="13"/>
        <v>3905472.29</v>
      </c>
      <c r="AA38" s="150"/>
    </row>
    <row r="39" spans="1:27" ht="12.75">
      <c r="A39" s="150"/>
      <c r="B39" s="148"/>
      <c r="C39" s="150" t="s">
        <v>1535</v>
      </c>
      <c r="D39" s="157"/>
      <c r="E39" s="155"/>
      <c r="F39" s="155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50"/>
    </row>
    <row r="40" spans="1:27" ht="12.75">
      <c r="A40" s="150"/>
      <c r="B40" s="148"/>
      <c r="C40" s="150" t="s">
        <v>146</v>
      </c>
      <c r="D40" s="157"/>
      <c r="E40" s="155">
        <v>0</v>
      </c>
      <c r="F40" s="155">
        <v>0</v>
      </c>
      <c r="G40" s="117">
        <f aca="true" t="shared" si="15" ref="G40:G69">E40+F40</f>
        <v>0</v>
      </c>
      <c r="H40" s="117">
        <v>0</v>
      </c>
      <c r="I40" s="117">
        <v>0</v>
      </c>
      <c r="J40" s="117">
        <v>0</v>
      </c>
      <c r="K40" s="117">
        <v>0</v>
      </c>
      <c r="L40" s="117">
        <f aca="true" t="shared" si="16" ref="L40:L69">J40+I40+K40</f>
        <v>0</v>
      </c>
      <c r="M40" s="117">
        <v>0</v>
      </c>
      <c r="N40" s="117">
        <v>0</v>
      </c>
      <c r="O40" s="117">
        <v>0</v>
      </c>
      <c r="P40" s="117">
        <f aca="true" t="shared" si="17" ref="P40:P69">M40+N40+O40</f>
        <v>0</v>
      </c>
      <c r="Q40" s="117">
        <v>0</v>
      </c>
      <c r="R40" s="117">
        <v>0</v>
      </c>
      <c r="S40" s="117">
        <v>0</v>
      </c>
      <c r="T40" s="117">
        <v>0</v>
      </c>
      <c r="U40" s="117">
        <f aca="true" t="shared" si="18" ref="U40:U69">Q40+R40+S40+T40</f>
        <v>0</v>
      </c>
      <c r="V40" s="117">
        <f aca="true" t="shared" si="19" ref="V40:V69">G40+H40+L40+P40+U40</f>
        <v>0</v>
      </c>
      <c r="W40" s="117">
        <v>0</v>
      </c>
      <c r="X40" s="117">
        <f aca="true" t="shared" si="20" ref="X40:X69">V40+W40</f>
        <v>0</v>
      </c>
      <c r="Y40" s="117">
        <v>0</v>
      </c>
      <c r="Z40" s="117">
        <f aca="true" t="shared" si="21" ref="Z40:Z69">X40+Y40</f>
        <v>0</v>
      </c>
      <c r="AA40" s="150"/>
    </row>
    <row r="41" spans="1:27" ht="12.75">
      <c r="A41" s="150"/>
      <c r="B41" s="148"/>
      <c r="C41" s="150" t="s">
        <v>1537</v>
      </c>
      <c r="D41" s="157"/>
      <c r="E41" s="155">
        <v>0</v>
      </c>
      <c r="F41" s="155">
        <v>7243795.58</v>
      </c>
      <c r="G41" s="117">
        <f t="shared" si="15"/>
        <v>7243795.58</v>
      </c>
      <c r="H41" s="117">
        <v>0</v>
      </c>
      <c r="I41" s="117">
        <v>0</v>
      </c>
      <c r="J41" s="117">
        <v>0</v>
      </c>
      <c r="K41" s="117">
        <v>0</v>
      </c>
      <c r="L41" s="117">
        <f t="shared" si="16"/>
        <v>0</v>
      </c>
      <c r="M41" s="117">
        <v>0</v>
      </c>
      <c r="N41" s="117">
        <v>0</v>
      </c>
      <c r="O41" s="117">
        <v>0</v>
      </c>
      <c r="P41" s="117">
        <f t="shared" si="17"/>
        <v>0</v>
      </c>
      <c r="Q41" s="117">
        <v>0</v>
      </c>
      <c r="R41" s="117">
        <v>0</v>
      </c>
      <c r="S41" s="117">
        <v>0</v>
      </c>
      <c r="T41" s="117">
        <v>0</v>
      </c>
      <c r="U41" s="117">
        <f t="shared" si="18"/>
        <v>0</v>
      </c>
      <c r="V41" s="117">
        <f t="shared" si="19"/>
        <v>7243795.58</v>
      </c>
      <c r="W41" s="117">
        <v>0</v>
      </c>
      <c r="X41" s="117">
        <f t="shared" si="20"/>
        <v>7243795.58</v>
      </c>
      <c r="Y41" s="117">
        <v>0</v>
      </c>
      <c r="Z41" s="117">
        <f t="shared" si="21"/>
        <v>7243795.58</v>
      </c>
      <c r="AA41" s="150"/>
    </row>
    <row r="42" spans="1:27" ht="12.75">
      <c r="A42" s="150"/>
      <c r="B42" s="148"/>
      <c r="C42" s="150" t="s">
        <v>1538</v>
      </c>
      <c r="D42" s="157"/>
      <c r="E42" s="155">
        <v>0</v>
      </c>
      <c r="F42" s="155">
        <v>3188003.03</v>
      </c>
      <c r="G42" s="117">
        <f t="shared" si="15"/>
        <v>3188003.03</v>
      </c>
      <c r="H42" s="117">
        <v>0</v>
      </c>
      <c r="I42" s="117">
        <v>0</v>
      </c>
      <c r="J42" s="117">
        <v>0</v>
      </c>
      <c r="K42" s="117">
        <v>0</v>
      </c>
      <c r="L42" s="117">
        <f t="shared" si="16"/>
        <v>0</v>
      </c>
      <c r="M42" s="117">
        <v>0</v>
      </c>
      <c r="N42" s="117">
        <v>0</v>
      </c>
      <c r="O42" s="117">
        <v>0</v>
      </c>
      <c r="P42" s="117">
        <f t="shared" si="17"/>
        <v>0</v>
      </c>
      <c r="Q42" s="117">
        <v>0</v>
      </c>
      <c r="R42" s="117">
        <v>0</v>
      </c>
      <c r="S42" s="117">
        <v>0</v>
      </c>
      <c r="T42" s="117">
        <v>0</v>
      </c>
      <c r="U42" s="117">
        <f t="shared" si="18"/>
        <v>0</v>
      </c>
      <c r="V42" s="117">
        <f t="shared" si="19"/>
        <v>3188003.03</v>
      </c>
      <c r="W42" s="117">
        <v>0</v>
      </c>
      <c r="X42" s="117">
        <f t="shared" si="20"/>
        <v>3188003.03</v>
      </c>
      <c r="Y42" s="117">
        <v>0</v>
      </c>
      <c r="Z42" s="117">
        <f t="shared" si="21"/>
        <v>3188003.03</v>
      </c>
      <c r="AA42" s="150"/>
    </row>
    <row r="43" spans="1:27" ht="12.75">
      <c r="A43" s="150" t="s">
        <v>1551</v>
      </c>
      <c r="B43" s="148"/>
      <c r="C43" s="150" t="s">
        <v>1552</v>
      </c>
      <c r="D43" s="157"/>
      <c r="E43" s="155">
        <v>0</v>
      </c>
      <c r="F43" s="155">
        <v>18231730.09</v>
      </c>
      <c r="G43" s="117">
        <f t="shared" si="15"/>
        <v>18231730.09</v>
      </c>
      <c r="H43" s="117">
        <v>0</v>
      </c>
      <c r="I43" s="117">
        <v>0</v>
      </c>
      <c r="J43" s="117">
        <v>0</v>
      </c>
      <c r="K43" s="117">
        <v>0</v>
      </c>
      <c r="L43" s="117">
        <f t="shared" si="16"/>
        <v>0</v>
      </c>
      <c r="M43" s="117">
        <v>0</v>
      </c>
      <c r="N43" s="117">
        <v>0</v>
      </c>
      <c r="O43" s="117">
        <v>0</v>
      </c>
      <c r="P43" s="117">
        <f t="shared" si="17"/>
        <v>0</v>
      </c>
      <c r="Q43" s="117">
        <v>0</v>
      </c>
      <c r="R43" s="117">
        <v>0</v>
      </c>
      <c r="S43" s="117">
        <v>0</v>
      </c>
      <c r="T43" s="117">
        <v>0</v>
      </c>
      <c r="U43" s="117">
        <f t="shared" si="18"/>
        <v>0</v>
      </c>
      <c r="V43" s="117">
        <f t="shared" si="19"/>
        <v>18231730.09</v>
      </c>
      <c r="W43" s="117">
        <v>0</v>
      </c>
      <c r="X43" s="117">
        <f t="shared" si="20"/>
        <v>18231730.09</v>
      </c>
      <c r="Y43" s="117">
        <v>0</v>
      </c>
      <c r="Z43" s="117">
        <f t="shared" si="21"/>
        <v>18231730.09</v>
      </c>
      <c r="AA43" s="150"/>
    </row>
    <row r="44" spans="1:27" ht="12.75">
      <c r="A44" s="150"/>
      <c r="B44" s="148"/>
      <c r="C44" s="150" t="s">
        <v>147</v>
      </c>
      <c r="D44" s="157"/>
      <c r="E44" s="155">
        <v>0</v>
      </c>
      <c r="F44" s="155">
        <v>15630313.11</v>
      </c>
      <c r="G44" s="117">
        <f t="shared" si="15"/>
        <v>15630313.11</v>
      </c>
      <c r="H44" s="117">
        <v>0</v>
      </c>
      <c r="I44" s="117">
        <v>0</v>
      </c>
      <c r="J44" s="117">
        <v>0</v>
      </c>
      <c r="K44" s="117">
        <v>0</v>
      </c>
      <c r="L44" s="117">
        <f t="shared" si="16"/>
        <v>0</v>
      </c>
      <c r="M44" s="117">
        <v>0</v>
      </c>
      <c r="N44" s="117">
        <v>0</v>
      </c>
      <c r="O44" s="117">
        <v>0</v>
      </c>
      <c r="P44" s="117">
        <f t="shared" si="17"/>
        <v>0</v>
      </c>
      <c r="Q44" s="117">
        <v>0</v>
      </c>
      <c r="R44" s="117">
        <v>0</v>
      </c>
      <c r="S44" s="117">
        <v>0</v>
      </c>
      <c r="T44" s="117">
        <v>0</v>
      </c>
      <c r="U44" s="117">
        <f t="shared" si="18"/>
        <v>0</v>
      </c>
      <c r="V44" s="117">
        <f t="shared" si="19"/>
        <v>15630313.11</v>
      </c>
      <c r="W44" s="117">
        <v>0</v>
      </c>
      <c r="X44" s="117">
        <f t="shared" si="20"/>
        <v>15630313.11</v>
      </c>
      <c r="Y44" s="117">
        <v>0</v>
      </c>
      <c r="Z44" s="117">
        <f t="shared" si="21"/>
        <v>15630313.11</v>
      </c>
      <c r="AA44" s="150"/>
    </row>
    <row r="45" spans="1:26" ht="12.75" hidden="1" outlineLevel="1">
      <c r="A45" s="132" t="s">
        <v>148</v>
      </c>
      <c r="C45" s="171" t="s">
        <v>149</v>
      </c>
      <c r="D45" s="171" t="s">
        <v>150</v>
      </c>
      <c r="E45" s="132">
        <v>0</v>
      </c>
      <c r="F45" s="132">
        <v>0</v>
      </c>
      <c r="G45" s="171">
        <f t="shared" si="15"/>
        <v>0</v>
      </c>
      <c r="H45" s="132">
        <v>0</v>
      </c>
      <c r="I45" s="132">
        <v>0</v>
      </c>
      <c r="J45" s="132">
        <v>0</v>
      </c>
      <c r="K45" s="132">
        <v>130.61</v>
      </c>
      <c r="L45" s="132">
        <f t="shared" si="16"/>
        <v>130.61</v>
      </c>
      <c r="M45" s="132">
        <v>0</v>
      </c>
      <c r="N45" s="132">
        <v>0</v>
      </c>
      <c r="O45" s="132">
        <v>0</v>
      </c>
      <c r="P45" s="132">
        <f t="shared" si="17"/>
        <v>0</v>
      </c>
      <c r="Q45" s="171">
        <v>0</v>
      </c>
      <c r="R45" s="171">
        <v>0</v>
      </c>
      <c r="S45" s="171">
        <v>0</v>
      </c>
      <c r="T45" s="171">
        <v>0</v>
      </c>
      <c r="U45" s="171">
        <f t="shared" si="18"/>
        <v>0</v>
      </c>
      <c r="V45" s="171">
        <f t="shared" si="19"/>
        <v>130.61</v>
      </c>
      <c r="W45" s="132">
        <v>0</v>
      </c>
      <c r="X45" s="132">
        <f t="shared" si="20"/>
        <v>130.61</v>
      </c>
      <c r="Y45" s="171">
        <v>0</v>
      </c>
      <c r="Z45" s="132">
        <f t="shared" si="21"/>
        <v>130.61</v>
      </c>
    </row>
    <row r="46" spans="1:26" ht="12.75" hidden="1" outlineLevel="1">
      <c r="A46" s="132" t="s">
        <v>151</v>
      </c>
      <c r="C46" s="171" t="s">
        <v>152</v>
      </c>
      <c r="D46" s="171" t="s">
        <v>153</v>
      </c>
      <c r="E46" s="132">
        <v>0</v>
      </c>
      <c r="F46" s="132">
        <v>0</v>
      </c>
      <c r="G46" s="171">
        <f t="shared" si="15"/>
        <v>0</v>
      </c>
      <c r="H46" s="132">
        <v>0</v>
      </c>
      <c r="I46" s="132">
        <v>9904.89</v>
      </c>
      <c r="J46" s="132">
        <v>0</v>
      </c>
      <c r="K46" s="132">
        <v>249615.62</v>
      </c>
      <c r="L46" s="132">
        <f t="shared" si="16"/>
        <v>259520.51</v>
      </c>
      <c r="M46" s="132">
        <v>0</v>
      </c>
      <c r="N46" s="132">
        <v>0</v>
      </c>
      <c r="O46" s="132">
        <v>0</v>
      </c>
      <c r="P46" s="132">
        <f t="shared" si="17"/>
        <v>0</v>
      </c>
      <c r="Q46" s="171">
        <v>0</v>
      </c>
      <c r="R46" s="171">
        <v>0</v>
      </c>
      <c r="S46" s="171">
        <v>0</v>
      </c>
      <c r="T46" s="171">
        <v>0</v>
      </c>
      <c r="U46" s="171">
        <f t="shared" si="18"/>
        <v>0</v>
      </c>
      <c r="V46" s="171">
        <f t="shared" si="19"/>
        <v>259520.51</v>
      </c>
      <c r="W46" s="132">
        <v>0</v>
      </c>
      <c r="X46" s="132">
        <f t="shared" si="20"/>
        <v>259520.51</v>
      </c>
      <c r="Y46" s="171">
        <v>0</v>
      </c>
      <c r="Z46" s="132">
        <f t="shared" si="21"/>
        <v>259520.51</v>
      </c>
    </row>
    <row r="47" spans="1:26" ht="12.75" hidden="1" outlineLevel="1">
      <c r="A47" s="132" t="s">
        <v>154</v>
      </c>
      <c r="C47" s="171" t="s">
        <v>155</v>
      </c>
      <c r="D47" s="171" t="s">
        <v>156</v>
      </c>
      <c r="E47" s="132">
        <v>0</v>
      </c>
      <c r="F47" s="132">
        <v>0</v>
      </c>
      <c r="G47" s="171">
        <f t="shared" si="15"/>
        <v>0</v>
      </c>
      <c r="H47" s="132">
        <v>0</v>
      </c>
      <c r="I47" s="132">
        <v>0</v>
      </c>
      <c r="J47" s="132">
        <v>0</v>
      </c>
      <c r="K47" s="132">
        <v>3350</v>
      </c>
      <c r="L47" s="132">
        <f t="shared" si="16"/>
        <v>3350</v>
      </c>
      <c r="M47" s="132">
        <v>0</v>
      </c>
      <c r="N47" s="132">
        <v>0</v>
      </c>
      <c r="O47" s="132">
        <v>0</v>
      </c>
      <c r="P47" s="132">
        <f t="shared" si="17"/>
        <v>0</v>
      </c>
      <c r="Q47" s="171">
        <v>0</v>
      </c>
      <c r="R47" s="171">
        <v>0</v>
      </c>
      <c r="S47" s="171">
        <v>0</v>
      </c>
      <c r="T47" s="171">
        <v>0</v>
      </c>
      <c r="U47" s="171">
        <f t="shared" si="18"/>
        <v>0</v>
      </c>
      <c r="V47" s="171">
        <f t="shared" si="19"/>
        <v>3350</v>
      </c>
      <c r="W47" s="132">
        <v>0</v>
      </c>
      <c r="X47" s="132">
        <f t="shared" si="20"/>
        <v>3350</v>
      </c>
      <c r="Y47" s="171">
        <v>0</v>
      </c>
      <c r="Z47" s="132">
        <f t="shared" si="21"/>
        <v>3350</v>
      </c>
    </row>
    <row r="48" spans="1:26" ht="12.75" hidden="1" outlineLevel="1">
      <c r="A48" s="132" t="s">
        <v>157</v>
      </c>
      <c r="C48" s="171" t="s">
        <v>158</v>
      </c>
      <c r="D48" s="171" t="s">
        <v>159</v>
      </c>
      <c r="E48" s="132">
        <v>0</v>
      </c>
      <c r="F48" s="132">
        <v>0</v>
      </c>
      <c r="G48" s="171">
        <f t="shared" si="15"/>
        <v>0</v>
      </c>
      <c r="H48" s="132">
        <v>0</v>
      </c>
      <c r="I48" s="132">
        <v>0</v>
      </c>
      <c r="J48" s="132">
        <v>0</v>
      </c>
      <c r="K48" s="132">
        <v>1646.67</v>
      </c>
      <c r="L48" s="132">
        <f t="shared" si="16"/>
        <v>1646.67</v>
      </c>
      <c r="M48" s="132">
        <v>0</v>
      </c>
      <c r="N48" s="132">
        <v>0</v>
      </c>
      <c r="O48" s="132">
        <v>0</v>
      </c>
      <c r="P48" s="132">
        <f t="shared" si="17"/>
        <v>0</v>
      </c>
      <c r="Q48" s="171">
        <v>0</v>
      </c>
      <c r="R48" s="171">
        <v>0</v>
      </c>
      <c r="S48" s="171">
        <v>0</v>
      </c>
      <c r="T48" s="171">
        <v>0</v>
      </c>
      <c r="U48" s="171">
        <f t="shared" si="18"/>
        <v>0</v>
      </c>
      <c r="V48" s="171">
        <f t="shared" si="19"/>
        <v>1646.67</v>
      </c>
      <c r="W48" s="132">
        <v>0</v>
      </c>
      <c r="X48" s="132">
        <f t="shared" si="20"/>
        <v>1646.67</v>
      </c>
      <c r="Y48" s="171">
        <v>0</v>
      </c>
      <c r="Z48" s="132">
        <f t="shared" si="21"/>
        <v>1646.67</v>
      </c>
    </row>
    <row r="49" spans="1:26" ht="12.75" hidden="1" outlineLevel="1">
      <c r="A49" s="132" t="s">
        <v>160</v>
      </c>
      <c r="C49" s="171" t="s">
        <v>161</v>
      </c>
      <c r="D49" s="171" t="s">
        <v>162</v>
      </c>
      <c r="E49" s="132">
        <v>0</v>
      </c>
      <c r="F49" s="132">
        <v>0</v>
      </c>
      <c r="G49" s="171">
        <f t="shared" si="15"/>
        <v>0</v>
      </c>
      <c r="H49" s="132">
        <v>0</v>
      </c>
      <c r="I49" s="132">
        <v>-532.85</v>
      </c>
      <c r="J49" s="132">
        <v>0</v>
      </c>
      <c r="K49" s="132">
        <v>-4199.94</v>
      </c>
      <c r="L49" s="132">
        <f t="shared" si="16"/>
        <v>-4732.79</v>
      </c>
      <c r="M49" s="132">
        <v>0</v>
      </c>
      <c r="N49" s="132">
        <v>0</v>
      </c>
      <c r="O49" s="132">
        <v>0</v>
      </c>
      <c r="P49" s="132">
        <f t="shared" si="17"/>
        <v>0</v>
      </c>
      <c r="Q49" s="171">
        <v>0</v>
      </c>
      <c r="R49" s="171">
        <v>0</v>
      </c>
      <c r="S49" s="171">
        <v>0</v>
      </c>
      <c r="T49" s="171">
        <v>0</v>
      </c>
      <c r="U49" s="171">
        <f t="shared" si="18"/>
        <v>0</v>
      </c>
      <c r="V49" s="171">
        <f t="shared" si="19"/>
        <v>-4732.79</v>
      </c>
      <c r="W49" s="132">
        <v>0</v>
      </c>
      <c r="X49" s="132">
        <f t="shared" si="20"/>
        <v>-4732.79</v>
      </c>
      <c r="Y49" s="171">
        <v>0</v>
      </c>
      <c r="Z49" s="132">
        <f t="shared" si="21"/>
        <v>-4732.79</v>
      </c>
    </row>
    <row r="50" spans="1:26" ht="12.75" hidden="1" outlineLevel="1">
      <c r="A50" s="132" t="s">
        <v>163</v>
      </c>
      <c r="C50" s="171" t="s">
        <v>164</v>
      </c>
      <c r="D50" s="171" t="s">
        <v>165</v>
      </c>
      <c r="E50" s="132">
        <v>0</v>
      </c>
      <c r="F50" s="132">
        <v>0</v>
      </c>
      <c r="G50" s="171">
        <f t="shared" si="15"/>
        <v>0</v>
      </c>
      <c r="H50" s="132">
        <v>0</v>
      </c>
      <c r="I50" s="132">
        <v>0</v>
      </c>
      <c r="J50" s="132">
        <v>0</v>
      </c>
      <c r="K50" s="132">
        <v>7960.01</v>
      </c>
      <c r="L50" s="132">
        <f t="shared" si="16"/>
        <v>7960.01</v>
      </c>
      <c r="M50" s="132">
        <v>0</v>
      </c>
      <c r="N50" s="132">
        <v>0</v>
      </c>
      <c r="O50" s="132">
        <v>0</v>
      </c>
      <c r="P50" s="132">
        <f t="shared" si="17"/>
        <v>0</v>
      </c>
      <c r="Q50" s="171">
        <v>0</v>
      </c>
      <c r="R50" s="171">
        <v>0</v>
      </c>
      <c r="S50" s="171">
        <v>0</v>
      </c>
      <c r="T50" s="171">
        <v>0</v>
      </c>
      <c r="U50" s="171">
        <f t="shared" si="18"/>
        <v>0</v>
      </c>
      <c r="V50" s="171">
        <f t="shared" si="19"/>
        <v>7960.01</v>
      </c>
      <c r="W50" s="132">
        <v>0</v>
      </c>
      <c r="X50" s="132">
        <f t="shared" si="20"/>
        <v>7960.01</v>
      </c>
      <c r="Y50" s="171">
        <v>0</v>
      </c>
      <c r="Z50" s="132">
        <f t="shared" si="21"/>
        <v>7960.01</v>
      </c>
    </row>
    <row r="51" spans="1:26" ht="12.75" hidden="1" outlineLevel="1">
      <c r="A51" s="132" t="s">
        <v>166</v>
      </c>
      <c r="C51" s="171" t="s">
        <v>167</v>
      </c>
      <c r="D51" s="171" t="s">
        <v>168</v>
      </c>
      <c r="E51" s="132">
        <v>0</v>
      </c>
      <c r="F51" s="132">
        <v>0</v>
      </c>
      <c r="G51" s="171">
        <f t="shared" si="15"/>
        <v>0</v>
      </c>
      <c r="H51" s="132">
        <v>0</v>
      </c>
      <c r="I51" s="132">
        <v>0</v>
      </c>
      <c r="J51" s="132">
        <v>0</v>
      </c>
      <c r="K51" s="132">
        <v>3284.35</v>
      </c>
      <c r="L51" s="132">
        <f t="shared" si="16"/>
        <v>3284.35</v>
      </c>
      <c r="M51" s="132">
        <v>0</v>
      </c>
      <c r="N51" s="132">
        <v>0</v>
      </c>
      <c r="O51" s="132">
        <v>0</v>
      </c>
      <c r="P51" s="132">
        <f t="shared" si="17"/>
        <v>0</v>
      </c>
      <c r="Q51" s="171">
        <v>0</v>
      </c>
      <c r="R51" s="171">
        <v>0</v>
      </c>
      <c r="S51" s="171">
        <v>0</v>
      </c>
      <c r="T51" s="171">
        <v>0</v>
      </c>
      <c r="U51" s="171">
        <f t="shared" si="18"/>
        <v>0</v>
      </c>
      <c r="V51" s="171">
        <f t="shared" si="19"/>
        <v>3284.35</v>
      </c>
      <c r="W51" s="132">
        <v>0</v>
      </c>
      <c r="X51" s="132">
        <f t="shared" si="20"/>
        <v>3284.35</v>
      </c>
      <c r="Y51" s="171">
        <v>0</v>
      </c>
      <c r="Z51" s="132">
        <f t="shared" si="21"/>
        <v>3284.35</v>
      </c>
    </row>
    <row r="52" spans="1:26" ht="12.75" hidden="1" outlineLevel="1">
      <c r="A52" s="132" t="s">
        <v>169</v>
      </c>
      <c r="C52" s="171" t="s">
        <v>170</v>
      </c>
      <c r="D52" s="171" t="s">
        <v>171</v>
      </c>
      <c r="E52" s="132">
        <v>0</v>
      </c>
      <c r="F52" s="132">
        <v>0</v>
      </c>
      <c r="G52" s="171">
        <f t="shared" si="15"/>
        <v>0</v>
      </c>
      <c r="H52" s="132">
        <v>0</v>
      </c>
      <c r="I52" s="132">
        <v>0</v>
      </c>
      <c r="J52" s="132">
        <v>0</v>
      </c>
      <c r="K52" s="132">
        <v>7309.5</v>
      </c>
      <c r="L52" s="132">
        <f t="shared" si="16"/>
        <v>7309.5</v>
      </c>
      <c r="M52" s="132">
        <v>0</v>
      </c>
      <c r="N52" s="132">
        <v>0</v>
      </c>
      <c r="O52" s="132">
        <v>0</v>
      </c>
      <c r="P52" s="132">
        <f t="shared" si="17"/>
        <v>0</v>
      </c>
      <c r="Q52" s="171">
        <v>0</v>
      </c>
      <c r="R52" s="171">
        <v>0</v>
      </c>
      <c r="S52" s="171">
        <v>0</v>
      </c>
      <c r="T52" s="171">
        <v>0</v>
      </c>
      <c r="U52" s="171">
        <f t="shared" si="18"/>
        <v>0</v>
      </c>
      <c r="V52" s="171">
        <f t="shared" si="19"/>
        <v>7309.5</v>
      </c>
      <c r="W52" s="132">
        <v>0</v>
      </c>
      <c r="X52" s="132">
        <f t="shared" si="20"/>
        <v>7309.5</v>
      </c>
      <c r="Y52" s="171">
        <v>0</v>
      </c>
      <c r="Z52" s="132">
        <f t="shared" si="21"/>
        <v>7309.5</v>
      </c>
    </row>
    <row r="53" spans="1:26" ht="12.75" hidden="1" outlineLevel="1">
      <c r="A53" s="132" t="s">
        <v>172</v>
      </c>
      <c r="C53" s="171" t="s">
        <v>173</v>
      </c>
      <c r="D53" s="171" t="s">
        <v>174</v>
      </c>
      <c r="E53" s="132">
        <v>0</v>
      </c>
      <c r="F53" s="132">
        <v>0</v>
      </c>
      <c r="G53" s="171">
        <f t="shared" si="15"/>
        <v>0</v>
      </c>
      <c r="H53" s="132">
        <v>0</v>
      </c>
      <c r="I53" s="132">
        <v>0</v>
      </c>
      <c r="J53" s="132">
        <v>0</v>
      </c>
      <c r="K53" s="132">
        <v>150</v>
      </c>
      <c r="L53" s="132">
        <f t="shared" si="16"/>
        <v>150</v>
      </c>
      <c r="M53" s="132">
        <v>0</v>
      </c>
      <c r="N53" s="132">
        <v>0</v>
      </c>
      <c r="O53" s="132">
        <v>0</v>
      </c>
      <c r="P53" s="132">
        <f t="shared" si="17"/>
        <v>0</v>
      </c>
      <c r="Q53" s="171">
        <v>0</v>
      </c>
      <c r="R53" s="171">
        <v>0</v>
      </c>
      <c r="S53" s="171">
        <v>0</v>
      </c>
      <c r="T53" s="171">
        <v>0</v>
      </c>
      <c r="U53" s="171">
        <f t="shared" si="18"/>
        <v>0</v>
      </c>
      <c r="V53" s="171">
        <f t="shared" si="19"/>
        <v>150</v>
      </c>
      <c r="W53" s="132">
        <v>0</v>
      </c>
      <c r="X53" s="132">
        <f t="shared" si="20"/>
        <v>150</v>
      </c>
      <c r="Y53" s="171">
        <v>0</v>
      </c>
      <c r="Z53" s="132">
        <f t="shared" si="21"/>
        <v>150</v>
      </c>
    </row>
    <row r="54" spans="1:26" ht="12.75" hidden="1" outlineLevel="1">
      <c r="A54" s="132" t="s">
        <v>175</v>
      </c>
      <c r="C54" s="171" t="s">
        <v>176</v>
      </c>
      <c r="D54" s="171" t="s">
        <v>177</v>
      </c>
      <c r="E54" s="132">
        <v>0</v>
      </c>
      <c r="F54" s="132">
        <v>0</v>
      </c>
      <c r="G54" s="171">
        <f t="shared" si="15"/>
        <v>0</v>
      </c>
      <c r="H54" s="132">
        <v>0</v>
      </c>
      <c r="I54" s="132">
        <v>0</v>
      </c>
      <c r="J54" s="132">
        <v>0</v>
      </c>
      <c r="K54" s="132">
        <v>2936.5</v>
      </c>
      <c r="L54" s="132">
        <f t="shared" si="16"/>
        <v>2936.5</v>
      </c>
      <c r="M54" s="132">
        <v>0</v>
      </c>
      <c r="N54" s="132">
        <v>0</v>
      </c>
      <c r="O54" s="132">
        <v>0</v>
      </c>
      <c r="P54" s="132">
        <f t="shared" si="17"/>
        <v>0</v>
      </c>
      <c r="Q54" s="171">
        <v>0</v>
      </c>
      <c r="R54" s="171">
        <v>0</v>
      </c>
      <c r="S54" s="171">
        <v>0</v>
      </c>
      <c r="T54" s="171">
        <v>0</v>
      </c>
      <c r="U54" s="171">
        <f t="shared" si="18"/>
        <v>0</v>
      </c>
      <c r="V54" s="171">
        <f t="shared" si="19"/>
        <v>2936.5</v>
      </c>
      <c r="W54" s="132">
        <v>0</v>
      </c>
      <c r="X54" s="132">
        <f t="shared" si="20"/>
        <v>2936.5</v>
      </c>
      <c r="Y54" s="171">
        <v>0</v>
      </c>
      <c r="Z54" s="132">
        <f t="shared" si="21"/>
        <v>2936.5</v>
      </c>
    </row>
    <row r="55" spans="1:26" ht="12.75" hidden="1" outlineLevel="1">
      <c r="A55" s="132" t="s">
        <v>178</v>
      </c>
      <c r="C55" s="171" t="s">
        <v>179</v>
      </c>
      <c r="D55" s="171" t="s">
        <v>180</v>
      </c>
      <c r="E55" s="132">
        <v>0</v>
      </c>
      <c r="F55" s="132">
        <v>0</v>
      </c>
      <c r="G55" s="171">
        <f t="shared" si="15"/>
        <v>0</v>
      </c>
      <c r="H55" s="132">
        <v>0</v>
      </c>
      <c r="I55" s="132">
        <v>0</v>
      </c>
      <c r="J55" s="132">
        <v>0</v>
      </c>
      <c r="K55" s="132">
        <v>18415</v>
      </c>
      <c r="L55" s="132">
        <f t="shared" si="16"/>
        <v>18415</v>
      </c>
      <c r="M55" s="132">
        <v>0</v>
      </c>
      <c r="N55" s="132">
        <v>0</v>
      </c>
      <c r="O55" s="132">
        <v>0</v>
      </c>
      <c r="P55" s="132">
        <f t="shared" si="17"/>
        <v>0</v>
      </c>
      <c r="Q55" s="171">
        <v>0</v>
      </c>
      <c r="R55" s="171">
        <v>0</v>
      </c>
      <c r="S55" s="171">
        <v>0</v>
      </c>
      <c r="T55" s="171">
        <v>0</v>
      </c>
      <c r="U55" s="171">
        <f t="shared" si="18"/>
        <v>0</v>
      </c>
      <c r="V55" s="171">
        <f t="shared" si="19"/>
        <v>18415</v>
      </c>
      <c r="W55" s="132">
        <v>0</v>
      </c>
      <c r="X55" s="132">
        <f t="shared" si="20"/>
        <v>18415</v>
      </c>
      <c r="Y55" s="171">
        <v>0</v>
      </c>
      <c r="Z55" s="132">
        <f t="shared" si="21"/>
        <v>18415</v>
      </c>
    </row>
    <row r="56" spans="1:26" ht="12.75" hidden="1" outlineLevel="1">
      <c r="A56" s="132" t="s">
        <v>181</v>
      </c>
      <c r="C56" s="171" t="s">
        <v>182</v>
      </c>
      <c r="D56" s="171" t="s">
        <v>183</v>
      </c>
      <c r="E56" s="132">
        <v>0</v>
      </c>
      <c r="F56" s="132">
        <v>0</v>
      </c>
      <c r="G56" s="171">
        <f t="shared" si="15"/>
        <v>0</v>
      </c>
      <c r="H56" s="132">
        <v>0</v>
      </c>
      <c r="I56" s="132">
        <v>0</v>
      </c>
      <c r="J56" s="132">
        <v>0</v>
      </c>
      <c r="K56" s="132">
        <v>9408.67</v>
      </c>
      <c r="L56" s="132">
        <f t="shared" si="16"/>
        <v>9408.67</v>
      </c>
      <c r="M56" s="132">
        <v>0</v>
      </c>
      <c r="N56" s="132">
        <v>0</v>
      </c>
      <c r="O56" s="132">
        <v>0</v>
      </c>
      <c r="P56" s="132">
        <f t="shared" si="17"/>
        <v>0</v>
      </c>
      <c r="Q56" s="171">
        <v>0</v>
      </c>
      <c r="R56" s="171">
        <v>0</v>
      </c>
      <c r="S56" s="171">
        <v>0</v>
      </c>
      <c r="T56" s="171">
        <v>0</v>
      </c>
      <c r="U56" s="171">
        <f t="shared" si="18"/>
        <v>0</v>
      </c>
      <c r="V56" s="171">
        <f t="shared" si="19"/>
        <v>9408.67</v>
      </c>
      <c r="W56" s="132">
        <v>0</v>
      </c>
      <c r="X56" s="132">
        <f t="shared" si="20"/>
        <v>9408.67</v>
      </c>
      <c r="Y56" s="171">
        <v>0</v>
      </c>
      <c r="Z56" s="132">
        <f t="shared" si="21"/>
        <v>9408.67</v>
      </c>
    </row>
    <row r="57" spans="1:26" ht="12.75" hidden="1" outlineLevel="1">
      <c r="A57" s="132" t="s">
        <v>184</v>
      </c>
      <c r="C57" s="171" t="s">
        <v>185</v>
      </c>
      <c r="D57" s="171" t="s">
        <v>186</v>
      </c>
      <c r="E57" s="132">
        <v>0</v>
      </c>
      <c r="F57" s="132">
        <v>0</v>
      </c>
      <c r="G57" s="171">
        <f t="shared" si="15"/>
        <v>0</v>
      </c>
      <c r="H57" s="132">
        <v>0</v>
      </c>
      <c r="I57" s="132">
        <v>0</v>
      </c>
      <c r="J57" s="132">
        <v>0</v>
      </c>
      <c r="K57" s="132">
        <v>-3.44</v>
      </c>
      <c r="L57" s="132">
        <f t="shared" si="16"/>
        <v>-3.44</v>
      </c>
      <c r="M57" s="132">
        <v>0</v>
      </c>
      <c r="N57" s="132">
        <v>0</v>
      </c>
      <c r="O57" s="132">
        <v>0</v>
      </c>
      <c r="P57" s="132">
        <f t="shared" si="17"/>
        <v>0</v>
      </c>
      <c r="Q57" s="171">
        <v>0</v>
      </c>
      <c r="R57" s="171">
        <v>0</v>
      </c>
      <c r="S57" s="171">
        <v>0</v>
      </c>
      <c r="T57" s="171">
        <v>0</v>
      </c>
      <c r="U57" s="171">
        <f t="shared" si="18"/>
        <v>0</v>
      </c>
      <c r="V57" s="171">
        <f t="shared" si="19"/>
        <v>-3.44</v>
      </c>
      <c r="W57" s="132">
        <v>0</v>
      </c>
      <c r="X57" s="132">
        <f t="shared" si="20"/>
        <v>-3.44</v>
      </c>
      <c r="Y57" s="171">
        <v>0</v>
      </c>
      <c r="Z57" s="132">
        <f t="shared" si="21"/>
        <v>-3.44</v>
      </c>
    </row>
    <row r="58" spans="1:26" ht="12.75" hidden="1" outlineLevel="1">
      <c r="A58" s="132" t="s">
        <v>187</v>
      </c>
      <c r="C58" s="171" t="s">
        <v>188</v>
      </c>
      <c r="D58" s="171" t="s">
        <v>189</v>
      </c>
      <c r="E58" s="132">
        <v>0</v>
      </c>
      <c r="F58" s="132">
        <v>0</v>
      </c>
      <c r="G58" s="171">
        <f t="shared" si="15"/>
        <v>0</v>
      </c>
      <c r="H58" s="132">
        <v>0</v>
      </c>
      <c r="I58" s="132">
        <v>-53.25</v>
      </c>
      <c r="J58" s="132">
        <v>0</v>
      </c>
      <c r="K58" s="132">
        <v>-117.15</v>
      </c>
      <c r="L58" s="132">
        <f t="shared" si="16"/>
        <v>-170.4</v>
      </c>
      <c r="M58" s="132">
        <v>0</v>
      </c>
      <c r="N58" s="132">
        <v>0</v>
      </c>
      <c r="O58" s="132">
        <v>0</v>
      </c>
      <c r="P58" s="132">
        <f t="shared" si="17"/>
        <v>0</v>
      </c>
      <c r="Q58" s="171">
        <v>0</v>
      </c>
      <c r="R58" s="171">
        <v>0</v>
      </c>
      <c r="S58" s="171">
        <v>0</v>
      </c>
      <c r="T58" s="171">
        <v>0</v>
      </c>
      <c r="U58" s="171">
        <f t="shared" si="18"/>
        <v>0</v>
      </c>
      <c r="V58" s="171">
        <f t="shared" si="19"/>
        <v>-170.4</v>
      </c>
      <c r="W58" s="132">
        <v>0</v>
      </c>
      <c r="X58" s="132">
        <f t="shared" si="20"/>
        <v>-170.4</v>
      </c>
      <c r="Y58" s="171">
        <v>0</v>
      </c>
      <c r="Z58" s="132">
        <f t="shared" si="21"/>
        <v>-170.4</v>
      </c>
    </row>
    <row r="59" spans="1:27" ht="12.75" collapsed="1">
      <c r="A59" s="150" t="s">
        <v>1554</v>
      </c>
      <c r="B59" s="148"/>
      <c r="C59" s="150" t="s">
        <v>3709</v>
      </c>
      <c r="D59" s="157"/>
      <c r="E59" s="155">
        <v>0</v>
      </c>
      <c r="F59" s="155">
        <v>0</v>
      </c>
      <c r="G59" s="117">
        <f t="shared" si="15"/>
        <v>0</v>
      </c>
      <c r="H59" s="117">
        <v>0</v>
      </c>
      <c r="I59" s="117">
        <v>9318.79</v>
      </c>
      <c r="J59" s="117">
        <v>0</v>
      </c>
      <c r="K59" s="117">
        <v>299886.4</v>
      </c>
      <c r="L59" s="117">
        <f t="shared" si="16"/>
        <v>309205.19</v>
      </c>
      <c r="M59" s="117">
        <v>0</v>
      </c>
      <c r="N59" s="117">
        <v>0</v>
      </c>
      <c r="O59" s="117">
        <v>0</v>
      </c>
      <c r="P59" s="117">
        <f t="shared" si="17"/>
        <v>0</v>
      </c>
      <c r="Q59" s="117">
        <v>0</v>
      </c>
      <c r="R59" s="117">
        <v>0</v>
      </c>
      <c r="S59" s="117">
        <v>0</v>
      </c>
      <c r="T59" s="117">
        <v>0</v>
      </c>
      <c r="U59" s="117">
        <f t="shared" si="18"/>
        <v>0</v>
      </c>
      <c r="V59" s="117">
        <f t="shared" si="19"/>
        <v>309205.19</v>
      </c>
      <c r="W59" s="117">
        <v>0</v>
      </c>
      <c r="X59" s="117">
        <f t="shared" si="20"/>
        <v>309205.19</v>
      </c>
      <c r="Y59" s="117">
        <v>0</v>
      </c>
      <c r="Z59" s="117">
        <f t="shared" si="21"/>
        <v>309205.19</v>
      </c>
      <c r="AA59" s="150"/>
    </row>
    <row r="60" spans="1:26" ht="12.75" hidden="1" outlineLevel="1">
      <c r="A60" s="132" t="s">
        <v>1555</v>
      </c>
      <c r="C60" s="171" t="s">
        <v>1556</v>
      </c>
      <c r="D60" s="171" t="s">
        <v>1557</v>
      </c>
      <c r="E60" s="132">
        <v>0</v>
      </c>
      <c r="F60" s="132">
        <v>0</v>
      </c>
      <c r="G60" s="171">
        <f t="shared" si="15"/>
        <v>0</v>
      </c>
      <c r="H60" s="132">
        <v>232287.83</v>
      </c>
      <c r="I60" s="132">
        <v>0</v>
      </c>
      <c r="J60" s="132">
        <v>0</v>
      </c>
      <c r="K60" s="132">
        <v>0</v>
      </c>
      <c r="L60" s="132">
        <f t="shared" si="16"/>
        <v>0</v>
      </c>
      <c r="M60" s="132">
        <v>0</v>
      </c>
      <c r="N60" s="132">
        <v>0</v>
      </c>
      <c r="O60" s="132">
        <v>0</v>
      </c>
      <c r="P60" s="132">
        <f t="shared" si="17"/>
        <v>0</v>
      </c>
      <c r="Q60" s="171">
        <v>0</v>
      </c>
      <c r="R60" s="171">
        <v>0</v>
      </c>
      <c r="S60" s="171">
        <v>0</v>
      </c>
      <c r="T60" s="171">
        <v>-265</v>
      </c>
      <c r="U60" s="171">
        <f t="shared" si="18"/>
        <v>-265</v>
      </c>
      <c r="V60" s="171">
        <f t="shared" si="19"/>
        <v>232022.83</v>
      </c>
      <c r="W60" s="132">
        <v>0</v>
      </c>
      <c r="X60" s="132">
        <f t="shared" si="20"/>
        <v>232022.83</v>
      </c>
      <c r="Y60" s="171">
        <v>629396.03</v>
      </c>
      <c r="Z60" s="132">
        <f t="shared" si="21"/>
        <v>861418.86</v>
      </c>
    </row>
    <row r="61" spans="1:26" ht="12.75" hidden="1" outlineLevel="1">
      <c r="A61" s="132" t="s">
        <v>1558</v>
      </c>
      <c r="C61" s="171" t="s">
        <v>1559</v>
      </c>
      <c r="D61" s="171" t="s">
        <v>1560</v>
      </c>
      <c r="E61" s="132">
        <v>0</v>
      </c>
      <c r="F61" s="132">
        <v>0</v>
      </c>
      <c r="G61" s="171">
        <f t="shared" si="15"/>
        <v>0</v>
      </c>
      <c r="H61" s="132">
        <v>405.68</v>
      </c>
      <c r="I61" s="132">
        <v>0</v>
      </c>
      <c r="J61" s="132">
        <v>0</v>
      </c>
      <c r="K61" s="132">
        <v>0</v>
      </c>
      <c r="L61" s="132">
        <f t="shared" si="16"/>
        <v>0</v>
      </c>
      <c r="M61" s="132">
        <v>0</v>
      </c>
      <c r="N61" s="132">
        <v>0</v>
      </c>
      <c r="O61" s="132">
        <v>0</v>
      </c>
      <c r="P61" s="132">
        <f t="shared" si="17"/>
        <v>0</v>
      </c>
      <c r="Q61" s="171">
        <v>0</v>
      </c>
      <c r="R61" s="171">
        <v>0</v>
      </c>
      <c r="S61" s="171">
        <v>0</v>
      </c>
      <c r="T61" s="171">
        <v>0</v>
      </c>
      <c r="U61" s="171">
        <f t="shared" si="18"/>
        <v>0</v>
      </c>
      <c r="V61" s="171">
        <f t="shared" si="19"/>
        <v>405.68</v>
      </c>
      <c r="W61" s="132">
        <v>0</v>
      </c>
      <c r="X61" s="132">
        <f t="shared" si="20"/>
        <v>405.68</v>
      </c>
      <c r="Y61" s="171">
        <v>0</v>
      </c>
      <c r="Z61" s="132">
        <f t="shared" si="21"/>
        <v>405.68</v>
      </c>
    </row>
    <row r="62" spans="1:26" ht="12.75" hidden="1" outlineLevel="1">
      <c r="A62" s="132" t="s">
        <v>1561</v>
      </c>
      <c r="C62" s="171" t="s">
        <v>1562</v>
      </c>
      <c r="D62" s="171" t="s">
        <v>1563</v>
      </c>
      <c r="E62" s="132">
        <v>0</v>
      </c>
      <c r="F62" s="132">
        <v>0</v>
      </c>
      <c r="G62" s="171">
        <f t="shared" si="15"/>
        <v>0</v>
      </c>
      <c r="H62" s="132">
        <v>2441689.85</v>
      </c>
      <c r="I62" s="132">
        <v>0</v>
      </c>
      <c r="J62" s="132">
        <v>0</v>
      </c>
      <c r="K62" s="132">
        <v>408.43</v>
      </c>
      <c r="L62" s="132">
        <f t="shared" si="16"/>
        <v>408.43</v>
      </c>
      <c r="M62" s="132">
        <v>0</v>
      </c>
      <c r="N62" s="132">
        <v>46673.01</v>
      </c>
      <c r="O62" s="132">
        <v>613150</v>
      </c>
      <c r="P62" s="132">
        <f t="shared" si="17"/>
        <v>659823.01</v>
      </c>
      <c r="Q62" s="171">
        <v>0</v>
      </c>
      <c r="R62" s="171">
        <v>111892.53</v>
      </c>
      <c r="S62" s="171">
        <v>0</v>
      </c>
      <c r="T62" s="171">
        <v>0</v>
      </c>
      <c r="U62" s="171">
        <f t="shared" si="18"/>
        <v>111892.53</v>
      </c>
      <c r="V62" s="171">
        <f t="shared" si="19"/>
        <v>3213813.82</v>
      </c>
      <c r="W62" s="132">
        <v>0</v>
      </c>
      <c r="X62" s="132">
        <f t="shared" si="20"/>
        <v>3213813.82</v>
      </c>
      <c r="Y62" s="171">
        <v>99210196.55</v>
      </c>
      <c r="Z62" s="132">
        <f t="shared" si="21"/>
        <v>102424010.36999999</v>
      </c>
    </row>
    <row r="63" spans="1:26" ht="12.75" hidden="1" outlineLevel="1">
      <c r="A63" s="132" t="s">
        <v>1564</v>
      </c>
      <c r="C63" s="171" t="s">
        <v>1565</v>
      </c>
      <c r="D63" s="171" t="s">
        <v>1566</v>
      </c>
      <c r="E63" s="132">
        <v>0</v>
      </c>
      <c r="F63" s="132">
        <v>0</v>
      </c>
      <c r="G63" s="171">
        <f t="shared" si="15"/>
        <v>0</v>
      </c>
      <c r="H63" s="132">
        <v>3771</v>
      </c>
      <c r="I63" s="132">
        <v>0</v>
      </c>
      <c r="J63" s="132">
        <v>0</v>
      </c>
      <c r="K63" s="132">
        <v>0</v>
      </c>
      <c r="L63" s="132">
        <f t="shared" si="16"/>
        <v>0</v>
      </c>
      <c r="M63" s="132">
        <v>0</v>
      </c>
      <c r="N63" s="132">
        <v>0</v>
      </c>
      <c r="O63" s="132">
        <v>0</v>
      </c>
      <c r="P63" s="132">
        <f t="shared" si="17"/>
        <v>0</v>
      </c>
      <c r="Q63" s="171">
        <v>0</v>
      </c>
      <c r="R63" s="171">
        <v>0</v>
      </c>
      <c r="S63" s="171">
        <v>0</v>
      </c>
      <c r="T63" s="171">
        <v>0</v>
      </c>
      <c r="U63" s="171">
        <f t="shared" si="18"/>
        <v>0</v>
      </c>
      <c r="V63" s="171">
        <f t="shared" si="19"/>
        <v>3771</v>
      </c>
      <c r="W63" s="132">
        <v>0</v>
      </c>
      <c r="X63" s="132">
        <f t="shared" si="20"/>
        <v>3771</v>
      </c>
      <c r="Y63" s="171">
        <v>0</v>
      </c>
      <c r="Z63" s="132">
        <f t="shared" si="21"/>
        <v>3771</v>
      </c>
    </row>
    <row r="64" spans="1:26" ht="12.75" hidden="1" outlineLevel="1">
      <c r="A64" s="132" t="s">
        <v>1567</v>
      </c>
      <c r="C64" s="171" t="s">
        <v>1568</v>
      </c>
      <c r="D64" s="171" t="s">
        <v>1569</v>
      </c>
      <c r="E64" s="132">
        <v>0</v>
      </c>
      <c r="F64" s="132">
        <v>0</v>
      </c>
      <c r="G64" s="171">
        <f t="shared" si="15"/>
        <v>0</v>
      </c>
      <c r="H64" s="132">
        <v>0</v>
      </c>
      <c r="I64" s="132">
        <v>797.17</v>
      </c>
      <c r="J64" s="132">
        <v>0</v>
      </c>
      <c r="K64" s="132">
        <v>10</v>
      </c>
      <c r="L64" s="132">
        <f t="shared" si="16"/>
        <v>807.17</v>
      </c>
      <c r="M64" s="132">
        <v>0</v>
      </c>
      <c r="N64" s="132">
        <v>0</v>
      </c>
      <c r="O64" s="132">
        <v>0</v>
      </c>
      <c r="P64" s="132">
        <f t="shared" si="17"/>
        <v>0</v>
      </c>
      <c r="Q64" s="171">
        <v>0</v>
      </c>
      <c r="R64" s="171">
        <v>0</v>
      </c>
      <c r="S64" s="171">
        <v>0</v>
      </c>
      <c r="T64" s="171">
        <v>0</v>
      </c>
      <c r="U64" s="171">
        <f t="shared" si="18"/>
        <v>0</v>
      </c>
      <c r="V64" s="171">
        <f t="shared" si="19"/>
        <v>807.17</v>
      </c>
      <c r="W64" s="132">
        <v>0</v>
      </c>
      <c r="X64" s="132">
        <f t="shared" si="20"/>
        <v>807.17</v>
      </c>
      <c r="Y64" s="171">
        <v>0</v>
      </c>
      <c r="Z64" s="132">
        <f t="shared" si="21"/>
        <v>807.17</v>
      </c>
    </row>
    <row r="65" spans="1:26" ht="12.75" hidden="1" outlineLevel="1">
      <c r="A65" s="132" t="s">
        <v>1570</v>
      </c>
      <c r="C65" s="171" t="s">
        <v>1571</v>
      </c>
      <c r="D65" s="171" t="s">
        <v>1572</v>
      </c>
      <c r="E65" s="132">
        <v>0</v>
      </c>
      <c r="F65" s="132">
        <v>0</v>
      </c>
      <c r="G65" s="171">
        <f t="shared" si="15"/>
        <v>0</v>
      </c>
      <c r="H65" s="132">
        <v>-5295</v>
      </c>
      <c r="I65" s="132">
        <v>0</v>
      </c>
      <c r="J65" s="132">
        <v>0</v>
      </c>
      <c r="K65" s="132">
        <v>0</v>
      </c>
      <c r="L65" s="132">
        <f t="shared" si="16"/>
        <v>0</v>
      </c>
      <c r="M65" s="132">
        <v>0</v>
      </c>
      <c r="N65" s="132">
        <v>0</v>
      </c>
      <c r="O65" s="132">
        <v>0</v>
      </c>
      <c r="P65" s="132">
        <f t="shared" si="17"/>
        <v>0</v>
      </c>
      <c r="Q65" s="171">
        <v>0</v>
      </c>
      <c r="R65" s="171">
        <v>0</v>
      </c>
      <c r="S65" s="171">
        <v>0</v>
      </c>
      <c r="T65" s="171">
        <v>0</v>
      </c>
      <c r="U65" s="171">
        <f t="shared" si="18"/>
        <v>0</v>
      </c>
      <c r="V65" s="171">
        <f t="shared" si="19"/>
        <v>-5295</v>
      </c>
      <c r="W65" s="132">
        <v>0</v>
      </c>
      <c r="X65" s="132">
        <f t="shared" si="20"/>
        <v>-5295</v>
      </c>
      <c r="Y65" s="171">
        <v>607628.31</v>
      </c>
      <c r="Z65" s="132">
        <f t="shared" si="21"/>
        <v>602333.31</v>
      </c>
    </row>
    <row r="66" spans="1:26" ht="12.75" hidden="1" outlineLevel="1">
      <c r="A66" s="132" t="s">
        <v>1579</v>
      </c>
      <c r="C66" s="171" t="s">
        <v>1580</v>
      </c>
      <c r="D66" s="171" t="s">
        <v>1581</v>
      </c>
      <c r="E66" s="132">
        <v>0</v>
      </c>
      <c r="F66" s="132">
        <v>0</v>
      </c>
      <c r="G66" s="171">
        <f t="shared" si="15"/>
        <v>0</v>
      </c>
      <c r="H66" s="132">
        <v>25</v>
      </c>
      <c r="I66" s="132">
        <v>0</v>
      </c>
      <c r="J66" s="132">
        <v>0</v>
      </c>
      <c r="K66" s="132">
        <v>827.5</v>
      </c>
      <c r="L66" s="132">
        <f t="shared" si="16"/>
        <v>827.5</v>
      </c>
      <c r="M66" s="132">
        <v>0</v>
      </c>
      <c r="N66" s="132">
        <v>0</v>
      </c>
      <c r="O66" s="132">
        <v>0</v>
      </c>
      <c r="P66" s="132">
        <f t="shared" si="17"/>
        <v>0</v>
      </c>
      <c r="Q66" s="171">
        <v>0</v>
      </c>
      <c r="R66" s="171">
        <v>0</v>
      </c>
      <c r="S66" s="171">
        <v>0</v>
      </c>
      <c r="T66" s="171">
        <v>0</v>
      </c>
      <c r="U66" s="171">
        <f t="shared" si="18"/>
        <v>0</v>
      </c>
      <c r="V66" s="171">
        <f t="shared" si="19"/>
        <v>852.5</v>
      </c>
      <c r="W66" s="132">
        <v>0</v>
      </c>
      <c r="X66" s="132">
        <f t="shared" si="20"/>
        <v>852.5</v>
      </c>
      <c r="Y66" s="171">
        <v>0</v>
      </c>
      <c r="Z66" s="132">
        <f t="shared" si="21"/>
        <v>852.5</v>
      </c>
    </row>
    <row r="67" spans="1:27" ht="12.75" collapsed="1">
      <c r="A67" s="150" t="s">
        <v>190</v>
      </c>
      <c r="B67" s="148"/>
      <c r="C67" s="150" t="s">
        <v>3710</v>
      </c>
      <c r="D67" s="157"/>
      <c r="E67" s="155">
        <v>0</v>
      </c>
      <c r="F67" s="155">
        <v>4762230.98</v>
      </c>
      <c r="G67" s="117">
        <f t="shared" si="15"/>
        <v>4762230.98</v>
      </c>
      <c r="H67" s="117">
        <v>2672884.36</v>
      </c>
      <c r="I67" s="117">
        <v>797.17</v>
      </c>
      <c r="J67" s="117">
        <v>0</v>
      </c>
      <c r="K67" s="117">
        <v>1245.93</v>
      </c>
      <c r="L67" s="117">
        <f t="shared" si="16"/>
        <v>2043.1</v>
      </c>
      <c r="M67" s="117">
        <v>0</v>
      </c>
      <c r="N67" s="117">
        <v>46673.01</v>
      </c>
      <c r="O67" s="117">
        <v>613150</v>
      </c>
      <c r="P67" s="117">
        <f t="shared" si="17"/>
        <v>659823.01</v>
      </c>
      <c r="Q67" s="117">
        <v>0</v>
      </c>
      <c r="R67" s="117">
        <v>111892.53</v>
      </c>
      <c r="S67" s="117">
        <v>0</v>
      </c>
      <c r="T67" s="117">
        <v>-265</v>
      </c>
      <c r="U67" s="117">
        <f t="shared" si="18"/>
        <v>111627.53</v>
      </c>
      <c r="V67" s="117">
        <f t="shared" si="19"/>
        <v>8208608.9799999995</v>
      </c>
      <c r="W67" s="117">
        <v>0</v>
      </c>
      <c r="X67" s="117">
        <f t="shared" si="20"/>
        <v>8208608.9799999995</v>
      </c>
      <c r="Y67" s="117">
        <v>100447220.89</v>
      </c>
      <c r="Z67" s="117">
        <f t="shared" si="21"/>
        <v>108655829.87</v>
      </c>
      <c r="AA67" s="150"/>
    </row>
    <row r="68" spans="1:26" ht="12.75" hidden="1" outlineLevel="1">
      <c r="A68" s="132" t="s">
        <v>191</v>
      </c>
      <c r="C68" s="171" t="s">
        <v>192</v>
      </c>
      <c r="D68" s="171" t="s">
        <v>193</v>
      </c>
      <c r="E68" s="132">
        <v>0</v>
      </c>
      <c r="F68" s="132">
        <v>0</v>
      </c>
      <c r="G68" s="171">
        <f t="shared" si="15"/>
        <v>0</v>
      </c>
      <c r="H68" s="132">
        <v>-5226993.64</v>
      </c>
      <c r="I68" s="132">
        <v>0</v>
      </c>
      <c r="J68" s="132">
        <v>0</v>
      </c>
      <c r="K68" s="132">
        <v>0</v>
      </c>
      <c r="L68" s="132">
        <f t="shared" si="16"/>
        <v>0</v>
      </c>
      <c r="M68" s="132">
        <v>0</v>
      </c>
      <c r="N68" s="132">
        <v>0</v>
      </c>
      <c r="O68" s="132">
        <v>0</v>
      </c>
      <c r="P68" s="132">
        <f t="shared" si="17"/>
        <v>0</v>
      </c>
      <c r="Q68" s="171">
        <v>0</v>
      </c>
      <c r="R68" s="171">
        <v>0</v>
      </c>
      <c r="S68" s="171">
        <v>0</v>
      </c>
      <c r="T68" s="171">
        <v>0</v>
      </c>
      <c r="U68" s="171">
        <f t="shared" si="18"/>
        <v>0</v>
      </c>
      <c r="V68" s="171">
        <f t="shared" si="19"/>
        <v>-5226993.64</v>
      </c>
      <c r="W68" s="132">
        <v>0</v>
      </c>
      <c r="X68" s="132">
        <f t="shared" si="20"/>
        <v>-5226993.64</v>
      </c>
      <c r="Y68" s="171">
        <v>0</v>
      </c>
      <c r="Z68" s="132">
        <f t="shared" si="21"/>
        <v>-5226993.64</v>
      </c>
    </row>
    <row r="69" spans="1:27" ht="12.75" collapsed="1">
      <c r="A69" s="171" t="s">
        <v>194</v>
      </c>
      <c r="B69" s="148"/>
      <c r="C69" s="150" t="s">
        <v>195</v>
      </c>
      <c r="D69" s="157"/>
      <c r="E69" s="155">
        <v>0</v>
      </c>
      <c r="F69" s="155">
        <v>5442689.58</v>
      </c>
      <c r="G69" s="117">
        <f t="shared" si="15"/>
        <v>5442689.58</v>
      </c>
      <c r="H69" s="117">
        <v>-5226993.64</v>
      </c>
      <c r="I69" s="117">
        <v>0</v>
      </c>
      <c r="J69" s="117">
        <v>0</v>
      </c>
      <c r="K69" s="117">
        <v>0</v>
      </c>
      <c r="L69" s="117">
        <f t="shared" si="16"/>
        <v>0</v>
      </c>
      <c r="M69" s="117">
        <v>0</v>
      </c>
      <c r="N69" s="117">
        <v>0</v>
      </c>
      <c r="O69" s="117">
        <v>0</v>
      </c>
      <c r="P69" s="117">
        <f t="shared" si="17"/>
        <v>0</v>
      </c>
      <c r="Q69" s="117">
        <v>0</v>
      </c>
      <c r="R69" s="117">
        <v>0</v>
      </c>
      <c r="S69" s="117">
        <v>0</v>
      </c>
      <c r="T69" s="117">
        <v>0</v>
      </c>
      <c r="U69" s="117">
        <f t="shared" si="18"/>
        <v>0</v>
      </c>
      <c r="V69" s="117">
        <f t="shared" si="19"/>
        <v>215695.9400000004</v>
      </c>
      <c r="W69" s="117">
        <v>0</v>
      </c>
      <c r="X69" s="117">
        <f t="shared" si="20"/>
        <v>215695.9400000004</v>
      </c>
      <c r="Y69" s="117">
        <v>0</v>
      </c>
      <c r="Z69" s="117">
        <f t="shared" si="21"/>
        <v>215695.9400000004</v>
      </c>
      <c r="AA69" s="171"/>
    </row>
    <row r="70" spans="1:27" ht="15.75">
      <c r="A70" s="172"/>
      <c r="B70" s="160"/>
      <c r="C70" s="154" t="s">
        <v>1589</v>
      </c>
      <c r="D70" s="62"/>
      <c r="E70" s="208">
        <f aca="true" t="shared" si="22" ref="E70:T70">+E30+E32+E33+E34+E38+E40+E41+E42+E43+E44+E59+E67+E69</f>
        <v>56940.33</v>
      </c>
      <c r="F70" s="208">
        <f t="shared" si="22"/>
        <v>157193380.26999998</v>
      </c>
      <c r="G70" s="208">
        <f t="shared" si="22"/>
        <v>157250320.6</v>
      </c>
      <c r="H70" s="101">
        <f t="shared" si="22"/>
        <v>27546570.639999993</v>
      </c>
      <c r="I70" s="101">
        <f t="shared" si="22"/>
        <v>10115.960000000001</v>
      </c>
      <c r="J70" s="101">
        <f t="shared" si="22"/>
        <v>0</v>
      </c>
      <c r="K70" s="101">
        <f t="shared" si="22"/>
        <v>310309.33</v>
      </c>
      <c r="L70" s="101">
        <f t="shared" si="22"/>
        <v>320425.29</v>
      </c>
      <c r="M70" s="101">
        <f t="shared" si="22"/>
        <v>0</v>
      </c>
      <c r="N70" s="101">
        <f t="shared" si="22"/>
        <v>46673.01</v>
      </c>
      <c r="O70" s="101">
        <f t="shared" si="22"/>
        <v>613150</v>
      </c>
      <c r="P70" s="101">
        <f t="shared" si="22"/>
        <v>659823.01</v>
      </c>
      <c r="Q70" s="101">
        <f t="shared" si="22"/>
        <v>0</v>
      </c>
      <c r="R70" s="101">
        <f t="shared" si="22"/>
        <v>111892.53</v>
      </c>
      <c r="S70" s="101">
        <f t="shared" si="22"/>
        <v>0</v>
      </c>
      <c r="T70" s="101">
        <f t="shared" si="22"/>
        <v>-265</v>
      </c>
      <c r="U70" s="101">
        <f>+U30+U38+U40+U41+U42+U43+U44+U59+U67+U69</f>
        <v>111627.53</v>
      </c>
      <c r="V70" s="101">
        <f>+V30+V32+V33+V34+V38+V40+V41+V42+V43+V44+V59+V67+V69</f>
        <v>185888767.06999996</v>
      </c>
      <c r="W70" s="101">
        <f>+W30+W32+W33+W34+W38+W40+W41+W42+W43+W44+W59+W67+W69</f>
        <v>0</v>
      </c>
      <c r="X70" s="101">
        <f>+X30+X32+X33+X34+X38+X40+X41+X42+X43+X44+X59+X67+X69</f>
        <v>185888767.06999996</v>
      </c>
      <c r="Y70" s="101">
        <f>+Y30+Y32+Y33+Y34+Y38+Y40+Y41+Y42+Y43+Y44+Y59+Y67+Y69</f>
        <v>2376907.849999994</v>
      </c>
      <c r="Z70" s="101">
        <f>+Z30+Z32+Z33+Z34+Z38+Z40+Z41+Z42+Z43+Z44+Z59+Z67+Z69</f>
        <v>188265674.92</v>
      </c>
      <c r="AA70" s="167"/>
    </row>
    <row r="71" spans="2:26" ht="12.75">
      <c r="B71" s="148"/>
      <c r="C71" s="150"/>
      <c r="D71" s="157"/>
      <c r="E71" s="155"/>
      <c r="F71" s="155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1:27" ht="15">
      <c r="A72" s="167"/>
      <c r="B72" s="160" t="s">
        <v>1590</v>
      </c>
      <c r="C72" s="161"/>
      <c r="D72" s="72"/>
      <c r="E72" s="155"/>
      <c r="F72" s="155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67"/>
    </row>
    <row r="73" spans="1:26" ht="12.75" hidden="1" outlineLevel="1">
      <c r="A73" s="132" t="s">
        <v>1591</v>
      </c>
      <c r="C73" s="171" t="s">
        <v>1592</v>
      </c>
      <c r="D73" s="171" t="s">
        <v>1593</v>
      </c>
      <c r="E73" s="132">
        <v>0</v>
      </c>
      <c r="F73" s="132">
        <v>33922610.47</v>
      </c>
      <c r="G73" s="171">
        <f aca="true" t="shared" si="23" ref="G73:G136">E73+F73</f>
        <v>33922610.47</v>
      </c>
      <c r="H73" s="132">
        <v>4571467.08</v>
      </c>
      <c r="I73" s="132">
        <v>0</v>
      </c>
      <c r="J73" s="132">
        <v>0</v>
      </c>
      <c r="K73" s="132">
        <v>0</v>
      </c>
      <c r="L73" s="132">
        <f aca="true" t="shared" si="24" ref="L73:L136">J73+I73+K73</f>
        <v>0</v>
      </c>
      <c r="M73" s="132">
        <v>0</v>
      </c>
      <c r="N73" s="132">
        <v>0</v>
      </c>
      <c r="O73" s="132">
        <v>0</v>
      </c>
      <c r="P73" s="132">
        <f aca="true" t="shared" si="25" ref="P73:P136">M73+N73+O73</f>
        <v>0</v>
      </c>
      <c r="Q73" s="171">
        <v>0</v>
      </c>
      <c r="R73" s="171">
        <v>0</v>
      </c>
      <c r="S73" s="171">
        <v>0</v>
      </c>
      <c r="T73" s="171">
        <v>0</v>
      </c>
      <c r="U73" s="171">
        <f aca="true" t="shared" si="26" ref="U73:U136">Q73+R73+S73+T73</f>
        <v>0</v>
      </c>
      <c r="V73" s="171">
        <f aca="true" t="shared" si="27" ref="V73:V136">G73+H73+L73+P73+U73</f>
        <v>38494077.55</v>
      </c>
      <c r="W73" s="132">
        <v>0</v>
      </c>
      <c r="X73" s="132">
        <f aca="true" t="shared" si="28" ref="X73:X136">V73+W73</f>
        <v>38494077.55</v>
      </c>
      <c r="Y73" s="171">
        <v>112291.64</v>
      </c>
      <c r="Z73" s="132">
        <f aca="true" t="shared" si="29" ref="Z73:Z136">X73+Y73</f>
        <v>38606369.19</v>
      </c>
    </row>
    <row r="74" spans="1:26" ht="12.75" hidden="1" outlineLevel="1">
      <c r="A74" s="132" t="s">
        <v>1594</v>
      </c>
      <c r="C74" s="171" t="s">
        <v>1595</v>
      </c>
      <c r="D74" s="171" t="s">
        <v>1596</v>
      </c>
      <c r="E74" s="132">
        <v>0</v>
      </c>
      <c r="F74" s="132">
        <v>8912577.15</v>
      </c>
      <c r="G74" s="171">
        <f t="shared" si="23"/>
        <v>8912577.15</v>
      </c>
      <c r="H74" s="132">
        <v>1018291.95</v>
      </c>
      <c r="I74" s="132">
        <v>0</v>
      </c>
      <c r="J74" s="132">
        <v>0</v>
      </c>
      <c r="K74" s="132">
        <v>0</v>
      </c>
      <c r="L74" s="132">
        <f t="shared" si="24"/>
        <v>0</v>
      </c>
      <c r="M74" s="132">
        <v>0</v>
      </c>
      <c r="N74" s="132">
        <v>0</v>
      </c>
      <c r="O74" s="132">
        <v>0</v>
      </c>
      <c r="P74" s="132">
        <f t="shared" si="25"/>
        <v>0</v>
      </c>
      <c r="Q74" s="171">
        <v>0</v>
      </c>
      <c r="R74" s="171">
        <v>0</v>
      </c>
      <c r="S74" s="171">
        <v>0</v>
      </c>
      <c r="T74" s="171">
        <v>0</v>
      </c>
      <c r="U74" s="171">
        <f t="shared" si="26"/>
        <v>0</v>
      </c>
      <c r="V74" s="171">
        <f t="shared" si="27"/>
        <v>9930869.1</v>
      </c>
      <c r="W74" s="132">
        <v>0</v>
      </c>
      <c r="X74" s="132">
        <f t="shared" si="28"/>
        <v>9930869.1</v>
      </c>
      <c r="Y74" s="171">
        <v>0</v>
      </c>
      <c r="Z74" s="132">
        <f t="shared" si="29"/>
        <v>9930869.1</v>
      </c>
    </row>
    <row r="75" spans="1:26" ht="12.75" hidden="1" outlineLevel="1">
      <c r="A75" s="132" t="s">
        <v>1597</v>
      </c>
      <c r="C75" s="171" t="s">
        <v>1598</v>
      </c>
      <c r="D75" s="171" t="s">
        <v>1599</v>
      </c>
      <c r="E75" s="132">
        <v>0</v>
      </c>
      <c r="F75" s="132">
        <v>28890161.951</v>
      </c>
      <c r="G75" s="171">
        <f t="shared" si="23"/>
        <v>28890161.951</v>
      </c>
      <c r="H75" s="132">
        <v>6133806.903</v>
      </c>
      <c r="I75" s="132">
        <v>0</v>
      </c>
      <c r="J75" s="132">
        <v>0</v>
      </c>
      <c r="K75" s="132">
        <v>0</v>
      </c>
      <c r="L75" s="132">
        <f t="shared" si="24"/>
        <v>0</v>
      </c>
      <c r="M75" s="132">
        <v>0</v>
      </c>
      <c r="N75" s="132">
        <v>0</v>
      </c>
      <c r="O75" s="132">
        <v>0</v>
      </c>
      <c r="P75" s="132">
        <f t="shared" si="25"/>
        <v>0</v>
      </c>
      <c r="Q75" s="171">
        <v>0</v>
      </c>
      <c r="R75" s="171">
        <v>0</v>
      </c>
      <c r="S75" s="171">
        <v>0</v>
      </c>
      <c r="T75" s="171">
        <v>0</v>
      </c>
      <c r="U75" s="171">
        <f t="shared" si="26"/>
        <v>0</v>
      </c>
      <c r="V75" s="171">
        <f t="shared" si="27"/>
        <v>35023968.854</v>
      </c>
      <c r="W75" s="132">
        <v>0</v>
      </c>
      <c r="X75" s="132">
        <f t="shared" si="28"/>
        <v>35023968.854</v>
      </c>
      <c r="Y75" s="171">
        <v>0</v>
      </c>
      <c r="Z75" s="132">
        <f t="shared" si="29"/>
        <v>35023968.854</v>
      </c>
    </row>
    <row r="76" spans="1:26" ht="12.75" hidden="1" outlineLevel="1">
      <c r="A76" s="132" t="s">
        <v>1600</v>
      </c>
      <c r="C76" s="171" t="s">
        <v>1601</v>
      </c>
      <c r="D76" s="171" t="s">
        <v>1602</v>
      </c>
      <c r="E76" s="132">
        <v>0</v>
      </c>
      <c r="F76" s="132">
        <v>3444416.242</v>
      </c>
      <c r="G76" s="171">
        <f t="shared" si="23"/>
        <v>3444416.242</v>
      </c>
      <c r="H76" s="132">
        <v>1655280.065</v>
      </c>
      <c r="I76" s="132">
        <v>0</v>
      </c>
      <c r="J76" s="132">
        <v>0</v>
      </c>
      <c r="K76" s="132">
        <v>0</v>
      </c>
      <c r="L76" s="132">
        <f t="shared" si="24"/>
        <v>0</v>
      </c>
      <c r="M76" s="132">
        <v>0</v>
      </c>
      <c r="N76" s="132">
        <v>0</v>
      </c>
      <c r="O76" s="132">
        <v>0</v>
      </c>
      <c r="P76" s="132">
        <f t="shared" si="25"/>
        <v>0</v>
      </c>
      <c r="Q76" s="171">
        <v>0</v>
      </c>
      <c r="R76" s="171">
        <v>0</v>
      </c>
      <c r="S76" s="171">
        <v>0</v>
      </c>
      <c r="T76" s="171">
        <v>0</v>
      </c>
      <c r="U76" s="171">
        <f t="shared" si="26"/>
        <v>0</v>
      </c>
      <c r="V76" s="171">
        <f t="shared" si="27"/>
        <v>5099696.307</v>
      </c>
      <c r="W76" s="132">
        <v>0</v>
      </c>
      <c r="X76" s="132">
        <f t="shared" si="28"/>
        <v>5099696.307</v>
      </c>
      <c r="Y76" s="171">
        <v>1000</v>
      </c>
      <c r="Z76" s="132">
        <f t="shared" si="29"/>
        <v>5100696.307</v>
      </c>
    </row>
    <row r="77" spans="1:26" ht="12.75" hidden="1" outlineLevel="1">
      <c r="A77" s="132" t="s">
        <v>1603</v>
      </c>
      <c r="C77" s="171" t="s">
        <v>1604</v>
      </c>
      <c r="D77" s="171" t="s">
        <v>1605</v>
      </c>
      <c r="E77" s="132">
        <v>0</v>
      </c>
      <c r="F77" s="132">
        <v>18023147.17</v>
      </c>
      <c r="G77" s="171">
        <f t="shared" si="23"/>
        <v>18023147.17</v>
      </c>
      <c r="H77" s="132">
        <v>1836040.45</v>
      </c>
      <c r="I77" s="132">
        <v>0</v>
      </c>
      <c r="J77" s="132">
        <v>0</v>
      </c>
      <c r="K77" s="132">
        <v>0</v>
      </c>
      <c r="L77" s="132">
        <f t="shared" si="24"/>
        <v>0</v>
      </c>
      <c r="M77" s="132">
        <v>0</v>
      </c>
      <c r="N77" s="132">
        <v>0</v>
      </c>
      <c r="O77" s="132">
        <v>0</v>
      </c>
      <c r="P77" s="132">
        <f t="shared" si="25"/>
        <v>0</v>
      </c>
      <c r="Q77" s="171">
        <v>0</v>
      </c>
      <c r="R77" s="171">
        <v>0</v>
      </c>
      <c r="S77" s="171">
        <v>0</v>
      </c>
      <c r="T77" s="171">
        <v>0</v>
      </c>
      <c r="U77" s="171">
        <f t="shared" si="26"/>
        <v>0</v>
      </c>
      <c r="V77" s="171">
        <f t="shared" si="27"/>
        <v>19859187.62</v>
      </c>
      <c r="W77" s="132">
        <v>0</v>
      </c>
      <c r="X77" s="132">
        <f t="shared" si="28"/>
        <v>19859187.62</v>
      </c>
      <c r="Y77" s="171">
        <v>0</v>
      </c>
      <c r="Z77" s="132">
        <f t="shared" si="29"/>
        <v>19859187.62</v>
      </c>
    </row>
    <row r="78" spans="1:26" ht="12.75" hidden="1" outlineLevel="1">
      <c r="A78" s="132" t="s">
        <v>1606</v>
      </c>
      <c r="C78" s="171" t="s">
        <v>1607</v>
      </c>
      <c r="D78" s="171" t="s">
        <v>1608</v>
      </c>
      <c r="E78" s="132">
        <v>0</v>
      </c>
      <c r="F78" s="132">
        <v>11120452.528</v>
      </c>
      <c r="G78" s="171">
        <f t="shared" si="23"/>
        <v>11120452.528</v>
      </c>
      <c r="H78" s="132">
        <v>2311909.498</v>
      </c>
      <c r="I78" s="132">
        <v>0</v>
      </c>
      <c r="J78" s="132">
        <v>0</v>
      </c>
      <c r="K78" s="132">
        <v>0</v>
      </c>
      <c r="L78" s="132">
        <f t="shared" si="24"/>
        <v>0</v>
      </c>
      <c r="M78" s="132">
        <v>0</v>
      </c>
      <c r="N78" s="132">
        <v>0</v>
      </c>
      <c r="O78" s="132">
        <v>0</v>
      </c>
      <c r="P78" s="132">
        <f t="shared" si="25"/>
        <v>0</v>
      </c>
      <c r="Q78" s="171">
        <v>0</v>
      </c>
      <c r="R78" s="171">
        <v>0</v>
      </c>
      <c r="S78" s="171">
        <v>0</v>
      </c>
      <c r="T78" s="171">
        <v>0</v>
      </c>
      <c r="U78" s="171">
        <f t="shared" si="26"/>
        <v>0</v>
      </c>
      <c r="V78" s="171">
        <f t="shared" si="27"/>
        <v>13432362.026</v>
      </c>
      <c r="W78" s="132">
        <v>0</v>
      </c>
      <c r="X78" s="132">
        <f t="shared" si="28"/>
        <v>13432362.026</v>
      </c>
      <c r="Y78" s="171">
        <v>5760.52</v>
      </c>
      <c r="Z78" s="132">
        <f t="shared" si="29"/>
        <v>13438122.546</v>
      </c>
    </row>
    <row r="79" spans="1:26" ht="12.75" hidden="1" outlineLevel="1">
      <c r="A79" s="132" t="s">
        <v>1609</v>
      </c>
      <c r="C79" s="171" t="s">
        <v>1610</v>
      </c>
      <c r="D79" s="171" t="s">
        <v>1611</v>
      </c>
      <c r="E79" s="132">
        <v>-0.001</v>
      </c>
      <c r="F79" s="132">
        <v>4212445.056999999</v>
      </c>
      <c r="G79" s="171">
        <f t="shared" si="23"/>
        <v>4212445.055999999</v>
      </c>
      <c r="H79" s="132">
        <v>280102.69100000005</v>
      </c>
      <c r="I79" s="132">
        <v>0</v>
      </c>
      <c r="J79" s="132">
        <v>0</v>
      </c>
      <c r="K79" s="132">
        <v>0</v>
      </c>
      <c r="L79" s="132">
        <f t="shared" si="24"/>
        <v>0</v>
      </c>
      <c r="M79" s="132">
        <v>0</v>
      </c>
      <c r="N79" s="132">
        <v>0</v>
      </c>
      <c r="O79" s="132">
        <v>0</v>
      </c>
      <c r="P79" s="132">
        <f t="shared" si="25"/>
        <v>0</v>
      </c>
      <c r="Q79" s="171">
        <v>0</v>
      </c>
      <c r="R79" s="171">
        <v>0</v>
      </c>
      <c r="S79" s="171">
        <v>0</v>
      </c>
      <c r="T79" s="171">
        <v>0</v>
      </c>
      <c r="U79" s="171">
        <f t="shared" si="26"/>
        <v>0</v>
      </c>
      <c r="V79" s="171">
        <f t="shared" si="27"/>
        <v>4492547.746999999</v>
      </c>
      <c r="W79" s="132">
        <v>0</v>
      </c>
      <c r="X79" s="132">
        <f t="shared" si="28"/>
        <v>4492547.746999999</v>
      </c>
      <c r="Y79" s="171">
        <v>0</v>
      </c>
      <c r="Z79" s="132">
        <f t="shared" si="29"/>
        <v>4492547.746999999</v>
      </c>
    </row>
    <row r="80" spans="1:26" ht="12.75" hidden="1" outlineLevel="1">
      <c r="A80" s="132" t="s">
        <v>1612</v>
      </c>
      <c r="C80" s="171" t="s">
        <v>1613</v>
      </c>
      <c r="D80" s="171" t="s">
        <v>1614</v>
      </c>
      <c r="E80" s="132">
        <v>0.003</v>
      </c>
      <c r="F80" s="132">
        <v>10056990.927000001</v>
      </c>
      <c r="G80" s="171">
        <f t="shared" si="23"/>
        <v>10056990.930000002</v>
      </c>
      <c r="H80" s="132">
        <v>779095.272</v>
      </c>
      <c r="I80" s="132">
        <v>0</v>
      </c>
      <c r="J80" s="132">
        <v>0</v>
      </c>
      <c r="K80" s="132">
        <v>0</v>
      </c>
      <c r="L80" s="132">
        <f t="shared" si="24"/>
        <v>0</v>
      </c>
      <c r="M80" s="132">
        <v>0</v>
      </c>
      <c r="N80" s="132">
        <v>0</v>
      </c>
      <c r="O80" s="132">
        <v>0</v>
      </c>
      <c r="P80" s="132">
        <f t="shared" si="25"/>
        <v>0</v>
      </c>
      <c r="Q80" s="171">
        <v>0</v>
      </c>
      <c r="R80" s="171">
        <v>0</v>
      </c>
      <c r="S80" s="171">
        <v>0</v>
      </c>
      <c r="T80" s="171">
        <v>0</v>
      </c>
      <c r="U80" s="171">
        <f t="shared" si="26"/>
        <v>0</v>
      </c>
      <c r="V80" s="171">
        <f t="shared" si="27"/>
        <v>10836086.202000001</v>
      </c>
      <c r="W80" s="132">
        <v>0</v>
      </c>
      <c r="X80" s="132">
        <f t="shared" si="28"/>
        <v>10836086.202000001</v>
      </c>
      <c r="Y80" s="171">
        <v>0</v>
      </c>
      <c r="Z80" s="132">
        <f t="shared" si="29"/>
        <v>10836086.202000001</v>
      </c>
    </row>
    <row r="81" spans="1:26" ht="12.75" hidden="1" outlineLevel="1">
      <c r="A81" s="132" t="s">
        <v>1615</v>
      </c>
      <c r="C81" s="171" t="s">
        <v>1616</v>
      </c>
      <c r="D81" s="171" t="s">
        <v>1617</v>
      </c>
      <c r="E81" s="132">
        <v>0</v>
      </c>
      <c r="F81" s="132">
        <v>3483451.216</v>
      </c>
      <c r="G81" s="171">
        <f t="shared" si="23"/>
        <v>3483451.216</v>
      </c>
      <c r="H81" s="132">
        <v>0</v>
      </c>
      <c r="I81" s="132">
        <v>0</v>
      </c>
      <c r="J81" s="132">
        <v>0</v>
      </c>
      <c r="K81" s="132">
        <v>0</v>
      </c>
      <c r="L81" s="132">
        <f t="shared" si="24"/>
        <v>0</v>
      </c>
      <c r="M81" s="132">
        <v>0</v>
      </c>
      <c r="N81" s="132">
        <v>0</v>
      </c>
      <c r="O81" s="132">
        <v>0</v>
      </c>
      <c r="P81" s="132">
        <f t="shared" si="25"/>
        <v>0</v>
      </c>
      <c r="Q81" s="171">
        <v>0</v>
      </c>
      <c r="R81" s="171">
        <v>0</v>
      </c>
      <c r="S81" s="171">
        <v>0</v>
      </c>
      <c r="T81" s="171">
        <v>0</v>
      </c>
      <c r="U81" s="171">
        <f t="shared" si="26"/>
        <v>0</v>
      </c>
      <c r="V81" s="171">
        <f t="shared" si="27"/>
        <v>3483451.216</v>
      </c>
      <c r="W81" s="132">
        <v>0</v>
      </c>
      <c r="X81" s="132">
        <f t="shared" si="28"/>
        <v>3483451.216</v>
      </c>
      <c r="Y81" s="171">
        <v>0</v>
      </c>
      <c r="Z81" s="132">
        <f t="shared" si="29"/>
        <v>3483451.216</v>
      </c>
    </row>
    <row r="82" spans="1:26" ht="12.75" hidden="1" outlineLevel="1">
      <c r="A82" s="132" t="s">
        <v>1618</v>
      </c>
      <c r="C82" s="171" t="s">
        <v>1619</v>
      </c>
      <c r="D82" s="171" t="s">
        <v>1620</v>
      </c>
      <c r="E82" s="132">
        <v>-0.002</v>
      </c>
      <c r="F82" s="132">
        <v>4958577.691999999</v>
      </c>
      <c r="G82" s="171">
        <f t="shared" si="23"/>
        <v>4958577.689999999</v>
      </c>
      <c r="H82" s="132">
        <v>63504.121</v>
      </c>
      <c r="I82" s="132">
        <v>0</v>
      </c>
      <c r="J82" s="132">
        <v>0</v>
      </c>
      <c r="K82" s="132">
        <v>0</v>
      </c>
      <c r="L82" s="132">
        <f t="shared" si="24"/>
        <v>0</v>
      </c>
      <c r="M82" s="132">
        <v>0</v>
      </c>
      <c r="N82" s="132">
        <v>0</v>
      </c>
      <c r="O82" s="132">
        <v>0</v>
      </c>
      <c r="P82" s="132">
        <f t="shared" si="25"/>
        <v>0</v>
      </c>
      <c r="Q82" s="171">
        <v>0</v>
      </c>
      <c r="R82" s="171">
        <v>0</v>
      </c>
      <c r="S82" s="171">
        <v>0</v>
      </c>
      <c r="T82" s="171">
        <v>0</v>
      </c>
      <c r="U82" s="171">
        <f t="shared" si="26"/>
        <v>0</v>
      </c>
      <c r="V82" s="171">
        <f t="shared" si="27"/>
        <v>5022081.810999999</v>
      </c>
      <c r="W82" s="132">
        <v>0</v>
      </c>
      <c r="X82" s="132">
        <f t="shared" si="28"/>
        <v>5022081.810999999</v>
      </c>
      <c r="Y82" s="171">
        <v>0</v>
      </c>
      <c r="Z82" s="132">
        <f t="shared" si="29"/>
        <v>5022081.810999999</v>
      </c>
    </row>
    <row r="83" spans="1:26" ht="12.75" hidden="1" outlineLevel="1">
      <c r="A83" s="132" t="s">
        <v>1621</v>
      </c>
      <c r="C83" s="171" t="s">
        <v>1622</v>
      </c>
      <c r="D83" s="171" t="s">
        <v>1623</v>
      </c>
      <c r="E83" s="132">
        <v>0</v>
      </c>
      <c r="F83" s="132">
        <v>1818962.0050000001</v>
      </c>
      <c r="G83" s="171">
        <f t="shared" si="23"/>
        <v>1818962.0050000001</v>
      </c>
      <c r="H83" s="132">
        <v>1634876.719</v>
      </c>
      <c r="I83" s="132">
        <v>0</v>
      </c>
      <c r="J83" s="132">
        <v>0</v>
      </c>
      <c r="K83" s="132">
        <v>0</v>
      </c>
      <c r="L83" s="132">
        <f t="shared" si="24"/>
        <v>0</v>
      </c>
      <c r="M83" s="132">
        <v>0</v>
      </c>
      <c r="N83" s="132">
        <v>0</v>
      </c>
      <c r="O83" s="132">
        <v>0</v>
      </c>
      <c r="P83" s="132">
        <f t="shared" si="25"/>
        <v>0</v>
      </c>
      <c r="Q83" s="171">
        <v>0</v>
      </c>
      <c r="R83" s="171">
        <v>0</v>
      </c>
      <c r="S83" s="171">
        <v>0</v>
      </c>
      <c r="T83" s="171">
        <v>0</v>
      </c>
      <c r="U83" s="171">
        <f t="shared" si="26"/>
        <v>0</v>
      </c>
      <c r="V83" s="171">
        <f t="shared" si="27"/>
        <v>3453838.7240000004</v>
      </c>
      <c r="W83" s="132">
        <v>0</v>
      </c>
      <c r="X83" s="132">
        <f t="shared" si="28"/>
        <v>3453838.7240000004</v>
      </c>
      <c r="Y83" s="171">
        <v>0</v>
      </c>
      <c r="Z83" s="132">
        <f t="shared" si="29"/>
        <v>3453838.7240000004</v>
      </c>
    </row>
    <row r="84" spans="1:26" ht="12.75" hidden="1" outlineLevel="1">
      <c r="A84" s="132" t="s">
        <v>1624</v>
      </c>
      <c r="C84" s="171" t="s">
        <v>1625</v>
      </c>
      <c r="D84" s="171" t="s">
        <v>1626</v>
      </c>
      <c r="E84" s="132">
        <v>0</v>
      </c>
      <c r="F84" s="132">
        <v>1603.9</v>
      </c>
      <c r="G84" s="171">
        <f t="shared" si="23"/>
        <v>1603.9</v>
      </c>
      <c r="H84" s="132">
        <v>1819.89</v>
      </c>
      <c r="I84" s="132">
        <v>0</v>
      </c>
      <c r="J84" s="132">
        <v>0</v>
      </c>
      <c r="K84" s="132">
        <v>0</v>
      </c>
      <c r="L84" s="132">
        <f t="shared" si="24"/>
        <v>0</v>
      </c>
      <c r="M84" s="132">
        <v>0</v>
      </c>
      <c r="N84" s="132">
        <v>0</v>
      </c>
      <c r="O84" s="132">
        <v>0</v>
      </c>
      <c r="P84" s="132">
        <f t="shared" si="25"/>
        <v>0</v>
      </c>
      <c r="Q84" s="171">
        <v>0</v>
      </c>
      <c r="R84" s="171">
        <v>0</v>
      </c>
      <c r="S84" s="171">
        <v>0</v>
      </c>
      <c r="T84" s="171">
        <v>0</v>
      </c>
      <c r="U84" s="171">
        <f t="shared" si="26"/>
        <v>0</v>
      </c>
      <c r="V84" s="171">
        <f t="shared" si="27"/>
        <v>3423.79</v>
      </c>
      <c r="W84" s="132">
        <v>0</v>
      </c>
      <c r="X84" s="132">
        <f t="shared" si="28"/>
        <v>3423.79</v>
      </c>
      <c r="Y84" s="171">
        <v>0</v>
      </c>
      <c r="Z84" s="132">
        <f t="shared" si="29"/>
        <v>3423.79</v>
      </c>
    </row>
    <row r="85" spans="1:26" ht="12.75" hidden="1" outlineLevel="1">
      <c r="A85" s="132" t="s">
        <v>1627</v>
      </c>
      <c r="C85" s="171" t="s">
        <v>1628</v>
      </c>
      <c r="D85" s="171" t="s">
        <v>1629</v>
      </c>
      <c r="E85" s="132">
        <v>-6054.3</v>
      </c>
      <c r="F85" s="132">
        <v>68261.19</v>
      </c>
      <c r="G85" s="171">
        <f t="shared" si="23"/>
        <v>62206.89</v>
      </c>
      <c r="H85" s="132">
        <v>5714.24</v>
      </c>
      <c r="I85" s="132">
        <v>0</v>
      </c>
      <c r="J85" s="132">
        <v>0</v>
      </c>
      <c r="K85" s="132">
        <v>0</v>
      </c>
      <c r="L85" s="132">
        <f t="shared" si="24"/>
        <v>0</v>
      </c>
      <c r="M85" s="132">
        <v>0</v>
      </c>
      <c r="N85" s="132">
        <v>0</v>
      </c>
      <c r="O85" s="132">
        <v>0</v>
      </c>
      <c r="P85" s="132">
        <f t="shared" si="25"/>
        <v>0</v>
      </c>
      <c r="Q85" s="171">
        <v>0</v>
      </c>
      <c r="R85" s="171">
        <v>0</v>
      </c>
      <c r="S85" s="171">
        <v>0</v>
      </c>
      <c r="T85" s="171">
        <v>0</v>
      </c>
      <c r="U85" s="171">
        <f t="shared" si="26"/>
        <v>0</v>
      </c>
      <c r="V85" s="171">
        <f t="shared" si="27"/>
        <v>67921.13</v>
      </c>
      <c r="W85" s="132">
        <v>0</v>
      </c>
      <c r="X85" s="132">
        <f t="shared" si="28"/>
        <v>67921.13</v>
      </c>
      <c r="Y85" s="171">
        <v>17.58</v>
      </c>
      <c r="Z85" s="132">
        <f t="shared" si="29"/>
        <v>67938.71</v>
      </c>
    </row>
    <row r="86" spans="1:26" ht="12.75" hidden="1" outlineLevel="1">
      <c r="A86" s="132" t="s">
        <v>1630</v>
      </c>
      <c r="C86" s="171" t="s">
        <v>1631</v>
      </c>
      <c r="D86" s="171" t="s">
        <v>1632</v>
      </c>
      <c r="E86" s="132">
        <v>0</v>
      </c>
      <c r="F86" s="132">
        <v>5444794.92</v>
      </c>
      <c r="G86" s="171">
        <f t="shared" si="23"/>
        <v>5444794.92</v>
      </c>
      <c r="H86" s="132">
        <v>838830.54</v>
      </c>
      <c r="I86" s="132">
        <v>0</v>
      </c>
      <c r="J86" s="132">
        <v>0</v>
      </c>
      <c r="K86" s="132">
        <v>0</v>
      </c>
      <c r="L86" s="132">
        <f t="shared" si="24"/>
        <v>0</v>
      </c>
      <c r="M86" s="132">
        <v>0</v>
      </c>
      <c r="N86" s="132">
        <v>0</v>
      </c>
      <c r="O86" s="132">
        <v>0</v>
      </c>
      <c r="P86" s="132">
        <f t="shared" si="25"/>
        <v>0</v>
      </c>
      <c r="Q86" s="171">
        <v>0</v>
      </c>
      <c r="R86" s="171">
        <v>0</v>
      </c>
      <c r="S86" s="171">
        <v>0</v>
      </c>
      <c r="T86" s="171">
        <v>0</v>
      </c>
      <c r="U86" s="171">
        <f t="shared" si="26"/>
        <v>0</v>
      </c>
      <c r="V86" s="171">
        <f t="shared" si="27"/>
        <v>6283625.46</v>
      </c>
      <c r="W86" s="132">
        <v>0</v>
      </c>
      <c r="X86" s="132">
        <f t="shared" si="28"/>
        <v>6283625.46</v>
      </c>
      <c r="Y86" s="171">
        <v>0</v>
      </c>
      <c r="Z86" s="132">
        <f t="shared" si="29"/>
        <v>6283625.46</v>
      </c>
    </row>
    <row r="87" spans="1:26" ht="12.75" hidden="1" outlineLevel="1">
      <c r="A87" s="132" t="s">
        <v>196</v>
      </c>
      <c r="C87" s="171" t="s">
        <v>197</v>
      </c>
      <c r="D87" s="171" t="s">
        <v>198</v>
      </c>
      <c r="E87" s="132">
        <v>0</v>
      </c>
      <c r="F87" s="132">
        <v>2516</v>
      </c>
      <c r="G87" s="171">
        <f t="shared" si="23"/>
        <v>2516</v>
      </c>
      <c r="H87" s="132">
        <v>0</v>
      </c>
      <c r="I87" s="132">
        <v>0</v>
      </c>
      <c r="J87" s="132">
        <v>0</v>
      </c>
      <c r="K87" s="132">
        <v>0</v>
      </c>
      <c r="L87" s="132">
        <f t="shared" si="24"/>
        <v>0</v>
      </c>
      <c r="M87" s="132">
        <v>0</v>
      </c>
      <c r="N87" s="132">
        <v>0</v>
      </c>
      <c r="O87" s="132">
        <v>0</v>
      </c>
      <c r="P87" s="132">
        <f t="shared" si="25"/>
        <v>0</v>
      </c>
      <c r="Q87" s="171">
        <v>0</v>
      </c>
      <c r="R87" s="171">
        <v>0</v>
      </c>
      <c r="S87" s="171">
        <v>0</v>
      </c>
      <c r="T87" s="171">
        <v>0</v>
      </c>
      <c r="U87" s="171">
        <f t="shared" si="26"/>
        <v>0</v>
      </c>
      <c r="V87" s="171">
        <f t="shared" si="27"/>
        <v>2516</v>
      </c>
      <c r="W87" s="132">
        <v>0</v>
      </c>
      <c r="X87" s="132">
        <f t="shared" si="28"/>
        <v>2516</v>
      </c>
      <c r="Y87" s="171">
        <v>0</v>
      </c>
      <c r="Z87" s="132">
        <f t="shared" si="29"/>
        <v>2516</v>
      </c>
    </row>
    <row r="88" spans="1:27" ht="12.75" collapsed="1">
      <c r="A88" s="150" t="s">
        <v>1633</v>
      </c>
      <c r="B88" s="148"/>
      <c r="C88" s="150" t="s">
        <v>3844</v>
      </c>
      <c r="D88" s="157"/>
      <c r="E88" s="155">
        <v>-6054.3</v>
      </c>
      <c r="F88" s="155">
        <v>134360968.41799995</v>
      </c>
      <c r="G88" s="117">
        <f t="shared" si="23"/>
        <v>134354914.11799994</v>
      </c>
      <c r="H88" s="117">
        <v>21130739.419</v>
      </c>
      <c r="I88" s="117">
        <v>0</v>
      </c>
      <c r="J88" s="117">
        <v>0</v>
      </c>
      <c r="K88" s="117">
        <v>0</v>
      </c>
      <c r="L88" s="117">
        <f t="shared" si="24"/>
        <v>0</v>
      </c>
      <c r="M88" s="117">
        <v>0</v>
      </c>
      <c r="N88" s="117">
        <v>0</v>
      </c>
      <c r="O88" s="117">
        <v>0</v>
      </c>
      <c r="P88" s="117">
        <f t="shared" si="25"/>
        <v>0</v>
      </c>
      <c r="Q88" s="117">
        <v>0</v>
      </c>
      <c r="R88" s="117">
        <v>0</v>
      </c>
      <c r="S88" s="117">
        <v>0</v>
      </c>
      <c r="T88" s="117">
        <v>0</v>
      </c>
      <c r="U88" s="117">
        <f t="shared" si="26"/>
        <v>0</v>
      </c>
      <c r="V88" s="117">
        <f t="shared" si="27"/>
        <v>155485653.53699994</v>
      </c>
      <c r="W88" s="117">
        <v>0</v>
      </c>
      <c r="X88" s="117">
        <f t="shared" si="28"/>
        <v>155485653.53699994</v>
      </c>
      <c r="Y88" s="117">
        <v>119069.74</v>
      </c>
      <c r="Z88" s="117">
        <f t="shared" si="29"/>
        <v>155604723.27699995</v>
      </c>
      <c r="AA88" s="150"/>
    </row>
    <row r="89" spans="1:26" ht="12.75" hidden="1" outlineLevel="1">
      <c r="A89" s="132" t="s">
        <v>1634</v>
      </c>
      <c r="C89" s="171" t="s">
        <v>1635</v>
      </c>
      <c r="D89" s="171" t="s">
        <v>1636</v>
      </c>
      <c r="E89" s="132">
        <v>0</v>
      </c>
      <c r="F89" s="132">
        <v>9444359.700000001</v>
      </c>
      <c r="G89" s="171">
        <f t="shared" si="23"/>
        <v>9444359.700000001</v>
      </c>
      <c r="H89" s="132">
        <v>1225140.25</v>
      </c>
      <c r="I89" s="132">
        <v>0</v>
      </c>
      <c r="J89" s="132">
        <v>0</v>
      </c>
      <c r="K89" s="132">
        <v>0</v>
      </c>
      <c r="L89" s="132">
        <f t="shared" si="24"/>
        <v>0</v>
      </c>
      <c r="M89" s="132">
        <v>0</v>
      </c>
      <c r="N89" s="132">
        <v>0</v>
      </c>
      <c r="O89" s="132">
        <v>0</v>
      </c>
      <c r="P89" s="132">
        <f t="shared" si="25"/>
        <v>0</v>
      </c>
      <c r="Q89" s="171">
        <v>0</v>
      </c>
      <c r="R89" s="171">
        <v>0</v>
      </c>
      <c r="S89" s="171">
        <v>0</v>
      </c>
      <c r="T89" s="171">
        <v>0</v>
      </c>
      <c r="U89" s="171">
        <f t="shared" si="26"/>
        <v>0</v>
      </c>
      <c r="V89" s="171">
        <f t="shared" si="27"/>
        <v>10669499.950000001</v>
      </c>
      <c r="W89" s="132">
        <v>0</v>
      </c>
      <c r="X89" s="132">
        <f t="shared" si="28"/>
        <v>10669499.950000001</v>
      </c>
      <c r="Y89" s="171">
        <v>28418.3</v>
      </c>
      <c r="Z89" s="132">
        <f t="shared" si="29"/>
        <v>10697918.250000002</v>
      </c>
    </row>
    <row r="90" spans="1:26" ht="12.75" hidden="1" outlineLevel="1">
      <c r="A90" s="132" t="s">
        <v>1637</v>
      </c>
      <c r="C90" s="171" t="s">
        <v>1638</v>
      </c>
      <c r="D90" s="171" t="s">
        <v>1639</v>
      </c>
      <c r="E90" s="132">
        <v>0</v>
      </c>
      <c r="F90" s="132">
        <v>2272485.34</v>
      </c>
      <c r="G90" s="171">
        <f t="shared" si="23"/>
        <v>2272485.34</v>
      </c>
      <c r="H90" s="132">
        <v>209008.943</v>
      </c>
      <c r="I90" s="132">
        <v>0</v>
      </c>
      <c r="J90" s="132">
        <v>0</v>
      </c>
      <c r="K90" s="132">
        <v>0</v>
      </c>
      <c r="L90" s="132">
        <f t="shared" si="24"/>
        <v>0</v>
      </c>
      <c r="M90" s="132">
        <v>0</v>
      </c>
      <c r="N90" s="132">
        <v>0</v>
      </c>
      <c r="O90" s="132">
        <v>0</v>
      </c>
      <c r="P90" s="132">
        <f t="shared" si="25"/>
        <v>0</v>
      </c>
      <c r="Q90" s="171">
        <v>0</v>
      </c>
      <c r="R90" s="171">
        <v>0</v>
      </c>
      <c r="S90" s="171">
        <v>0</v>
      </c>
      <c r="T90" s="171">
        <v>0</v>
      </c>
      <c r="U90" s="171">
        <f t="shared" si="26"/>
        <v>0</v>
      </c>
      <c r="V90" s="171">
        <f t="shared" si="27"/>
        <v>2481494.283</v>
      </c>
      <c r="W90" s="132">
        <v>0</v>
      </c>
      <c r="X90" s="132">
        <f t="shared" si="28"/>
        <v>2481494.283</v>
      </c>
      <c r="Y90" s="171">
        <v>0</v>
      </c>
      <c r="Z90" s="132">
        <f t="shared" si="29"/>
        <v>2481494.283</v>
      </c>
    </row>
    <row r="91" spans="1:26" ht="12.75" hidden="1" outlineLevel="1">
      <c r="A91" s="132" t="s">
        <v>1640</v>
      </c>
      <c r="C91" s="171" t="s">
        <v>1641</v>
      </c>
      <c r="D91" s="171" t="s">
        <v>1642</v>
      </c>
      <c r="E91" s="132">
        <v>0</v>
      </c>
      <c r="F91" s="132">
        <v>5860592.875999999</v>
      </c>
      <c r="G91" s="171">
        <f t="shared" si="23"/>
        <v>5860592.875999999</v>
      </c>
      <c r="H91" s="132">
        <v>1560509.061</v>
      </c>
      <c r="I91" s="132">
        <v>0</v>
      </c>
      <c r="J91" s="132">
        <v>0</v>
      </c>
      <c r="K91" s="132">
        <v>0</v>
      </c>
      <c r="L91" s="132">
        <f t="shared" si="24"/>
        <v>0</v>
      </c>
      <c r="M91" s="132">
        <v>0</v>
      </c>
      <c r="N91" s="132">
        <v>0</v>
      </c>
      <c r="O91" s="132">
        <v>0</v>
      </c>
      <c r="P91" s="132">
        <f t="shared" si="25"/>
        <v>0</v>
      </c>
      <c r="Q91" s="171">
        <v>0</v>
      </c>
      <c r="R91" s="171">
        <v>0</v>
      </c>
      <c r="S91" s="171">
        <v>0</v>
      </c>
      <c r="T91" s="171">
        <v>0</v>
      </c>
      <c r="U91" s="171">
        <f t="shared" si="26"/>
        <v>0</v>
      </c>
      <c r="V91" s="171">
        <f t="shared" si="27"/>
        <v>7421101.936999999</v>
      </c>
      <c r="W91" s="132">
        <v>0</v>
      </c>
      <c r="X91" s="132">
        <f t="shared" si="28"/>
        <v>7421101.936999999</v>
      </c>
      <c r="Y91" s="171">
        <v>0</v>
      </c>
      <c r="Z91" s="132">
        <f t="shared" si="29"/>
        <v>7421101.936999999</v>
      </c>
    </row>
    <row r="92" spans="1:26" ht="12.75" hidden="1" outlineLevel="1">
      <c r="A92" s="132" t="s">
        <v>1643</v>
      </c>
      <c r="C92" s="171" t="s">
        <v>1644</v>
      </c>
      <c r="D92" s="171" t="s">
        <v>1645</v>
      </c>
      <c r="E92" s="132">
        <v>0</v>
      </c>
      <c r="F92" s="132">
        <v>32123.019000000004</v>
      </c>
      <c r="G92" s="171">
        <f t="shared" si="23"/>
        <v>32123.019000000004</v>
      </c>
      <c r="H92" s="132">
        <v>18264.89</v>
      </c>
      <c r="I92" s="132">
        <v>0</v>
      </c>
      <c r="J92" s="132">
        <v>0</v>
      </c>
      <c r="K92" s="132">
        <v>0</v>
      </c>
      <c r="L92" s="132">
        <f t="shared" si="24"/>
        <v>0</v>
      </c>
      <c r="M92" s="132">
        <v>0</v>
      </c>
      <c r="N92" s="132">
        <v>0</v>
      </c>
      <c r="O92" s="132">
        <v>0</v>
      </c>
      <c r="P92" s="132">
        <f t="shared" si="25"/>
        <v>0</v>
      </c>
      <c r="Q92" s="171">
        <v>0</v>
      </c>
      <c r="R92" s="171">
        <v>0</v>
      </c>
      <c r="S92" s="171">
        <v>0</v>
      </c>
      <c r="T92" s="171">
        <v>0</v>
      </c>
      <c r="U92" s="171">
        <f t="shared" si="26"/>
        <v>0</v>
      </c>
      <c r="V92" s="171">
        <f t="shared" si="27"/>
        <v>50387.909</v>
      </c>
      <c r="W92" s="132">
        <v>0</v>
      </c>
      <c r="X92" s="132">
        <f t="shared" si="28"/>
        <v>50387.909</v>
      </c>
      <c r="Y92" s="171">
        <v>0</v>
      </c>
      <c r="Z92" s="132">
        <f t="shared" si="29"/>
        <v>50387.909</v>
      </c>
    </row>
    <row r="93" spans="1:26" ht="12.75" hidden="1" outlineLevel="1">
      <c r="A93" s="132" t="s">
        <v>1646</v>
      </c>
      <c r="C93" s="171" t="s">
        <v>1647</v>
      </c>
      <c r="D93" s="171" t="s">
        <v>1648</v>
      </c>
      <c r="E93" s="132">
        <v>0</v>
      </c>
      <c r="F93" s="132">
        <v>5078997.228</v>
      </c>
      <c r="G93" s="171">
        <f t="shared" si="23"/>
        <v>5078997.228</v>
      </c>
      <c r="H93" s="132">
        <v>507695.99</v>
      </c>
      <c r="I93" s="132">
        <v>0</v>
      </c>
      <c r="J93" s="132">
        <v>0</v>
      </c>
      <c r="K93" s="132">
        <v>0</v>
      </c>
      <c r="L93" s="132">
        <f t="shared" si="24"/>
        <v>0</v>
      </c>
      <c r="M93" s="132">
        <v>0</v>
      </c>
      <c r="N93" s="132">
        <v>0</v>
      </c>
      <c r="O93" s="132">
        <v>0</v>
      </c>
      <c r="P93" s="132">
        <f t="shared" si="25"/>
        <v>0</v>
      </c>
      <c r="Q93" s="171">
        <v>0</v>
      </c>
      <c r="R93" s="171">
        <v>0</v>
      </c>
      <c r="S93" s="171">
        <v>0</v>
      </c>
      <c r="T93" s="171">
        <v>0</v>
      </c>
      <c r="U93" s="171">
        <f t="shared" si="26"/>
        <v>0</v>
      </c>
      <c r="V93" s="171">
        <f t="shared" si="27"/>
        <v>5586693.218</v>
      </c>
      <c r="W93" s="132">
        <v>0</v>
      </c>
      <c r="X93" s="132">
        <f t="shared" si="28"/>
        <v>5586693.218</v>
      </c>
      <c r="Y93" s="171">
        <v>0</v>
      </c>
      <c r="Z93" s="132">
        <f t="shared" si="29"/>
        <v>5586693.218</v>
      </c>
    </row>
    <row r="94" spans="1:26" ht="12.75" hidden="1" outlineLevel="1">
      <c r="A94" s="132" t="s">
        <v>1649</v>
      </c>
      <c r="C94" s="171" t="s">
        <v>1650</v>
      </c>
      <c r="D94" s="171" t="s">
        <v>1651</v>
      </c>
      <c r="E94" s="132">
        <v>0</v>
      </c>
      <c r="F94" s="132">
        <v>3094394.2619999996</v>
      </c>
      <c r="G94" s="171">
        <f t="shared" si="23"/>
        <v>3094394.2619999996</v>
      </c>
      <c r="H94" s="132">
        <v>624322.398</v>
      </c>
      <c r="I94" s="132">
        <v>0</v>
      </c>
      <c r="J94" s="132">
        <v>0</v>
      </c>
      <c r="K94" s="132">
        <v>0</v>
      </c>
      <c r="L94" s="132">
        <f t="shared" si="24"/>
        <v>0</v>
      </c>
      <c r="M94" s="132">
        <v>0</v>
      </c>
      <c r="N94" s="132">
        <v>0</v>
      </c>
      <c r="O94" s="132">
        <v>0</v>
      </c>
      <c r="P94" s="132">
        <f t="shared" si="25"/>
        <v>0</v>
      </c>
      <c r="Q94" s="171">
        <v>0</v>
      </c>
      <c r="R94" s="171">
        <v>0</v>
      </c>
      <c r="S94" s="171">
        <v>0</v>
      </c>
      <c r="T94" s="171">
        <v>0</v>
      </c>
      <c r="U94" s="171">
        <f t="shared" si="26"/>
        <v>0</v>
      </c>
      <c r="V94" s="171">
        <f t="shared" si="27"/>
        <v>3718716.6599999997</v>
      </c>
      <c r="W94" s="132">
        <v>0</v>
      </c>
      <c r="X94" s="132">
        <f t="shared" si="28"/>
        <v>3718716.6599999997</v>
      </c>
      <c r="Y94" s="171">
        <v>1677.06</v>
      </c>
      <c r="Z94" s="132">
        <f t="shared" si="29"/>
        <v>3720393.7199999997</v>
      </c>
    </row>
    <row r="95" spans="1:26" ht="12.75" hidden="1" outlineLevel="1">
      <c r="A95" s="132" t="s">
        <v>1652</v>
      </c>
      <c r="C95" s="171" t="s">
        <v>1653</v>
      </c>
      <c r="D95" s="171" t="s">
        <v>1654</v>
      </c>
      <c r="E95" s="132">
        <v>0.001</v>
      </c>
      <c r="F95" s="132">
        <v>1133297.4340000001</v>
      </c>
      <c r="G95" s="171">
        <f t="shared" si="23"/>
        <v>1133297.435</v>
      </c>
      <c r="H95" s="132">
        <v>51621.655</v>
      </c>
      <c r="I95" s="132">
        <v>0</v>
      </c>
      <c r="J95" s="132">
        <v>0</v>
      </c>
      <c r="K95" s="132">
        <v>0</v>
      </c>
      <c r="L95" s="132">
        <f t="shared" si="24"/>
        <v>0</v>
      </c>
      <c r="M95" s="132">
        <v>0</v>
      </c>
      <c r="N95" s="132">
        <v>0</v>
      </c>
      <c r="O95" s="132">
        <v>0</v>
      </c>
      <c r="P95" s="132">
        <f t="shared" si="25"/>
        <v>0</v>
      </c>
      <c r="Q95" s="171">
        <v>0</v>
      </c>
      <c r="R95" s="171">
        <v>0</v>
      </c>
      <c r="S95" s="171">
        <v>0</v>
      </c>
      <c r="T95" s="171">
        <v>0</v>
      </c>
      <c r="U95" s="171">
        <f t="shared" si="26"/>
        <v>0</v>
      </c>
      <c r="V95" s="171">
        <f t="shared" si="27"/>
        <v>1184919.09</v>
      </c>
      <c r="W95" s="132">
        <v>0</v>
      </c>
      <c r="X95" s="132">
        <f t="shared" si="28"/>
        <v>1184919.09</v>
      </c>
      <c r="Y95" s="171">
        <v>0</v>
      </c>
      <c r="Z95" s="132">
        <f t="shared" si="29"/>
        <v>1184919.09</v>
      </c>
    </row>
    <row r="96" spans="1:26" ht="12.75" hidden="1" outlineLevel="1">
      <c r="A96" s="132" t="s">
        <v>1655</v>
      </c>
      <c r="C96" s="171" t="s">
        <v>1656</v>
      </c>
      <c r="D96" s="171" t="s">
        <v>1657</v>
      </c>
      <c r="E96" s="132">
        <v>0.001</v>
      </c>
      <c r="F96" s="132">
        <v>2825220.457</v>
      </c>
      <c r="G96" s="171">
        <f t="shared" si="23"/>
        <v>2825220.458</v>
      </c>
      <c r="H96" s="132">
        <v>194905.98100000003</v>
      </c>
      <c r="I96" s="132">
        <v>0</v>
      </c>
      <c r="J96" s="132">
        <v>0</v>
      </c>
      <c r="K96" s="132">
        <v>0</v>
      </c>
      <c r="L96" s="132">
        <f t="shared" si="24"/>
        <v>0</v>
      </c>
      <c r="M96" s="132">
        <v>0</v>
      </c>
      <c r="N96" s="132">
        <v>0</v>
      </c>
      <c r="O96" s="132">
        <v>0</v>
      </c>
      <c r="P96" s="132">
        <f t="shared" si="25"/>
        <v>0</v>
      </c>
      <c r="Q96" s="171">
        <v>0</v>
      </c>
      <c r="R96" s="171">
        <v>0</v>
      </c>
      <c r="S96" s="171">
        <v>0</v>
      </c>
      <c r="T96" s="171">
        <v>0</v>
      </c>
      <c r="U96" s="171">
        <f t="shared" si="26"/>
        <v>0</v>
      </c>
      <c r="V96" s="171">
        <f t="shared" si="27"/>
        <v>3020126.4390000002</v>
      </c>
      <c r="W96" s="132">
        <v>0</v>
      </c>
      <c r="X96" s="132">
        <f t="shared" si="28"/>
        <v>3020126.4390000002</v>
      </c>
      <c r="Y96" s="171">
        <v>0</v>
      </c>
      <c r="Z96" s="132">
        <f t="shared" si="29"/>
        <v>3020126.4390000002</v>
      </c>
    </row>
    <row r="97" spans="1:26" ht="12.75" hidden="1" outlineLevel="1">
      <c r="A97" s="132" t="s">
        <v>1658</v>
      </c>
      <c r="C97" s="171" t="s">
        <v>1659</v>
      </c>
      <c r="D97" s="171" t="s">
        <v>1660</v>
      </c>
      <c r="E97" s="132">
        <v>0</v>
      </c>
      <c r="F97" s="132">
        <v>985287.143</v>
      </c>
      <c r="G97" s="171">
        <f t="shared" si="23"/>
        <v>985287.143</v>
      </c>
      <c r="H97" s="132">
        <v>0</v>
      </c>
      <c r="I97" s="132">
        <v>0</v>
      </c>
      <c r="J97" s="132">
        <v>0</v>
      </c>
      <c r="K97" s="132">
        <v>0</v>
      </c>
      <c r="L97" s="132">
        <f t="shared" si="24"/>
        <v>0</v>
      </c>
      <c r="M97" s="132">
        <v>0</v>
      </c>
      <c r="N97" s="132">
        <v>0</v>
      </c>
      <c r="O97" s="132">
        <v>0</v>
      </c>
      <c r="P97" s="132">
        <f t="shared" si="25"/>
        <v>0</v>
      </c>
      <c r="Q97" s="171">
        <v>0</v>
      </c>
      <c r="R97" s="171">
        <v>0</v>
      </c>
      <c r="S97" s="171">
        <v>0</v>
      </c>
      <c r="T97" s="171">
        <v>0</v>
      </c>
      <c r="U97" s="171">
        <f t="shared" si="26"/>
        <v>0</v>
      </c>
      <c r="V97" s="171">
        <f t="shared" si="27"/>
        <v>985287.143</v>
      </c>
      <c r="W97" s="132">
        <v>0</v>
      </c>
      <c r="X97" s="132">
        <f t="shared" si="28"/>
        <v>985287.143</v>
      </c>
      <c r="Y97" s="171">
        <v>0</v>
      </c>
      <c r="Z97" s="132">
        <f t="shared" si="29"/>
        <v>985287.143</v>
      </c>
    </row>
    <row r="98" spans="1:26" ht="12.75" hidden="1" outlineLevel="1">
      <c r="A98" s="132" t="s">
        <v>1661</v>
      </c>
      <c r="C98" s="171" t="s">
        <v>1662</v>
      </c>
      <c r="D98" s="171" t="s">
        <v>1663</v>
      </c>
      <c r="E98" s="132">
        <v>-0.004</v>
      </c>
      <c r="F98" s="132">
        <v>1292218.015</v>
      </c>
      <c r="G98" s="171">
        <f t="shared" si="23"/>
        <v>1292218.011</v>
      </c>
      <c r="H98" s="132">
        <v>3982.319</v>
      </c>
      <c r="I98" s="132">
        <v>0</v>
      </c>
      <c r="J98" s="132">
        <v>0</v>
      </c>
      <c r="K98" s="132">
        <v>0</v>
      </c>
      <c r="L98" s="132">
        <f t="shared" si="24"/>
        <v>0</v>
      </c>
      <c r="M98" s="132">
        <v>0</v>
      </c>
      <c r="N98" s="132">
        <v>0</v>
      </c>
      <c r="O98" s="132">
        <v>0</v>
      </c>
      <c r="P98" s="132">
        <f t="shared" si="25"/>
        <v>0</v>
      </c>
      <c r="Q98" s="171">
        <v>0</v>
      </c>
      <c r="R98" s="171">
        <v>0</v>
      </c>
      <c r="S98" s="171">
        <v>0</v>
      </c>
      <c r="T98" s="171">
        <v>0</v>
      </c>
      <c r="U98" s="171">
        <f t="shared" si="26"/>
        <v>0</v>
      </c>
      <c r="V98" s="171">
        <f t="shared" si="27"/>
        <v>1296200.3299999998</v>
      </c>
      <c r="W98" s="132">
        <v>0</v>
      </c>
      <c r="X98" s="132">
        <f t="shared" si="28"/>
        <v>1296200.3299999998</v>
      </c>
      <c r="Y98" s="171">
        <v>0</v>
      </c>
      <c r="Z98" s="132">
        <f t="shared" si="29"/>
        <v>1296200.3299999998</v>
      </c>
    </row>
    <row r="99" spans="1:26" ht="12.75" hidden="1" outlineLevel="1">
      <c r="A99" s="132" t="s">
        <v>1664</v>
      </c>
      <c r="C99" s="171" t="s">
        <v>1665</v>
      </c>
      <c r="D99" s="171" t="s">
        <v>1666</v>
      </c>
      <c r="E99" s="132">
        <v>0</v>
      </c>
      <c r="F99" s="132">
        <v>21810.036</v>
      </c>
      <c r="G99" s="171">
        <f t="shared" si="23"/>
        <v>21810.036</v>
      </c>
      <c r="H99" s="132">
        <v>10717.708</v>
      </c>
      <c r="I99" s="132">
        <v>0</v>
      </c>
      <c r="J99" s="132">
        <v>0</v>
      </c>
      <c r="K99" s="132">
        <v>0</v>
      </c>
      <c r="L99" s="132">
        <f t="shared" si="24"/>
        <v>0</v>
      </c>
      <c r="M99" s="132">
        <v>0</v>
      </c>
      <c r="N99" s="132">
        <v>0</v>
      </c>
      <c r="O99" s="132">
        <v>0</v>
      </c>
      <c r="P99" s="132">
        <f t="shared" si="25"/>
        <v>0</v>
      </c>
      <c r="Q99" s="171">
        <v>0</v>
      </c>
      <c r="R99" s="171">
        <v>0</v>
      </c>
      <c r="S99" s="171">
        <v>0</v>
      </c>
      <c r="T99" s="171">
        <v>0</v>
      </c>
      <c r="U99" s="171">
        <f t="shared" si="26"/>
        <v>0</v>
      </c>
      <c r="V99" s="171">
        <f t="shared" si="27"/>
        <v>32527.744</v>
      </c>
      <c r="W99" s="132">
        <v>0</v>
      </c>
      <c r="X99" s="132">
        <f t="shared" si="28"/>
        <v>32527.744</v>
      </c>
      <c r="Y99" s="171">
        <v>0</v>
      </c>
      <c r="Z99" s="132">
        <f t="shared" si="29"/>
        <v>32527.744</v>
      </c>
    </row>
    <row r="100" spans="1:26" ht="12.75" hidden="1" outlineLevel="1">
      <c r="A100" s="132" t="s">
        <v>1667</v>
      </c>
      <c r="C100" s="171" t="s">
        <v>1668</v>
      </c>
      <c r="D100" s="171" t="s">
        <v>1669</v>
      </c>
      <c r="E100" s="132">
        <v>0</v>
      </c>
      <c r="F100" s="132">
        <v>574.11</v>
      </c>
      <c r="G100" s="171">
        <f t="shared" si="23"/>
        <v>574.11</v>
      </c>
      <c r="H100" s="132">
        <v>0</v>
      </c>
      <c r="I100" s="132">
        <v>0</v>
      </c>
      <c r="J100" s="132">
        <v>0</v>
      </c>
      <c r="K100" s="132">
        <v>0</v>
      </c>
      <c r="L100" s="132">
        <f t="shared" si="24"/>
        <v>0</v>
      </c>
      <c r="M100" s="132">
        <v>0</v>
      </c>
      <c r="N100" s="132">
        <v>0</v>
      </c>
      <c r="O100" s="132">
        <v>0</v>
      </c>
      <c r="P100" s="132">
        <f t="shared" si="25"/>
        <v>0</v>
      </c>
      <c r="Q100" s="171">
        <v>0</v>
      </c>
      <c r="R100" s="171">
        <v>0</v>
      </c>
      <c r="S100" s="171">
        <v>0</v>
      </c>
      <c r="T100" s="171">
        <v>0</v>
      </c>
      <c r="U100" s="171">
        <f t="shared" si="26"/>
        <v>0</v>
      </c>
      <c r="V100" s="171">
        <f t="shared" si="27"/>
        <v>574.11</v>
      </c>
      <c r="W100" s="132">
        <v>0</v>
      </c>
      <c r="X100" s="132">
        <f t="shared" si="28"/>
        <v>574.11</v>
      </c>
      <c r="Y100" s="171">
        <v>0</v>
      </c>
      <c r="Z100" s="132">
        <f t="shared" si="29"/>
        <v>574.11</v>
      </c>
    </row>
    <row r="101" spans="1:26" ht="12.75" hidden="1" outlineLevel="1">
      <c r="A101" s="132" t="s">
        <v>1670</v>
      </c>
      <c r="C101" s="171" t="s">
        <v>1671</v>
      </c>
      <c r="D101" s="171" t="s">
        <v>1672</v>
      </c>
      <c r="E101" s="132">
        <v>0</v>
      </c>
      <c r="F101" s="132">
        <v>267.75</v>
      </c>
      <c r="G101" s="171">
        <f t="shared" si="23"/>
        <v>267.75</v>
      </c>
      <c r="H101" s="132">
        <v>0</v>
      </c>
      <c r="I101" s="132">
        <v>0</v>
      </c>
      <c r="J101" s="132">
        <v>0</v>
      </c>
      <c r="K101" s="132">
        <v>0</v>
      </c>
      <c r="L101" s="132">
        <f t="shared" si="24"/>
        <v>0</v>
      </c>
      <c r="M101" s="132">
        <v>0</v>
      </c>
      <c r="N101" s="132">
        <v>0</v>
      </c>
      <c r="O101" s="132">
        <v>0</v>
      </c>
      <c r="P101" s="132">
        <f t="shared" si="25"/>
        <v>0</v>
      </c>
      <c r="Q101" s="171">
        <v>0</v>
      </c>
      <c r="R101" s="171">
        <v>0</v>
      </c>
      <c r="S101" s="171">
        <v>0</v>
      </c>
      <c r="T101" s="171">
        <v>0</v>
      </c>
      <c r="U101" s="171">
        <f t="shared" si="26"/>
        <v>0</v>
      </c>
      <c r="V101" s="171">
        <f t="shared" si="27"/>
        <v>267.75</v>
      </c>
      <c r="W101" s="132">
        <v>0</v>
      </c>
      <c r="X101" s="132">
        <f t="shared" si="28"/>
        <v>267.75</v>
      </c>
      <c r="Y101" s="171">
        <v>0</v>
      </c>
      <c r="Z101" s="132">
        <f t="shared" si="29"/>
        <v>267.75</v>
      </c>
    </row>
    <row r="102" spans="1:26" ht="12.75" hidden="1" outlineLevel="1">
      <c r="A102" s="132" t="s">
        <v>1673</v>
      </c>
      <c r="C102" s="171" t="s">
        <v>1674</v>
      </c>
      <c r="D102" s="171" t="s">
        <v>1675</v>
      </c>
      <c r="E102" s="132">
        <v>0</v>
      </c>
      <c r="F102" s="132">
        <v>80216.22</v>
      </c>
      <c r="G102" s="171">
        <f t="shared" si="23"/>
        <v>80216.22</v>
      </c>
      <c r="H102" s="132">
        <v>49510.43</v>
      </c>
      <c r="I102" s="132">
        <v>0</v>
      </c>
      <c r="J102" s="132">
        <v>0</v>
      </c>
      <c r="K102" s="132">
        <v>0</v>
      </c>
      <c r="L102" s="132">
        <f t="shared" si="24"/>
        <v>0</v>
      </c>
      <c r="M102" s="132">
        <v>0</v>
      </c>
      <c r="N102" s="132">
        <v>0</v>
      </c>
      <c r="O102" s="132">
        <v>0</v>
      </c>
      <c r="P102" s="132">
        <f t="shared" si="25"/>
        <v>0</v>
      </c>
      <c r="Q102" s="171">
        <v>0</v>
      </c>
      <c r="R102" s="171">
        <v>0</v>
      </c>
      <c r="S102" s="171">
        <v>0</v>
      </c>
      <c r="T102" s="171">
        <v>0</v>
      </c>
      <c r="U102" s="171">
        <f t="shared" si="26"/>
        <v>0</v>
      </c>
      <c r="V102" s="171">
        <f t="shared" si="27"/>
        <v>129726.65</v>
      </c>
      <c r="W102" s="132">
        <v>0</v>
      </c>
      <c r="X102" s="132">
        <f t="shared" si="28"/>
        <v>129726.65</v>
      </c>
      <c r="Y102" s="171">
        <v>0</v>
      </c>
      <c r="Z102" s="132">
        <f t="shared" si="29"/>
        <v>129726.65</v>
      </c>
    </row>
    <row r="103" spans="1:26" ht="12.75" hidden="1" outlineLevel="1">
      <c r="A103" s="132" t="s">
        <v>199</v>
      </c>
      <c r="C103" s="171" t="s">
        <v>200</v>
      </c>
      <c r="D103" s="171" t="s">
        <v>201</v>
      </c>
      <c r="E103" s="132">
        <v>0</v>
      </c>
      <c r="F103" s="132">
        <v>78131.01</v>
      </c>
      <c r="G103" s="171">
        <f t="shared" si="23"/>
        <v>78131.01</v>
      </c>
      <c r="H103" s="132">
        <v>0</v>
      </c>
      <c r="I103" s="132">
        <v>0</v>
      </c>
      <c r="J103" s="132">
        <v>0</v>
      </c>
      <c r="K103" s="132">
        <v>0</v>
      </c>
      <c r="L103" s="132">
        <f t="shared" si="24"/>
        <v>0</v>
      </c>
      <c r="M103" s="132">
        <v>0</v>
      </c>
      <c r="N103" s="132">
        <v>0</v>
      </c>
      <c r="O103" s="132">
        <v>0</v>
      </c>
      <c r="P103" s="132">
        <f t="shared" si="25"/>
        <v>0</v>
      </c>
      <c r="Q103" s="171">
        <v>0</v>
      </c>
      <c r="R103" s="171">
        <v>0</v>
      </c>
      <c r="S103" s="171">
        <v>0</v>
      </c>
      <c r="T103" s="171">
        <v>0</v>
      </c>
      <c r="U103" s="171">
        <f t="shared" si="26"/>
        <v>0</v>
      </c>
      <c r="V103" s="171">
        <f t="shared" si="27"/>
        <v>78131.01</v>
      </c>
      <c r="W103" s="132">
        <v>0</v>
      </c>
      <c r="X103" s="132">
        <f t="shared" si="28"/>
        <v>78131.01</v>
      </c>
      <c r="Y103" s="171">
        <v>0</v>
      </c>
      <c r="Z103" s="132">
        <f t="shared" si="29"/>
        <v>78131.01</v>
      </c>
    </row>
    <row r="104" spans="1:26" ht="12.75" hidden="1" outlineLevel="1">
      <c r="A104" s="132" t="s">
        <v>1676</v>
      </c>
      <c r="C104" s="171" t="s">
        <v>1677</v>
      </c>
      <c r="D104" s="171" t="s">
        <v>1678</v>
      </c>
      <c r="E104" s="132">
        <v>-1237.5</v>
      </c>
      <c r="F104" s="132">
        <v>11317.9</v>
      </c>
      <c r="G104" s="171">
        <f t="shared" si="23"/>
        <v>10080.4</v>
      </c>
      <c r="H104" s="132">
        <v>947.41</v>
      </c>
      <c r="I104" s="132">
        <v>0</v>
      </c>
      <c r="J104" s="132">
        <v>0</v>
      </c>
      <c r="K104" s="132">
        <v>0</v>
      </c>
      <c r="L104" s="132">
        <f t="shared" si="24"/>
        <v>0</v>
      </c>
      <c r="M104" s="132">
        <v>0</v>
      </c>
      <c r="N104" s="132">
        <v>0</v>
      </c>
      <c r="O104" s="132">
        <v>0</v>
      </c>
      <c r="P104" s="132">
        <f t="shared" si="25"/>
        <v>0</v>
      </c>
      <c r="Q104" s="171">
        <v>0</v>
      </c>
      <c r="R104" s="171">
        <v>0</v>
      </c>
      <c r="S104" s="171">
        <v>0</v>
      </c>
      <c r="T104" s="171">
        <v>0</v>
      </c>
      <c r="U104" s="171">
        <f t="shared" si="26"/>
        <v>0</v>
      </c>
      <c r="V104" s="171">
        <f t="shared" si="27"/>
        <v>11027.81</v>
      </c>
      <c r="W104" s="132">
        <v>0</v>
      </c>
      <c r="X104" s="132">
        <f t="shared" si="28"/>
        <v>11027.81</v>
      </c>
      <c r="Y104" s="171">
        <v>2.91</v>
      </c>
      <c r="Z104" s="132">
        <f t="shared" si="29"/>
        <v>11030.72</v>
      </c>
    </row>
    <row r="105" spans="1:26" ht="12.75" hidden="1" outlineLevel="1">
      <c r="A105" s="132" t="s">
        <v>1679</v>
      </c>
      <c r="C105" s="171" t="s">
        <v>1680</v>
      </c>
      <c r="D105" s="171" t="s">
        <v>1681</v>
      </c>
      <c r="E105" s="132">
        <v>0</v>
      </c>
      <c r="F105" s="132">
        <v>117.95</v>
      </c>
      <c r="G105" s="171">
        <f t="shared" si="23"/>
        <v>117.95</v>
      </c>
      <c r="H105" s="132">
        <v>184.98</v>
      </c>
      <c r="I105" s="132">
        <v>0</v>
      </c>
      <c r="J105" s="132">
        <v>0</v>
      </c>
      <c r="K105" s="132">
        <v>0</v>
      </c>
      <c r="L105" s="132">
        <f t="shared" si="24"/>
        <v>0</v>
      </c>
      <c r="M105" s="132">
        <v>0</v>
      </c>
      <c r="N105" s="132">
        <v>0</v>
      </c>
      <c r="O105" s="132">
        <v>0</v>
      </c>
      <c r="P105" s="132">
        <f t="shared" si="25"/>
        <v>0</v>
      </c>
      <c r="Q105" s="171">
        <v>0</v>
      </c>
      <c r="R105" s="171">
        <v>0</v>
      </c>
      <c r="S105" s="171">
        <v>0</v>
      </c>
      <c r="T105" s="171">
        <v>0</v>
      </c>
      <c r="U105" s="171">
        <f t="shared" si="26"/>
        <v>0</v>
      </c>
      <c r="V105" s="171">
        <f t="shared" si="27"/>
        <v>302.93</v>
      </c>
      <c r="W105" s="132">
        <v>0</v>
      </c>
      <c r="X105" s="132">
        <f t="shared" si="28"/>
        <v>302.93</v>
      </c>
      <c r="Y105" s="171">
        <v>0</v>
      </c>
      <c r="Z105" s="132">
        <f t="shared" si="29"/>
        <v>302.93</v>
      </c>
    </row>
    <row r="106" spans="1:27" ht="12.75" collapsed="1">
      <c r="A106" s="150" t="s">
        <v>1682</v>
      </c>
      <c r="B106" s="148"/>
      <c r="C106" s="150" t="s">
        <v>3711</v>
      </c>
      <c r="D106" s="157"/>
      <c r="E106" s="155">
        <v>-1237.502</v>
      </c>
      <c r="F106" s="155">
        <v>32211410.449999988</v>
      </c>
      <c r="G106" s="117">
        <f t="shared" si="23"/>
        <v>32210172.947999988</v>
      </c>
      <c r="H106" s="117">
        <v>4456812.015000003</v>
      </c>
      <c r="I106" s="117">
        <v>0</v>
      </c>
      <c r="J106" s="117">
        <v>0</v>
      </c>
      <c r="K106" s="117">
        <v>0</v>
      </c>
      <c r="L106" s="117">
        <f t="shared" si="24"/>
        <v>0</v>
      </c>
      <c r="M106" s="117">
        <v>0</v>
      </c>
      <c r="N106" s="117">
        <v>0</v>
      </c>
      <c r="O106" s="117">
        <v>0</v>
      </c>
      <c r="P106" s="117">
        <f t="shared" si="25"/>
        <v>0</v>
      </c>
      <c r="Q106" s="117">
        <v>0</v>
      </c>
      <c r="R106" s="117">
        <v>0</v>
      </c>
      <c r="S106" s="117">
        <v>0</v>
      </c>
      <c r="T106" s="117">
        <v>0</v>
      </c>
      <c r="U106" s="117">
        <f t="shared" si="26"/>
        <v>0</v>
      </c>
      <c r="V106" s="117">
        <f t="shared" si="27"/>
        <v>36666984.96299999</v>
      </c>
      <c r="W106" s="117">
        <v>0</v>
      </c>
      <c r="X106" s="117">
        <f t="shared" si="28"/>
        <v>36666984.96299999</v>
      </c>
      <c r="Y106" s="117">
        <v>30098.27</v>
      </c>
      <c r="Z106" s="117">
        <f t="shared" si="29"/>
        <v>36697083.232999995</v>
      </c>
      <c r="AA106" s="150"/>
    </row>
    <row r="107" spans="1:26" ht="12.75" hidden="1" outlineLevel="1">
      <c r="A107" s="132" t="s">
        <v>1683</v>
      </c>
      <c r="C107" s="171" t="s">
        <v>1684</v>
      </c>
      <c r="D107" s="171" t="s">
        <v>1685</v>
      </c>
      <c r="E107" s="132">
        <v>0</v>
      </c>
      <c r="F107" s="132">
        <v>-13010625.53</v>
      </c>
      <c r="G107" s="171">
        <f t="shared" si="23"/>
        <v>-13010625.53</v>
      </c>
      <c r="H107" s="132">
        <v>-54541.78</v>
      </c>
      <c r="I107" s="132">
        <v>0</v>
      </c>
      <c r="J107" s="132">
        <v>0</v>
      </c>
      <c r="K107" s="132">
        <v>0</v>
      </c>
      <c r="L107" s="132">
        <f t="shared" si="24"/>
        <v>0</v>
      </c>
      <c r="M107" s="132">
        <v>0</v>
      </c>
      <c r="N107" s="132">
        <v>0</v>
      </c>
      <c r="O107" s="132">
        <v>0</v>
      </c>
      <c r="P107" s="132">
        <f t="shared" si="25"/>
        <v>0</v>
      </c>
      <c r="Q107" s="171">
        <v>0</v>
      </c>
      <c r="R107" s="171">
        <v>0</v>
      </c>
      <c r="S107" s="171">
        <v>0</v>
      </c>
      <c r="T107" s="171">
        <v>0</v>
      </c>
      <c r="U107" s="171">
        <f t="shared" si="26"/>
        <v>0</v>
      </c>
      <c r="V107" s="171">
        <f t="shared" si="27"/>
        <v>-13065167.309999999</v>
      </c>
      <c r="W107" s="132">
        <v>0</v>
      </c>
      <c r="X107" s="132">
        <f t="shared" si="28"/>
        <v>-13065167.309999999</v>
      </c>
      <c r="Y107" s="171">
        <v>-42279</v>
      </c>
      <c r="Z107" s="132">
        <f t="shared" si="29"/>
        <v>-13107446.309999999</v>
      </c>
    </row>
    <row r="108" spans="1:26" ht="12.75" hidden="1" outlineLevel="1">
      <c r="A108" s="132" t="s">
        <v>1686</v>
      </c>
      <c r="C108" s="171" t="s">
        <v>1687</v>
      </c>
      <c r="D108" s="171" t="s">
        <v>1688</v>
      </c>
      <c r="E108" s="132">
        <v>0</v>
      </c>
      <c r="F108" s="132">
        <v>3062560.36</v>
      </c>
      <c r="G108" s="171">
        <f t="shared" si="23"/>
        <v>3062560.36</v>
      </c>
      <c r="H108" s="132">
        <v>0</v>
      </c>
      <c r="I108" s="132">
        <v>0</v>
      </c>
      <c r="J108" s="132">
        <v>0</v>
      </c>
      <c r="K108" s="132">
        <v>0</v>
      </c>
      <c r="L108" s="132">
        <f t="shared" si="24"/>
        <v>0</v>
      </c>
      <c r="M108" s="132">
        <v>0</v>
      </c>
      <c r="N108" s="132">
        <v>0</v>
      </c>
      <c r="O108" s="132">
        <v>0</v>
      </c>
      <c r="P108" s="132">
        <f t="shared" si="25"/>
        <v>0</v>
      </c>
      <c r="Q108" s="171">
        <v>0</v>
      </c>
      <c r="R108" s="171">
        <v>0</v>
      </c>
      <c r="S108" s="171">
        <v>0</v>
      </c>
      <c r="T108" s="171">
        <v>0</v>
      </c>
      <c r="U108" s="171">
        <f t="shared" si="26"/>
        <v>0</v>
      </c>
      <c r="V108" s="171">
        <f t="shared" si="27"/>
        <v>3062560.36</v>
      </c>
      <c r="W108" s="132">
        <v>0</v>
      </c>
      <c r="X108" s="132">
        <f t="shared" si="28"/>
        <v>3062560.36</v>
      </c>
      <c r="Y108" s="171">
        <v>0</v>
      </c>
      <c r="Z108" s="132">
        <f t="shared" si="29"/>
        <v>3062560.36</v>
      </c>
    </row>
    <row r="109" spans="1:26" ht="12.75" hidden="1" outlineLevel="1">
      <c r="A109" s="132" t="s">
        <v>1689</v>
      </c>
      <c r="C109" s="171" t="s">
        <v>1690</v>
      </c>
      <c r="D109" s="171" t="s">
        <v>1691</v>
      </c>
      <c r="E109" s="132">
        <v>0</v>
      </c>
      <c r="F109" s="132">
        <v>89068.03</v>
      </c>
      <c r="G109" s="171">
        <f t="shared" si="23"/>
        <v>89068.03</v>
      </c>
      <c r="H109" s="132">
        <v>0</v>
      </c>
      <c r="I109" s="132">
        <v>0</v>
      </c>
      <c r="J109" s="132">
        <v>0</v>
      </c>
      <c r="K109" s="132">
        <v>0</v>
      </c>
      <c r="L109" s="132">
        <f t="shared" si="24"/>
        <v>0</v>
      </c>
      <c r="M109" s="132">
        <v>0</v>
      </c>
      <c r="N109" s="132">
        <v>0</v>
      </c>
      <c r="O109" s="132">
        <v>0</v>
      </c>
      <c r="P109" s="132">
        <f t="shared" si="25"/>
        <v>0</v>
      </c>
      <c r="Q109" s="171">
        <v>0</v>
      </c>
      <c r="R109" s="171">
        <v>0</v>
      </c>
      <c r="S109" s="171">
        <v>0</v>
      </c>
      <c r="T109" s="171">
        <v>0</v>
      </c>
      <c r="U109" s="171">
        <f t="shared" si="26"/>
        <v>0</v>
      </c>
      <c r="V109" s="171">
        <f t="shared" si="27"/>
        <v>89068.03</v>
      </c>
      <c r="W109" s="132">
        <v>0</v>
      </c>
      <c r="X109" s="132">
        <f t="shared" si="28"/>
        <v>89068.03</v>
      </c>
      <c r="Y109" s="171">
        <v>0</v>
      </c>
      <c r="Z109" s="132">
        <f t="shared" si="29"/>
        <v>89068.03</v>
      </c>
    </row>
    <row r="110" spans="1:26" ht="12.75" hidden="1" outlineLevel="1">
      <c r="A110" s="132" t="s">
        <v>1692</v>
      </c>
      <c r="C110" s="171" t="s">
        <v>1693</v>
      </c>
      <c r="D110" s="171" t="s">
        <v>1694</v>
      </c>
      <c r="E110" s="132">
        <v>0</v>
      </c>
      <c r="F110" s="132">
        <v>86.13</v>
      </c>
      <c r="G110" s="171">
        <f t="shared" si="23"/>
        <v>86.13</v>
      </c>
      <c r="H110" s="132">
        <v>0</v>
      </c>
      <c r="I110" s="132">
        <v>0</v>
      </c>
      <c r="J110" s="132">
        <v>0</v>
      </c>
      <c r="K110" s="132">
        <v>0</v>
      </c>
      <c r="L110" s="132">
        <f t="shared" si="24"/>
        <v>0</v>
      </c>
      <c r="M110" s="132">
        <v>0</v>
      </c>
      <c r="N110" s="132">
        <v>0</v>
      </c>
      <c r="O110" s="132">
        <v>0</v>
      </c>
      <c r="P110" s="132">
        <f t="shared" si="25"/>
        <v>0</v>
      </c>
      <c r="Q110" s="171">
        <v>0</v>
      </c>
      <c r="R110" s="171">
        <v>0</v>
      </c>
      <c r="S110" s="171">
        <v>0</v>
      </c>
      <c r="T110" s="171">
        <v>0</v>
      </c>
      <c r="U110" s="171">
        <f t="shared" si="26"/>
        <v>0</v>
      </c>
      <c r="V110" s="171">
        <f t="shared" si="27"/>
        <v>86.13</v>
      </c>
      <c r="W110" s="132">
        <v>0</v>
      </c>
      <c r="X110" s="132">
        <f t="shared" si="28"/>
        <v>86.13</v>
      </c>
      <c r="Y110" s="171">
        <v>0</v>
      </c>
      <c r="Z110" s="132">
        <f t="shared" si="29"/>
        <v>86.13</v>
      </c>
    </row>
    <row r="111" spans="1:26" ht="12.75" hidden="1" outlineLevel="1">
      <c r="A111" s="132" t="s">
        <v>1695</v>
      </c>
      <c r="C111" s="171" t="s">
        <v>1696</v>
      </c>
      <c r="D111" s="171" t="s">
        <v>1697</v>
      </c>
      <c r="E111" s="132">
        <v>0</v>
      </c>
      <c r="F111" s="132">
        <v>9738.99</v>
      </c>
      <c r="G111" s="171">
        <f t="shared" si="23"/>
        <v>9738.99</v>
      </c>
      <c r="H111" s="132">
        <v>0</v>
      </c>
      <c r="I111" s="132">
        <v>0</v>
      </c>
      <c r="J111" s="132">
        <v>0</v>
      </c>
      <c r="K111" s="132">
        <v>0</v>
      </c>
      <c r="L111" s="132">
        <f t="shared" si="24"/>
        <v>0</v>
      </c>
      <c r="M111" s="132">
        <v>0</v>
      </c>
      <c r="N111" s="132">
        <v>0</v>
      </c>
      <c r="O111" s="132">
        <v>0</v>
      </c>
      <c r="P111" s="132">
        <f t="shared" si="25"/>
        <v>0</v>
      </c>
      <c r="Q111" s="171">
        <v>0</v>
      </c>
      <c r="R111" s="171">
        <v>0</v>
      </c>
      <c r="S111" s="171">
        <v>0</v>
      </c>
      <c r="T111" s="171">
        <v>0</v>
      </c>
      <c r="U111" s="171">
        <f t="shared" si="26"/>
        <v>0</v>
      </c>
      <c r="V111" s="171">
        <f t="shared" si="27"/>
        <v>9738.99</v>
      </c>
      <c r="W111" s="132">
        <v>0</v>
      </c>
      <c r="X111" s="132">
        <f t="shared" si="28"/>
        <v>9738.99</v>
      </c>
      <c r="Y111" s="171">
        <v>0</v>
      </c>
      <c r="Z111" s="132">
        <f t="shared" si="29"/>
        <v>9738.99</v>
      </c>
    </row>
    <row r="112" spans="1:26" ht="12.75" hidden="1" outlineLevel="1">
      <c r="A112" s="132" t="s">
        <v>1698</v>
      </c>
      <c r="C112" s="171" t="s">
        <v>1699</v>
      </c>
      <c r="D112" s="171" t="s">
        <v>1700</v>
      </c>
      <c r="E112" s="132">
        <v>0</v>
      </c>
      <c r="F112" s="132">
        <v>46.4</v>
      </c>
      <c r="G112" s="171">
        <f t="shared" si="23"/>
        <v>46.4</v>
      </c>
      <c r="H112" s="132">
        <v>0</v>
      </c>
      <c r="I112" s="132">
        <v>0</v>
      </c>
      <c r="J112" s="132">
        <v>0</v>
      </c>
      <c r="K112" s="132">
        <v>0</v>
      </c>
      <c r="L112" s="132">
        <f t="shared" si="24"/>
        <v>0</v>
      </c>
      <c r="M112" s="132">
        <v>0</v>
      </c>
      <c r="N112" s="132">
        <v>0</v>
      </c>
      <c r="O112" s="132">
        <v>0</v>
      </c>
      <c r="P112" s="132">
        <f t="shared" si="25"/>
        <v>0</v>
      </c>
      <c r="Q112" s="171">
        <v>0</v>
      </c>
      <c r="R112" s="171">
        <v>0</v>
      </c>
      <c r="S112" s="171">
        <v>0</v>
      </c>
      <c r="T112" s="171">
        <v>0</v>
      </c>
      <c r="U112" s="171">
        <f t="shared" si="26"/>
        <v>0</v>
      </c>
      <c r="V112" s="171">
        <f t="shared" si="27"/>
        <v>46.4</v>
      </c>
      <c r="W112" s="132">
        <v>0</v>
      </c>
      <c r="X112" s="132">
        <f t="shared" si="28"/>
        <v>46.4</v>
      </c>
      <c r="Y112" s="171">
        <v>0</v>
      </c>
      <c r="Z112" s="132">
        <f t="shared" si="29"/>
        <v>46.4</v>
      </c>
    </row>
    <row r="113" spans="1:26" ht="12.75" hidden="1" outlineLevel="1">
      <c r="A113" s="132" t="s">
        <v>1701</v>
      </c>
      <c r="C113" s="171" t="s">
        <v>1702</v>
      </c>
      <c r="D113" s="171" t="s">
        <v>1703</v>
      </c>
      <c r="E113" s="132">
        <v>0</v>
      </c>
      <c r="F113" s="132">
        <v>2505.2</v>
      </c>
      <c r="G113" s="171">
        <f t="shared" si="23"/>
        <v>2505.2</v>
      </c>
      <c r="H113" s="132">
        <v>0</v>
      </c>
      <c r="I113" s="132">
        <v>0</v>
      </c>
      <c r="J113" s="132">
        <v>0</v>
      </c>
      <c r="K113" s="132">
        <v>0</v>
      </c>
      <c r="L113" s="132">
        <f t="shared" si="24"/>
        <v>0</v>
      </c>
      <c r="M113" s="132">
        <v>0</v>
      </c>
      <c r="N113" s="132">
        <v>0</v>
      </c>
      <c r="O113" s="132">
        <v>0</v>
      </c>
      <c r="P113" s="132">
        <f t="shared" si="25"/>
        <v>0</v>
      </c>
      <c r="Q113" s="171">
        <v>0</v>
      </c>
      <c r="R113" s="171">
        <v>0</v>
      </c>
      <c r="S113" s="171">
        <v>0</v>
      </c>
      <c r="T113" s="171">
        <v>0</v>
      </c>
      <c r="U113" s="171">
        <f t="shared" si="26"/>
        <v>0</v>
      </c>
      <c r="V113" s="171">
        <f t="shared" si="27"/>
        <v>2505.2</v>
      </c>
      <c r="W113" s="132">
        <v>0</v>
      </c>
      <c r="X113" s="132">
        <f t="shared" si="28"/>
        <v>2505.2</v>
      </c>
      <c r="Y113" s="171">
        <v>0</v>
      </c>
      <c r="Z113" s="132">
        <f t="shared" si="29"/>
        <v>2505.2</v>
      </c>
    </row>
    <row r="114" spans="1:26" ht="12.75" hidden="1" outlineLevel="1">
      <c r="A114" s="132" t="s">
        <v>202</v>
      </c>
      <c r="C114" s="171" t="s">
        <v>203</v>
      </c>
      <c r="D114" s="171" t="s">
        <v>204</v>
      </c>
      <c r="E114" s="132">
        <v>0</v>
      </c>
      <c r="F114" s="132">
        <v>8118.58</v>
      </c>
      <c r="G114" s="171">
        <f t="shared" si="23"/>
        <v>8118.58</v>
      </c>
      <c r="H114" s="132">
        <v>0</v>
      </c>
      <c r="I114" s="132">
        <v>0</v>
      </c>
      <c r="J114" s="132">
        <v>0</v>
      </c>
      <c r="K114" s="132">
        <v>0</v>
      </c>
      <c r="L114" s="132">
        <f t="shared" si="24"/>
        <v>0</v>
      </c>
      <c r="M114" s="132">
        <v>0</v>
      </c>
      <c r="N114" s="132">
        <v>0</v>
      </c>
      <c r="O114" s="132">
        <v>0</v>
      </c>
      <c r="P114" s="132">
        <f t="shared" si="25"/>
        <v>0</v>
      </c>
      <c r="Q114" s="171">
        <v>0</v>
      </c>
      <c r="R114" s="171">
        <v>0</v>
      </c>
      <c r="S114" s="171">
        <v>0</v>
      </c>
      <c r="T114" s="171">
        <v>0</v>
      </c>
      <c r="U114" s="171">
        <f t="shared" si="26"/>
        <v>0</v>
      </c>
      <c r="V114" s="171">
        <f t="shared" si="27"/>
        <v>8118.58</v>
      </c>
      <c r="W114" s="132">
        <v>0</v>
      </c>
      <c r="X114" s="132">
        <f t="shared" si="28"/>
        <v>8118.58</v>
      </c>
      <c r="Y114" s="171">
        <v>0</v>
      </c>
      <c r="Z114" s="132">
        <f t="shared" si="29"/>
        <v>8118.58</v>
      </c>
    </row>
    <row r="115" spans="1:26" ht="12.75" hidden="1" outlineLevel="1">
      <c r="A115" s="132" t="s">
        <v>1704</v>
      </c>
      <c r="C115" s="171" t="s">
        <v>1705</v>
      </c>
      <c r="D115" s="171" t="s">
        <v>1706</v>
      </c>
      <c r="E115" s="132">
        <v>0</v>
      </c>
      <c r="F115" s="132">
        <v>83584.85</v>
      </c>
      <c r="G115" s="171">
        <f t="shared" si="23"/>
        <v>83584.85</v>
      </c>
      <c r="H115" s="132">
        <v>0</v>
      </c>
      <c r="I115" s="132">
        <v>0</v>
      </c>
      <c r="J115" s="132">
        <v>0</v>
      </c>
      <c r="K115" s="132">
        <v>0</v>
      </c>
      <c r="L115" s="132">
        <f t="shared" si="24"/>
        <v>0</v>
      </c>
      <c r="M115" s="132">
        <v>0</v>
      </c>
      <c r="N115" s="132">
        <v>0</v>
      </c>
      <c r="O115" s="132">
        <v>0</v>
      </c>
      <c r="P115" s="132">
        <f t="shared" si="25"/>
        <v>0</v>
      </c>
      <c r="Q115" s="171">
        <v>0</v>
      </c>
      <c r="R115" s="171">
        <v>0</v>
      </c>
      <c r="S115" s="171">
        <v>0</v>
      </c>
      <c r="T115" s="171">
        <v>0</v>
      </c>
      <c r="U115" s="171">
        <f t="shared" si="26"/>
        <v>0</v>
      </c>
      <c r="V115" s="171">
        <f t="shared" si="27"/>
        <v>83584.85</v>
      </c>
      <c r="W115" s="132">
        <v>0</v>
      </c>
      <c r="X115" s="132">
        <f t="shared" si="28"/>
        <v>83584.85</v>
      </c>
      <c r="Y115" s="171">
        <v>0</v>
      </c>
      <c r="Z115" s="132">
        <f t="shared" si="29"/>
        <v>83584.85</v>
      </c>
    </row>
    <row r="116" spans="1:26" ht="12.75" hidden="1" outlineLevel="1">
      <c r="A116" s="132" t="s">
        <v>205</v>
      </c>
      <c r="C116" s="171" t="s">
        <v>206</v>
      </c>
      <c r="D116" s="171" t="s">
        <v>207</v>
      </c>
      <c r="E116" s="132">
        <v>0</v>
      </c>
      <c r="F116" s="132">
        <v>115992.53</v>
      </c>
      <c r="G116" s="171">
        <f t="shared" si="23"/>
        <v>115992.53</v>
      </c>
      <c r="H116" s="132">
        <v>0</v>
      </c>
      <c r="I116" s="132">
        <v>0</v>
      </c>
      <c r="J116" s="132">
        <v>0</v>
      </c>
      <c r="K116" s="132">
        <v>0</v>
      </c>
      <c r="L116" s="132">
        <f t="shared" si="24"/>
        <v>0</v>
      </c>
      <c r="M116" s="132">
        <v>0</v>
      </c>
      <c r="N116" s="132">
        <v>0</v>
      </c>
      <c r="O116" s="132">
        <v>0</v>
      </c>
      <c r="P116" s="132">
        <f t="shared" si="25"/>
        <v>0</v>
      </c>
      <c r="Q116" s="171">
        <v>0</v>
      </c>
      <c r="R116" s="171">
        <v>0</v>
      </c>
      <c r="S116" s="171">
        <v>0</v>
      </c>
      <c r="T116" s="171">
        <v>0</v>
      </c>
      <c r="U116" s="171">
        <f t="shared" si="26"/>
        <v>0</v>
      </c>
      <c r="V116" s="171">
        <f t="shared" si="27"/>
        <v>115992.53</v>
      </c>
      <c r="W116" s="132">
        <v>0</v>
      </c>
      <c r="X116" s="132">
        <f t="shared" si="28"/>
        <v>115992.53</v>
      </c>
      <c r="Y116" s="171">
        <v>0</v>
      </c>
      <c r="Z116" s="132">
        <f t="shared" si="29"/>
        <v>115992.53</v>
      </c>
    </row>
    <row r="117" spans="1:26" ht="12.75" hidden="1" outlineLevel="1">
      <c r="A117" s="132" t="s">
        <v>208</v>
      </c>
      <c r="C117" s="171" t="s">
        <v>209</v>
      </c>
      <c r="D117" s="171" t="s">
        <v>210</v>
      </c>
      <c r="E117" s="132">
        <v>0</v>
      </c>
      <c r="F117" s="132">
        <v>16461.1</v>
      </c>
      <c r="G117" s="171">
        <f t="shared" si="23"/>
        <v>16461.1</v>
      </c>
      <c r="H117" s="132">
        <v>0</v>
      </c>
      <c r="I117" s="132">
        <v>0</v>
      </c>
      <c r="J117" s="132">
        <v>0</v>
      </c>
      <c r="K117" s="132">
        <v>0</v>
      </c>
      <c r="L117" s="132">
        <f t="shared" si="24"/>
        <v>0</v>
      </c>
      <c r="M117" s="132">
        <v>0</v>
      </c>
      <c r="N117" s="132">
        <v>0</v>
      </c>
      <c r="O117" s="132">
        <v>0</v>
      </c>
      <c r="P117" s="132">
        <f t="shared" si="25"/>
        <v>0</v>
      </c>
      <c r="Q117" s="171">
        <v>0</v>
      </c>
      <c r="R117" s="171">
        <v>0</v>
      </c>
      <c r="S117" s="171">
        <v>0</v>
      </c>
      <c r="T117" s="171">
        <v>0</v>
      </c>
      <c r="U117" s="171">
        <f t="shared" si="26"/>
        <v>0</v>
      </c>
      <c r="V117" s="171">
        <f t="shared" si="27"/>
        <v>16461.1</v>
      </c>
      <c r="W117" s="132">
        <v>0</v>
      </c>
      <c r="X117" s="132">
        <f t="shared" si="28"/>
        <v>16461.1</v>
      </c>
      <c r="Y117" s="171">
        <v>0</v>
      </c>
      <c r="Z117" s="132">
        <f t="shared" si="29"/>
        <v>16461.1</v>
      </c>
    </row>
    <row r="118" spans="1:26" ht="12.75" hidden="1" outlineLevel="1">
      <c r="A118" s="132" t="s">
        <v>211</v>
      </c>
      <c r="C118" s="171" t="s">
        <v>212</v>
      </c>
      <c r="D118" s="171" t="s">
        <v>213</v>
      </c>
      <c r="E118" s="132">
        <v>0</v>
      </c>
      <c r="F118" s="132">
        <v>614.92</v>
      </c>
      <c r="G118" s="171">
        <f t="shared" si="23"/>
        <v>614.92</v>
      </c>
      <c r="H118" s="132">
        <v>0</v>
      </c>
      <c r="I118" s="132">
        <v>0</v>
      </c>
      <c r="J118" s="132">
        <v>0</v>
      </c>
      <c r="K118" s="132">
        <v>0</v>
      </c>
      <c r="L118" s="132">
        <f t="shared" si="24"/>
        <v>0</v>
      </c>
      <c r="M118" s="132">
        <v>0</v>
      </c>
      <c r="N118" s="132">
        <v>0</v>
      </c>
      <c r="O118" s="132">
        <v>0</v>
      </c>
      <c r="P118" s="132">
        <f t="shared" si="25"/>
        <v>0</v>
      </c>
      <c r="Q118" s="171">
        <v>0</v>
      </c>
      <c r="R118" s="171">
        <v>0</v>
      </c>
      <c r="S118" s="171">
        <v>0</v>
      </c>
      <c r="T118" s="171">
        <v>0</v>
      </c>
      <c r="U118" s="171">
        <f t="shared" si="26"/>
        <v>0</v>
      </c>
      <c r="V118" s="171">
        <f t="shared" si="27"/>
        <v>614.92</v>
      </c>
      <c r="W118" s="132">
        <v>0</v>
      </c>
      <c r="X118" s="132">
        <f t="shared" si="28"/>
        <v>614.92</v>
      </c>
      <c r="Y118" s="171">
        <v>0</v>
      </c>
      <c r="Z118" s="132">
        <f t="shared" si="29"/>
        <v>614.92</v>
      </c>
    </row>
    <row r="119" spans="1:26" ht="12.75" hidden="1" outlineLevel="1">
      <c r="A119" s="132" t="s">
        <v>1707</v>
      </c>
      <c r="C119" s="171" t="s">
        <v>1708</v>
      </c>
      <c r="D119" s="171" t="s">
        <v>1709</v>
      </c>
      <c r="E119" s="132">
        <v>0</v>
      </c>
      <c r="F119" s="132">
        <v>3000</v>
      </c>
      <c r="G119" s="171">
        <f t="shared" si="23"/>
        <v>3000</v>
      </c>
      <c r="H119" s="132">
        <v>0</v>
      </c>
      <c r="I119" s="132">
        <v>0</v>
      </c>
      <c r="J119" s="132">
        <v>0</v>
      </c>
      <c r="K119" s="132">
        <v>0</v>
      </c>
      <c r="L119" s="132">
        <f t="shared" si="24"/>
        <v>0</v>
      </c>
      <c r="M119" s="132">
        <v>0</v>
      </c>
      <c r="N119" s="132">
        <v>0</v>
      </c>
      <c r="O119" s="132">
        <v>0</v>
      </c>
      <c r="P119" s="132">
        <f t="shared" si="25"/>
        <v>0</v>
      </c>
      <c r="Q119" s="171">
        <v>0</v>
      </c>
      <c r="R119" s="171">
        <v>0</v>
      </c>
      <c r="S119" s="171">
        <v>0</v>
      </c>
      <c r="T119" s="171">
        <v>0</v>
      </c>
      <c r="U119" s="171">
        <f t="shared" si="26"/>
        <v>0</v>
      </c>
      <c r="V119" s="171">
        <f t="shared" si="27"/>
        <v>3000</v>
      </c>
      <c r="W119" s="132">
        <v>0</v>
      </c>
      <c r="X119" s="132">
        <f t="shared" si="28"/>
        <v>3000</v>
      </c>
      <c r="Y119" s="171">
        <v>0</v>
      </c>
      <c r="Z119" s="132">
        <f t="shared" si="29"/>
        <v>3000</v>
      </c>
    </row>
    <row r="120" spans="1:26" ht="12.75" hidden="1" outlineLevel="1">
      <c r="A120" s="132" t="s">
        <v>214</v>
      </c>
      <c r="C120" s="171" t="s">
        <v>215</v>
      </c>
      <c r="D120" s="171" t="s">
        <v>216</v>
      </c>
      <c r="E120" s="132">
        <v>0</v>
      </c>
      <c r="F120" s="132">
        <v>152636.09</v>
      </c>
      <c r="G120" s="171">
        <f t="shared" si="23"/>
        <v>152636.09</v>
      </c>
      <c r="H120" s="132">
        <v>0</v>
      </c>
      <c r="I120" s="132">
        <v>0</v>
      </c>
      <c r="J120" s="132">
        <v>0</v>
      </c>
      <c r="K120" s="132">
        <v>0</v>
      </c>
      <c r="L120" s="132">
        <f t="shared" si="24"/>
        <v>0</v>
      </c>
      <c r="M120" s="132">
        <v>0</v>
      </c>
      <c r="N120" s="132">
        <v>0</v>
      </c>
      <c r="O120" s="132">
        <v>0</v>
      </c>
      <c r="P120" s="132">
        <f t="shared" si="25"/>
        <v>0</v>
      </c>
      <c r="Q120" s="171">
        <v>0</v>
      </c>
      <c r="R120" s="171">
        <v>0</v>
      </c>
      <c r="S120" s="171">
        <v>0</v>
      </c>
      <c r="T120" s="171">
        <v>0</v>
      </c>
      <c r="U120" s="171">
        <f t="shared" si="26"/>
        <v>0</v>
      </c>
      <c r="V120" s="171">
        <f t="shared" si="27"/>
        <v>152636.09</v>
      </c>
      <c r="W120" s="132">
        <v>0</v>
      </c>
      <c r="X120" s="132">
        <f t="shared" si="28"/>
        <v>152636.09</v>
      </c>
      <c r="Y120" s="171">
        <v>0</v>
      </c>
      <c r="Z120" s="132">
        <f t="shared" si="29"/>
        <v>152636.09</v>
      </c>
    </row>
    <row r="121" spans="1:26" ht="12.75" hidden="1" outlineLevel="1">
      <c r="A121" s="132" t="s">
        <v>217</v>
      </c>
      <c r="C121" s="171" t="s">
        <v>218</v>
      </c>
      <c r="D121" s="171" t="s">
        <v>219</v>
      </c>
      <c r="E121" s="132">
        <v>0</v>
      </c>
      <c r="F121" s="132">
        <v>456.3</v>
      </c>
      <c r="G121" s="171">
        <f t="shared" si="23"/>
        <v>456.3</v>
      </c>
      <c r="H121" s="132">
        <v>0</v>
      </c>
      <c r="I121" s="132">
        <v>0</v>
      </c>
      <c r="J121" s="132">
        <v>0</v>
      </c>
      <c r="K121" s="132">
        <v>0</v>
      </c>
      <c r="L121" s="132">
        <f t="shared" si="24"/>
        <v>0</v>
      </c>
      <c r="M121" s="132">
        <v>0</v>
      </c>
      <c r="N121" s="132">
        <v>0</v>
      </c>
      <c r="O121" s="132">
        <v>0</v>
      </c>
      <c r="P121" s="132">
        <f t="shared" si="25"/>
        <v>0</v>
      </c>
      <c r="Q121" s="171">
        <v>0</v>
      </c>
      <c r="R121" s="171">
        <v>0</v>
      </c>
      <c r="S121" s="171">
        <v>0</v>
      </c>
      <c r="T121" s="171">
        <v>0</v>
      </c>
      <c r="U121" s="171">
        <f t="shared" si="26"/>
        <v>0</v>
      </c>
      <c r="V121" s="171">
        <f t="shared" si="27"/>
        <v>456.3</v>
      </c>
      <c r="W121" s="132">
        <v>0</v>
      </c>
      <c r="X121" s="132">
        <f t="shared" si="28"/>
        <v>456.3</v>
      </c>
      <c r="Y121" s="171">
        <v>0</v>
      </c>
      <c r="Z121" s="132">
        <f t="shared" si="29"/>
        <v>456.3</v>
      </c>
    </row>
    <row r="122" spans="1:26" ht="12.75" hidden="1" outlineLevel="1">
      <c r="A122" s="132" t="s">
        <v>220</v>
      </c>
      <c r="C122" s="171" t="s">
        <v>221</v>
      </c>
      <c r="D122" s="171" t="s">
        <v>222</v>
      </c>
      <c r="E122" s="132">
        <v>0</v>
      </c>
      <c r="F122" s="132">
        <v>1469228.47</v>
      </c>
      <c r="G122" s="171">
        <f t="shared" si="23"/>
        <v>1469228.47</v>
      </c>
      <c r="H122" s="132">
        <v>0</v>
      </c>
      <c r="I122" s="132">
        <v>0</v>
      </c>
      <c r="J122" s="132">
        <v>0</v>
      </c>
      <c r="K122" s="132">
        <v>0</v>
      </c>
      <c r="L122" s="132">
        <f t="shared" si="24"/>
        <v>0</v>
      </c>
      <c r="M122" s="132">
        <v>0</v>
      </c>
      <c r="N122" s="132">
        <v>0</v>
      </c>
      <c r="O122" s="132">
        <v>0</v>
      </c>
      <c r="P122" s="132">
        <f t="shared" si="25"/>
        <v>0</v>
      </c>
      <c r="Q122" s="171">
        <v>0</v>
      </c>
      <c r="R122" s="171">
        <v>0</v>
      </c>
      <c r="S122" s="171">
        <v>0</v>
      </c>
      <c r="T122" s="171">
        <v>0</v>
      </c>
      <c r="U122" s="171">
        <f t="shared" si="26"/>
        <v>0</v>
      </c>
      <c r="V122" s="171">
        <f t="shared" si="27"/>
        <v>1469228.47</v>
      </c>
      <c r="W122" s="132">
        <v>0</v>
      </c>
      <c r="X122" s="132">
        <f t="shared" si="28"/>
        <v>1469228.47</v>
      </c>
      <c r="Y122" s="171">
        <v>0</v>
      </c>
      <c r="Z122" s="132">
        <f t="shared" si="29"/>
        <v>1469228.47</v>
      </c>
    </row>
    <row r="123" spans="1:26" ht="12.75" hidden="1" outlineLevel="1">
      <c r="A123" s="132" t="s">
        <v>1710</v>
      </c>
      <c r="C123" s="171" t="s">
        <v>1711</v>
      </c>
      <c r="D123" s="171" t="s">
        <v>1712</v>
      </c>
      <c r="E123" s="132">
        <v>0</v>
      </c>
      <c r="F123" s="132">
        <v>133859.98</v>
      </c>
      <c r="G123" s="171">
        <f t="shared" si="23"/>
        <v>133859.98</v>
      </c>
      <c r="H123" s="132">
        <v>0</v>
      </c>
      <c r="I123" s="132">
        <v>0</v>
      </c>
      <c r="J123" s="132">
        <v>0</v>
      </c>
      <c r="K123" s="132">
        <v>0</v>
      </c>
      <c r="L123" s="132">
        <f t="shared" si="24"/>
        <v>0</v>
      </c>
      <c r="M123" s="132">
        <v>0</v>
      </c>
      <c r="N123" s="132">
        <v>0</v>
      </c>
      <c r="O123" s="132">
        <v>0</v>
      </c>
      <c r="P123" s="132">
        <f t="shared" si="25"/>
        <v>0</v>
      </c>
      <c r="Q123" s="171">
        <v>0</v>
      </c>
      <c r="R123" s="171">
        <v>0</v>
      </c>
      <c r="S123" s="171">
        <v>0</v>
      </c>
      <c r="T123" s="171">
        <v>0</v>
      </c>
      <c r="U123" s="171">
        <f t="shared" si="26"/>
        <v>0</v>
      </c>
      <c r="V123" s="171">
        <f t="shared" si="27"/>
        <v>133859.98</v>
      </c>
      <c r="W123" s="132">
        <v>0</v>
      </c>
      <c r="X123" s="132">
        <f t="shared" si="28"/>
        <v>133859.98</v>
      </c>
      <c r="Y123" s="171">
        <v>0</v>
      </c>
      <c r="Z123" s="132">
        <f t="shared" si="29"/>
        <v>133859.98</v>
      </c>
    </row>
    <row r="124" spans="1:26" ht="12.75" hidden="1" outlineLevel="1">
      <c r="A124" s="132" t="s">
        <v>1713</v>
      </c>
      <c r="C124" s="171" t="s">
        <v>1714</v>
      </c>
      <c r="D124" s="171" t="s">
        <v>1715</v>
      </c>
      <c r="E124" s="132">
        <v>0</v>
      </c>
      <c r="F124" s="132">
        <v>177967.08</v>
      </c>
      <c r="G124" s="171">
        <f t="shared" si="23"/>
        <v>177967.08</v>
      </c>
      <c r="H124" s="132">
        <v>0</v>
      </c>
      <c r="I124" s="132">
        <v>0</v>
      </c>
      <c r="J124" s="132">
        <v>0</v>
      </c>
      <c r="K124" s="132">
        <v>0</v>
      </c>
      <c r="L124" s="132">
        <f t="shared" si="24"/>
        <v>0</v>
      </c>
      <c r="M124" s="132">
        <v>0</v>
      </c>
      <c r="N124" s="132">
        <v>0</v>
      </c>
      <c r="O124" s="132">
        <v>0</v>
      </c>
      <c r="P124" s="132">
        <f t="shared" si="25"/>
        <v>0</v>
      </c>
      <c r="Q124" s="171">
        <v>0</v>
      </c>
      <c r="R124" s="171">
        <v>0</v>
      </c>
      <c r="S124" s="171">
        <v>0</v>
      </c>
      <c r="T124" s="171">
        <v>0</v>
      </c>
      <c r="U124" s="171">
        <f t="shared" si="26"/>
        <v>0</v>
      </c>
      <c r="V124" s="171">
        <f t="shared" si="27"/>
        <v>177967.08</v>
      </c>
      <c r="W124" s="132">
        <v>0</v>
      </c>
      <c r="X124" s="132">
        <f t="shared" si="28"/>
        <v>177967.08</v>
      </c>
      <c r="Y124" s="171">
        <v>0</v>
      </c>
      <c r="Z124" s="132">
        <f t="shared" si="29"/>
        <v>177967.08</v>
      </c>
    </row>
    <row r="125" spans="1:26" ht="12.75" hidden="1" outlineLevel="1">
      <c r="A125" s="132" t="s">
        <v>1716</v>
      </c>
      <c r="C125" s="171" t="s">
        <v>1717</v>
      </c>
      <c r="D125" s="171" t="s">
        <v>1718</v>
      </c>
      <c r="E125" s="132">
        <v>0</v>
      </c>
      <c r="F125" s="132">
        <v>672506.91</v>
      </c>
      <c r="G125" s="171">
        <f t="shared" si="23"/>
        <v>672506.91</v>
      </c>
      <c r="H125" s="132">
        <v>0</v>
      </c>
      <c r="I125" s="132">
        <v>0</v>
      </c>
      <c r="J125" s="132">
        <v>0</v>
      </c>
      <c r="K125" s="132">
        <v>0</v>
      </c>
      <c r="L125" s="132">
        <f t="shared" si="24"/>
        <v>0</v>
      </c>
      <c r="M125" s="132">
        <v>0</v>
      </c>
      <c r="N125" s="132">
        <v>0</v>
      </c>
      <c r="O125" s="132">
        <v>0</v>
      </c>
      <c r="P125" s="132">
        <f t="shared" si="25"/>
        <v>0</v>
      </c>
      <c r="Q125" s="171">
        <v>0</v>
      </c>
      <c r="R125" s="171">
        <v>0</v>
      </c>
      <c r="S125" s="171">
        <v>0</v>
      </c>
      <c r="T125" s="171">
        <v>0</v>
      </c>
      <c r="U125" s="171">
        <f t="shared" si="26"/>
        <v>0</v>
      </c>
      <c r="V125" s="171">
        <f t="shared" si="27"/>
        <v>672506.91</v>
      </c>
      <c r="W125" s="132">
        <v>0</v>
      </c>
      <c r="X125" s="132">
        <f t="shared" si="28"/>
        <v>672506.91</v>
      </c>
      <c r="Y125" s="171">
        <v>0</v>
      </c>
      <c r="Z125" s="132">
        <f t="shared" si="29"/>
        <v>672506.91</v>
      </c>
    </row>
    <row r="126" spans="1:26" ht="12.75" hidden="1" outlineLevel="1">
      <c r="A126" s="132" t="s">
        <v>1719</v>
      </c>
      <c r="C126" s="171" t="s">
        <v>1720</v>
      </c>
      <c r="D126" s="171" t="s">
        <v>1721</v>
      </c>
      <c r="E126" s="132">
        <v>0</v>
      </c>
      <c r="F126" s="132">
        <v>642119</v>
      </c>
      <c r="G126" s="171">
        <f t="shared" si="23"/>
        <v>642119</v>
      </c>
      <c r="H126" s="132">
        <v>0</v>
      </c>
      <c r="I126" s="132">
        <v>0</v>
      </c>
      <c r="J126" s="132">
        <v>0</v>
      </c>
      <c r="K126" s="132">
        <v>0</v>
      </c>
      <c r="L126" s="132">
        <f t="shared" si="24"/>
        <v>0</v>
      </c>
      <c r="M126" s="132">
        <v>0</v>
      </c>
      <c r="N126" s="132">
        <v>0</v>
      </c>
      <c r="O126" s="132">
        <v>0</v>
      </c>
      <c r="P126" s="132">
        <f t="shared" si="25"/>
        <v>0</v>
      </c>
      <c r="Q126" s="171">
        <v>0</v>
      </c>
      <c r="R126" s="171">
        <v>0</v>
      </c>
      <c r="S126" s="171">
        <v>0</v>
      </c>
      <c r="T126" s="171">
        <v>0</v>
      </c>
      <c r="U126" s="171">
        <f t="shared" si="26"/>
        <v>0</v>
      </c>
      <c r="V126" s="171">
        <f t="shared" si="27"/>
        <v>642119</v>
      </c>
      <c r="W126" s="132">
        <v>0</v>
      </c>
      <c r="X126" s="132">
        <f t="shared" si="28"/>
        <v>642119</v>
      </c>
      <c r="Y126" s="171">
        <v>0</v>
      </c>
      <c r="Z126" s="132">
        <f t="shared" si="29"/>
        <v>642119</v>
      </c>
    </row>
    <row r="127" spans="1:26" ht="12.75" hidden="1" outlineLevel="1">
      <c r="A127" s="132" t="s">
        <v>1722</v>
      </c>
      <c r="C127" s="171" t="s">
        <v>1723</v>
      </c>
      <c r="D127" s="171" t="s">
        <v>1724</v>
      </c>
      <c r="E127" s="132">
        <v>0</v>
      </c>
      <c r="F127" s="132">
        <v>3776.43</v>
      </c>
      <c r="G127" s="171">
        <f t="shared" si="23"/>
        <v>3776.43</v>
      </c>
      <c r="H127" s="132">
        <v>0</v>
      </c>
      <c r="I127" s="132">
        <v>0</v>
      </c>
      <c r="J127" s="132">
        <v>0</v>
      </c>
      <c r="K127" s="132">
        <v>0</v>
      </c>
      <c r="L127" s="132">
        <f t="shared" si="24"/>
        <v>0</v>
      </c>
      <c r="M127" s="132">
        <v>0</v>
      </c>
      <c r="N127" s="132">
        <v>0</v>
      </c>
      <c r="O127" s="132">
        <v>0</v>
      </c>
      <c r="P127" s="132">
        <f t="shared" si="25"/>
        <v>0</v>
      </c>
      <c r="Q127" s="171">
        <v>0</v>
      </c>
      <c r="R127" s="171">
        <v>0</v>
      </c>
      <c r="S127" s="171">
        <v>0</v>
      </c>
      <c r="T127" s="171">
        <v>0</v>
      </c>
      <c r="U127" s="171">
        <f t="shared" si="26"/>
        <v>0</v>
      </c>
      <c r="V127" s="171">
        <f t="shared" si="27"/>
        <v>3776.43</v>
      </c>
      <c r="W127" s="132">
        <v>0</v>
      </c>
      <c r="X127" s="132">
        <f t="shared" si="28"/>
        <v>3776.43</v>
      </c>
      <c r="Y127" s="171">
        <v>0</v>
      </c>
      <c r="Z127" s="132">
        <f t="shared" si="29"/>
        <v>3776.43</v>
      </c>
    </row>
    <row r="128" spans="1:26" ht="12.75" hidden="1" outlineLevel="1">
      <c r="A128" s="132" t="s">
        <v>223</v>
      </c>
      <c r="C128" s="171" t="s">
        <v>224</v>
      </c>
      <c r="D128" s="171" t="s">
        <v>225</v>
      </c>
      <c r="E128" s="132">
        <v>0</v>
      </c>
      <c r="F128" s="132">
        <v>-63249.58</v>
      </c>
      <c r="G128" s="171">
        <f t="shared" si="23"/>
        <v>-63249.58</v>
      </c>
      <c r="H128" s="132">
        <v>0</v>
      </c>
      <c r="I128" s="132">
        <v>0</v>
      </c>
      <c r="J128" s="132">
        <v>0</v>
      </c>
      <c r="K128" s="132">
        <v>0</v>
      </c>
      <c r="L128" s="132">
        <f t="shared" si="24"/>
        <v>0</v>
      </c>
      <c r="M128" s="132">
        <v>0</v>
      </c>
      <c r="N128" s="132">
        <v>0</v>
      </c>
      <c r="O128" s="132">
        <v>0</v>
      </c>
      <c r="P128" s="132">
        <f t="shared" si="25"/>
        <v>0</v>
      </c>
      <c r="Q128" s="171">
        <v>0</v>
      </c>
      <c r="R128" s="171">
        <v>0</v>
      </c>
      <c r="S128" s="171">
        <v>0</v>
      </c>
      <c r="T128" s="171">
        <v>0</v>
      </c>
      <c r="U128" s="171">
        <f t="shared" si="26"/>
        <v>0</v>
      </c>
      <c r="V128" s="171">
        <f t="shared" si="27"/>
        <v>-63249.58</v>
      </c>
      <c r="W128" s="132">
        <v>0</v>
      </c>
      <c r="X128" s="132">
        <f t="shared" si="28"/>
        <v>-63249.58</v>
      </c>
      <c r="Y128" s="171">
        <v>0</v>
      </c>
      <c r="Z128" s="132">
        <f t="shared" si="29"/>
        <v>-63249.58</v>
      </c>
    </row>
    <row r="129" spans="1:26" ht="12.75" hidden="1" outlineLevel="1">
      <c r="A129" s="132" t="s">
        <v>226</v>
      </c>
      <c r="C129" s="171" t="s">
        <v>227</v>
      </c>
      <c r="D129" s="171" t="s">
        <v>228</v>
      </c>
      <c r="E129" s="132">
        <v>0</v>
      </c>
      <c r="F129" s="132">
        <v>25755.26</v>
      </c>
      <c r="G129" s="171">
        <f t="shared" si="23"/>
        <v>25755.26</v>
      </c>
      <c r="H129" s="132">
        <v>0</v>
      </c>
      <c r="I129" s="132">
        <v>0</v>
      </c>
      <c r="J129" s="132">
        <v>0</v>
      </c>
      <c r="K129" s="132">
        <v>0</v>
      </c>
      <c r="L129" s="132">
        <f t="shared" si="24"/>
        <v>0</v>
      </c>
      <c r="M129" s="132">
        <v>0</v>
      </c>
      <c r="N129" s="132">
        <v>0</v>
      </c>
      <c r="O129" s="132">
        <v>0</v>
      </c>
      <c r="P129" s="132">
        <f t="shared" si="25"/>
        <v>0</v>
      </c>
      <c r="Q129" s="171">
        <v>0</v>
      </c>
      <c r="R129" s="171">
        <v>0</v>
      </c>
      <c r="S129" s="171">
        <v>0</v>
      </c>
      <c r="T129" s="171">
        <v>0</v>
      </c>
      <c r="U129" s="171">
        <f t="shared" si="26"/>
        <v>0</v>
      </c>
      <c r="V129" s="171">
        <f t="shared" si="27"/>
        <v>25755.26</v>
      </c>
      <c r="W129" s="132">
        <v>0</v>
      </c>
      <c r="X129" s="132">
        <f t="shared" si="28"/>
        <v>25755.26</v>
      </c>
      <c r="Y129" s="171">
        <v>0</v>
      </c>
      <c r="Z129" s="132">
        <f t="shared" si="29"/>
        <v>25755.26</v>
      </c>
    </row>
    <row r="130" spans="1:26" ht="12.75" hidden="1" outlineLevel="1">
      <c r="A130" s="132" t="s">
        <v>1725</v>
      </c>
      <c r="C130" s="171" t="s">
        <v>1726</v>
      </c>
      <c r="D130" s="171" t="s">
        <v>1727</v>
      </c>
      <c r="E130" s="132">
        <v>0</v>
      </c>
      <c r="F130" s="132">
        <v>115493.68</v>
      </c>
      <c r="G130" s="171">
        <f t="shared" si="23"/>
        <v>115493.68</v>
      </c>
      <c r="H130" s="132">
        <v>0</v>
      </c>
      <c r="I130" s="132">
        <v>0</v>
      </c>
      <c r="J130" s="132">
        <v>0</v>
      </c>
      <c r="K130" s="132">
        <v>0</v>
      </c>
      <c r="L130" s="132">
        <f t="shared" si="24"/>
        <v>0</v>
      </c>
      <c r="M130" s="132">
        <v>0</v>
      </c>
      <c r="N130" s="132">
        <v>0</v>
      </c>
      <c r="O130" s="132">
        <v>0</v>
      </c>
      <c r="P130" s="132">
        <f t="shared" si="25"/>
        <v>0</v>
      </c>
      <c r="Q130" s="171">
        <v>0</v>
      </c>
      <c r="R130" s="171">
        <v>0</v>
      </c>
      <c r="S130" s="171">
        <v>0</v>
      </c>
      <c r="T130" s="171">
        <v>0</v>
      </c>
      <c r="U130" s="171">
        <f t="shared" si="26"/>
        <v>0</v>
      </c>
      <c r="V130" s="171">
        <f t="shared" si="27"/>
        <v>115493.68</v>
      </c>
      <c r="W130" s="132">
        <v>0</v>
      </c>
      <c r="X130" s="132">
        <f t="shared" si="28"/>
        <v>115493.68</v>
      </c>
      <c r="Y130" s="171">
        <v>0</v>
      </c>
      <c r="Z130" s="132">
        <f t="shared" si="29"/>
        <v>115493.68</v>
      </c>
    </row>
    <row r="131" spans="1:26" ht="12.75" hidden="1" outlineLevel="1">
      <c r="A131" s="132" t="s">
        <v>229</v>
      </c>
      <c r="C131" s="171" t="s">
        <v>230</v>
      </c>
      <c r="D131" s="171" t="s">
        <v>231</v>
      </c>
      <c r="E131" s="132">
        <v>0</v>
      </c>
      <c r="F131" s="132">
        <v>1347.25</v>
      </c>
      <c r="G131" s="171">
        <f t="shared" si="23"/>
        <v>1347.25</v>
      </c>
      <c r="H131" s="132">
        <v>0</v>
      </c>
      <c r="I131" s="132">
        <v>0</v>
      </c>
      <c r="J131" s="132">
        <v>0</v>
      </c>
      <c r="K131" s="132">
        <v>0</v>
      </c>
      <c r="L131" s="132">
        <f t="shared" si="24"/>
        <v>0</v>
      </c>
      <c r="M131" s="132">
        <v>0</v>
      </c>
      <c r="N131" s="132">
        <v>0</v>
      </c>
      <c r="O131" s="132">
        <v>0</v>
      </c>
      <c r="P131" s="132">
        <f t="shared" si="25"/>
        <v>0</v>
      </c>
      <c r="Q131" s="171">
        <v>0</v>
      </c>
      <c r="R131" s="171">
        <v>0</v>
      </c>
      <c r="S131" s="171">
        <v>0</v>
      </c>
      <c r="T131" s="171">
        <v>0</v>
      </c>
      <c r="U131" s="171">
        <f t="shared" si="26"/>
        <v>0</v>
      </c>
      <c r="V131" s="171">
        <f t="shared" si="27"/>
        <v>1347.25</v>
      </c>
      <c r="W131" s="132">
        <v>0</v>
      </c>
      <c r="X131" s="132">
        <f t="shared" si="28"/>
        <v>1347.25</v>
      </c>
      <c r="Y131" s="171">
        <v>0</v>
      </c>
      <c r="Z131" s="132">
        <f t="shared" si="29"/>
        <v>1347.25</v>
      </c>
    </row>
    <row r="132" spans="1:26" ht="12.75" hidden="1" outlineLevel="1">
      <c r="A132" s="132" t="s">
        <v>232</v>
      </c>
      <c r="C132" s="171" t="s">
        <v>233</v>
      </c>
      <c r="D132" s="171" t="s">
        <v>234</v>
      </c>
      <c r="E132" s="132">
        <v>0</v>
      </c>
      <c r="F132" s="132">
        <v>184828.33</v>
      </c>
      <c r="G132" s="171">
        <f t="shared" si="23"/>
        <v>184828.33</v>
      </c>
      <c r="H132" s="132">
        <v>0</v>
      </c>
      <c r="I132" s="132">
        <v>0</v>
      </c>
      <c r="J132" s="132">
        <v>0</v>
      </c>
      <c r="K132" s="132">
        <v>0</v>
      </c>
      <c r="L132" s="132">
        <f t="shared" si="24"/>
        <v>0</v>
      </c>
      <c r="M132" s="132">
        <v>0</v>
      </c>
      <c r="N132" s="132">
        <v>0</v>
      </c>
      <c r="O132" s="132">
        <v>0</v>
      </c>
      <c r="P132" s="132">
        <f t="shared" si="25"/>
        <v>0</v>
      </c>
      <c r="Q132" s="171">
        <v>0</v>
      </c>
      <c r="R132" s="171">
        <v>0</v>
      </c>
      <c r="S132" s="171">
        <v>0</v>
      </c>
      <c r="T132" s="171">
        <v>0</v>
      </c>
      <c r="U132" s="171">
        <f t="shared" si="26"/>
        <v>0</v>
      </c>
      <c r="V132" s="171">
        <f t="shared" si="27"/>
        <v>184828.33</v>
      </c>
      <c r="W132" s="132">
        <v>0</v>
      </c>
      <c r="X132" s="132">
        <f t="shared" si="28"/>
        <v>184828.33</v>
      </c>
      <c r="Y132" s="171">
        <v>0</v>
      </c>
      <c r="Z132" s="132">
        <f t="shared" si="29"/>
        <v>184828.33</v>
      </c>
    </row>
    <row r="133" spans="1:26" ht="12.75" hidden="1" outlineLevel="1">
      <c r="A133" s="132" t="s">
        <v>1728</v>
      </c>
      <c r="C133" s="171" t="s">
        <v>1729</v>
      </c>
      <c r="D133" s="171" t="s">
        <v>1730</v>
      </c>
      <c r="E133" s="132">
        <v>0</v>
      </c>
      <c r="F133" s="132">
        <v>255.8</v>
      </c>
      <c r="G133" s="171">
        <f t="shared" si="23"/>
        <v>255.8</v>
      </c>
      <c r="H133" s="132">
        <v>0</v>
      </c>
      <c r="I133" s="132">
        <v>0</v>
      </c>
      <c r="J133" s="132">
        <v>0</v>
      </c>
      <c r="K133" s="132">
        <v>0</v>
      </c>
      <c r="L133" s="132">
        <f t="shared" si="24"/>
        <v>0</v>
      </c>
      <c r="M133" s="132">
        <v>0</v>
      </c>
      <c r="N133" s="132">
        <v>0</v>
      </c>
      <c r="O133" s="132">
        <v>0</v>
      </c>
      <c r="P133" s="132">
        <f t="shared" si="25"/>
        <v>0</v>
      </c>
      <c r="Q133" s="171">
        <v>0</v>
      </c>
      <c r="R133" s="171">
        <v>0</v>
      </c>
      <c r="S133" s="171">
        <v>0</v>
      </c>
      <c r="T133" s="171">
        <v>0</v>
      </c>
      <c r="U133" s="171">
        <f t="shared" si="26"/>
        <v>0</v>
      </c>
      <c r="V133" s="171">
        <f t="shared" si="27"/>
        <v>255.8</v>
      </c>
      <c r="W133" s="132">
        <v>0</v>
      </c>
      <c r="X133" s="132">
        <f t="shared" si="28"/>
        <v>255.8</v>
      </c>
      <c r="Y133" s="171">
        <v>0</v>
      </c>
      <c r="Z133" s="132">
        <f t="shared" si="29"/>
        <v>255.8</v>
      </c>
    </row>
    <row r="134" spans="1:26" ht="12.75" hidden="1" outlineLevel="1">
      <c r="A134" s="132" t="s">
        <v>235</v>
      </c>
      <c r="C134" s="171" t="s">
        <v>236</v>
      </c>
      <c r="D134" s="171" t="s">
        <v>237</v>
      </c>
      <c r="E134" s="132">
        <v>0</v>
      </c>
      <c r="F134" s="132">
        <v>59202.36</v>
      </c>
      <c r="G134" s="171">
        <f t="shared" si="23"/>
        <v>59202.36</v>
      </c>
      <c r="H134" s="132">
        <v>0</v>
      </c>
      <c r="I134" s="132">
        <v>0</v>
      </c>
      <c r="J134" s="132">
        <v>0</v>
      </c>
      <c r="K134" s="132">
        <v>0</v>
      </c>
      <c r="L134" s="132">
        <f t="shared" si="24"/>
        <v>0</v>
      </c>
      <c r="M134" s="132">
        <v>0</v>
      </c>
      <c r="N134" s="132">
        <v>0</v>
      </c>
      <c r="O134" s="132">
        <v>0</v>
      </c>
      <c r="P134" s="132">
        <f t="shared" si="25"/>
        <v>0</v>
      </c>
      <c r="Q134" s="171">
        <v>0</v>
      </c>
      <c r="R134" s="171">
        <v>0</v>
      </c>
      <c r="S134" s="171">
        <v>0</v>
      </c>
      <c r="T134" s="171">
        <v>0</v>
      </c>
      <c r="U134" s="171">
        <f t="shared" si="26"/>
        <v>0</v>
      </c>
      <c r="V134" s="171">
        <f t="shared" si="27"/>
        <v>59202.36</v>
      </c>
      <c r="W134" s="132">
        <v>0</v>
      </c>
      <c r="X134" s="132">
        <f t="shared" si="28"/>
        <v>59202.36</v>
      </c>
      <c r="Y134" s="171">
        <v>0</v>
      </c>
      <c r="Z134" s="132">
        <f t="shared" si="29"/>
        <v>59202.36</v>
      </c>
    </row>
    <row r="135" spans="1:26" ht="12.75" hidden="1" outlineLevel="1">
      <c r="A135" s="132" t="s">
        <v>238</v>
      </c>
      <c r="C135" s="171" t="s">
        <v>239</v>
      </c>
      <c r="D135" s="171" t="s">
        <v>240</v>
      </c>
      <c r="E135" s="132">
        <v>0</v>
      </c>
      <c r="F135" s="132">
        <v>0</v>
      </c>
      <c r="G135" s="171">
        <f t="shared" si="23"/>
        <v>0</v>
      </c>
      <c r="H135" s="132">
        <v>981.5</v>
      </c>
      <c r="I135" s="132">
        <v>0</v>
      </c>
      <c r="J135" s="132">
        <v>0</v>
      </c>
      <c r="K135" s="132">
        <v>0</v>
      </c>
      <c r="L135" s="132">
        <f t="shared" si="24"/>
        <v>0</v>
      </c>
      <c r="M135" s="132">
        <v>0</v>
      </c>
      <c r="N135" s="132">
        <v>0</v>
      </c>
      <c r="O135" s="132">
        <v>0</v>
      </c>
      <c r="P135" s="132">
        <f t="shared" si="25"/>
        <v>0</v>
      </c>
      <c r="Q135" s="171">
        <v>0</v>
      </c>
      <c r="R135" s="171">
        <v>0</v>
      </c>
      <c r="S135" s="171">
        <v>0</v>
      </c>
      <c r="T135" s="171">
        <v>0</v>
      </c>
      <c r="U135" s="171">
        <f t="shared" si="26"/>
        <v>0</v>
      </c>
      <c r="V135" s="171">
        <f t="shared" si="27"/>
        <v>981.5</v>
      </c>
      <c r="W135" s="132">
        <v>0</v>
      </c>
      <c r="X135" s="132">
        <f t="shared" si="28"/>
        <v>981.5</v>
      </c>
      <c r="Y135" s="171">
        <v>0</v>
      </c>
      <c r="Z135" s="132">
        <f t="shared" si="29"/>
        <v>981.5</v>
      </c>
    </row>
    <row r="136" spans="1:26" ht="12.75" hidden="1" outlineLevel="1">
      <c r="A136" s="132" t="s">
        <v>1731</v>
      </c>
      <c r="C136" s="171" t="s">
        <v>1732</v>
      </c>
      <c r="D136" s="171" t="s">
        <v>1733</v>
      </c>
      <c r="E136" s="132">
        <v>0</v>
      </c>
      <c r="F136" s="132">
        <v>819280.85</v>
      </c>
      <c r="G136" s="171">
        <f t="shared" si="23"/>
        <v>819280.85</v>
      </c>
      <c r="H136" s="132">
        <v>454064.41</v>
      </c>
      <c r="I136" s="132">
        <v>0</v>
      </c>
      <c r="J136" s="132">
        <v>0</v>
      </c>
      <c r="K136" s="132">
        <v>0</v>
      </c>
      <c r="L136" s="132">
        <f t="shared" si="24"/>
        <v>0</v>
      </c>
      <c r="M136" s="132">
        <v>0</v>
      </c>
      <c r="N136" s="132">
        <v>0</v>
      </c>
      <c r="O136" s="132">
        <v>0</v>
      </c>
      <c r="P136" s="132">
        <f t="shared" si="25"/>
        <v>0</v>
      </c>
      <c r="Q136" s="171">
        <v>0</v>
      </c>
      <c r="R136" s="171">
        <v>0</v>
      </c>
      <c r="S136" s="171">
        <v>0</v>
      </c>
      <c r="T136" s="171">
        <v>0</v>
      </c>
      <c r="U136" s="171">
        <f t="shared" si="26"/>
        <v>0</v>
      </c>
      <c r="V136" s="171">
        <f t="shared" si="27"/>
        <v>1273345.26</v>
      </c>
      <c r="W136" s="132">
        <v>0</v>
      </c>
      <c r="X136" s="132">
        <f t="shared" si="28"/>
        <v>1273345.26</v>
      </c>
      <c r="Y136" s="171">
        <v>3025.79</v>
      </c>
      <c r="Z136" s="132">
        <f t="shared" si="29"/>
        <v>1276371.05</v>
      </c>
    </row>
    <row r="137" spans="1:26" ht="12.75" hidden="1" outlineLevel="1">
      <c r="A137" s="132" t="s">
        <v>1734</v>
      </c>
      <c r="C137" s="171" t="s">
        <v>1735</v>
      </c>
      <c r="D137" s="171" t="s">
        <v>1736</v>
      </c>
      <c r="E137" s="132">
        <v>0</v>
      </c>
      <c r="F137" s="132">
        <v>348058.04</v>
      </c>
      <c r="G137" s="171">
        <f aca="true" t="shared" si="30" ref="G137:G200">E137+F137</f>
        <v>348058.04</v>
      </c>
      <c r="H137" s="132">
        <v>292912.45</v>
      </c>
      <c r="I137" s="132">
        <v>0</v>
      </c>
      <c r="J137" s="132">
        <v>0</v>
      </c>
      <c r="K137" s="132">
        <v>0</v>
      </c>
      <c r="L137" s="132">
        <f aca="true" t="shared" si="31" ref="L137:L200">J137+I137+K137</f>
        <v>0</v>
      </c>
      <c r="M137" s="132">
        <v>0</v>
      </c>
      <c r="N137" s="132">
        <v>0</v>
      </c>
      <c r="O137" s="132">
        <v>0</v>
      </c>
      <c r="P137" s="132">
        <f aca="true" t="shared" si="32" ref="P137:P200">M137+N137+O137</f>
        <v>0</v>
      </c>
      <c r="Q137" s="171">
        <v>0</v>
      </c>
      <c r="R137" s="171">
        <v>0</v>
      </c>
      <c r="S137" s="171">
        <v>0</v>
      </c>
      <c r="T137" s="171">
        <v>0</v>
      </c>
      <c r="U137" s="171">
        <f aca="true" t="shared" si="33" ref="U137:U200">Q137+R137+S137+T137</f>
        <v>0</v>
      </c>
      <c r="V137" s="171">
        <f aca="true" t="shared" si="34" ref="V137:V200">G137+H137+L137+P137+U137</f>
        <v>640970.49</v>
      </c>
      <c r="W137" s="132">
        <v>0</v>
      </c>
      <c r="X137" s="132">
        <f aca="true" t="shared" si="35" ref="X137:X200">V137+W137</f>
        <v>640970.49</v>
      </c>
      <c r="Y137" s="171">
        <v>1165.73</v>
      </c>
      <c r="Z137" s="132">
        <f aca="true" t="shared" si="36" ref="Z137:Z200">X137+Y137</f>
        <v>642136.22</v>
      </c>
    </row>
    <row r="138" spans="1:26" ht="12.75" hidden="1" outlineLevel="1">
      <c r="A138" s="132" t="s">
        <v>1737</v>
      </c>
      <c r="C138" s="171" t="s">
        <v>1738</v>
      </c>
      <c r="D138" s="171" t="s">
        <v>1739</v>
      </c>
      <c r="E138" s="132">
        <v>0</v>
      </c>
      <c r="F138" s="132">
        <v>1055873.22</v>
      </c>
      <c r="G138" s="171">
        <f t="shared" si="30"/>
        <v>1055873.22</v>
      </c>
      <c r="H138" s="132">
        <v>448721.99</v>
      </c>
      <c r="I138" s="132">
        <v>0</v>
      </c>
      <c r="J138" s="132">
        <v>0</v>
      </c>
      <c r="K138" s="132">
        <v>0</v>
      </c>
      <c r="L138" s="132">
        <f t="shared" si="31"/>
        <v>0</v>
      </c>
      <c r="M138" s="132">
        <v>0</v>
      </c>
      <c r="N138" s="132">
        <v>0</v>
      </c>
      <c r="O138" s="132">
        <v>0</v>
      </c>
      <c r="P138" s="132">
        <f t="shared" si="32"/>
        <v>0</v>
      </c>
      <c r="Q138" s="171">
        <v>0</v>
      </c>
      <c r="R138" s="171">
        <v>0</v>
      </c>
      <c r="S138" s="171">
        <v>0</v>
      </c>
      <c r="T138" s="171">
        <v>0</v>
      </c>
      <c r="U138" s="171">
        <f t="shared" si="33"/>
        <v>0</v>
      </c>
      <c r="V138" s="171">
        <f t="shared" si="34"/>
        <v>1504595.21</v>
      </c>
      <c r="W138" s="132">
        <v>0</v>
      </c>
      <c r="X138" s="132">
        <f t="shared" si="35"/>
        <v>1504595.21</v>
      </c>
      <c r="Y138" s="171">
        <v>3457.28</v>
      </c>
      <c r="Z138" s="132">
        <f t="shared" si="36"/>
        <v>1508052.49</v>
      </c>
    </row>
    <row r="139" spans="1:26" ht="12.75" hidden="1" outlineLevel="1">
      <c r="A139" s="132" t="s">
        <v>1740</v>
      </c>
      <c r="C139" s="171" t="s">
        <v>1741</v>
      </c>
      <c r="D139" s="171" t="s">
        <v>1742</v>
      </c>
      <c r="E139" s="132">
        <v>0</v>
      </c>
      <c r="F139" s="132">
        <v>646122.15</v>
      </c>
      <c r="G139" s="171">
        <f t="shared" si="30"/>
        <v>646122.15</v>
      </c>
      <c r="H139" s="132">
        <v>246717.35</v>
      </c>
      <c r="I139" s="132">
        <v>0</v>
      </c>
      <c r="J139" s="132">
        <v>0</v>
      </c>
      <c r="K139" s="132">
        <v>0</v>
      </c>
      <c r="L139" s="132">
        <f t="shared" si="31"/>
        <v>0</v>
      </c>
      <c r="M139" s="132">
        <v>0</v>
      </c>
      <c r="N139" s="132">
        <v>0</v>
      </c>
      <c r="O139" s="132">
        <v>0</v>
      </c>
      <c r="P139" s="132">
        <f t="shared" si="32"/>
        <v>0</v>
      </c>
      <c r="Q139" s="171">
        <v>0</v>
      </c>
      <c r="R139" s="171">
        <v>0</v>
      </c>
      <c r="S139" s="171">
        <v>0</v>
      </c>
      <c r="T139" s="171">
        <v>0</v>
      </c>
      <c r="U139" s="171">
        <f t="shared" si="33"/>
        <v>0</v>
      </c>
      <c r="V139" s="171">
        <f t="shared" si="34"/>
        <v>892839.5</v>
      </c>
      <c r="W139" s="132">
        <v>0</v>
      </c>
      <c r="X139" s="132">
        <f t="shared" si="35"/>
        <v>892839.5</v>
      </c>
      <c r="Y139" s="171">
        <v>0</v>
      </c>
      <c r="Z139" s="132">
        <f t="shared" si="36"/>
        <v>892839.5</v>
      </c>
    </row>
    <row r="140" spans="1:26" ht="12.75" hidden="1" outlineLevel="1">
      <c r="A140" s="132" t="s">
        <v>1743</v>
      </c>
      <c r="C140" s="171" t="s">
        <v>1744</v>
      </c>
      <c r="D140" s="171" t="s">
        <v>1745</v>
      </c>
      <c r="E140" s="132">
        <v>0</v>
      </c>
      <c r="F140" s="132">
        <v>70428.75</v>
      </c>
      <c r="G140" s="171">
        <f t="shared" si="30"/>
        <v>70428.75</v>
      </c>
      <c r="H140" s="132">
        <v>15179.66</v>
      </c>
      <c r="I140" s="132">
        <v>0</v>
      </c>
      <c r="J140" s="132">
        <v>0</v>
      </c>
      <c r="K140" s="132">
        <v>0</v>
      </c>
      <c r="L140" s="132">
        <f t="shared" si="31"/>
        <v>0</v>
      </c>
      <c r="M140" s="132">
        <v>0</v>
      </c>
      <c r="N140" s="132">
        <v>0</v>
      </c>
      <c r="O140" s="132">
        <v>0</v>
      </c>
      <c r="P140" s="132">
        <f t="shared" si="32"/>
        <v>0</v>
      </c>
      <c r="Q140" s="171">
        <v>0</v>
      </c>
      <c r="R140" s="171">
        <v>0</v>
      </c>
      <c r="S140" s="171">
        <v>0</v>
      </c>
      <c r="T140" s="171">
        <v>0</v>
      </c>
      <c r="U140" s="171">
        <f t="shared" si="33"/>
        <v>0</v>
      </c>
      <c r="V140" s="171">
        <f t="shared" si="34"/>
        <v>85608.41</v>
      </c>
      <c r="W140" s="132">
        <v>0</v>
      </c>
      <c r="X140" s="132">
        <f t="shared" si="35"/>
        <v>85608.41</v>
      </c>
      <c r="Y140" s="171">
        <v>0</v>
      </c>
      <c r="Z140" s="132">
        <f t="shared" si="36"/>
        <v>85608.41</v>
      </c>
    </row>
    <row r="141" spans="1:26" ht="12.75" hidden="1" outlineLevel="1">
      <c r="A141" s="132" t="s">
        <v>1746</v>
      </c>
      <c r="C141" s="171" t="s">
        <v>1747</v>
      </c>
      <c r="D141" s="171" t="s">
        <v>1748</v>
      </c>
      <c r="E141" s="132">
        <v>0</v>
      </c>
      <c r="F141" s="132">
        <v>7834.8</v>
      </c>
      <c r="G141" s="171">
        <f t="shared" si="30"/>
        <v>7834.8</v>
      </c>
      <c r="H141" s="132">
        <v>0</v>
      </c>
      <c r="I141" s="132">
        <v>0</v>
      </c>
      <c r="J141" s="132">
        <v>0</v>
      </c>
      <c r="K141" s="132">
        <v>0</v>
      </c>
      <c r="L141" s="132">
        <f t="shared" si="31"/>
        <v>0</v>
      </c>
      <c r="M141" s="132">
        <v>0</v>
      </c>
      <c r="N141" s="132">
        <v>0</v>
      </c>
      <c r="O141" s="132">
        <v>0</v>
      </c>
      <c r="P141" s="132">
        <f t="shared" si="32"/>
        <v>0</v>
      </c>
      <c r="Q141" s="171">
        <v>0</v>
      </c>
      <c r="R141" s="171">
        <v>0</v>
      </c>
      <c r="S141" s="171">
        <v>0</v>
      </c>
      <c r="T141" s="171">
        <v>0</v>
      </c>
      <c r="U141" s="171">
        <f t="shared" si="33"/>
        <v>0</v>
      </c>
      <c r="V141" s="171">
        <f t="shared" si="34"/>
        <v>7834.8</v>
      </c>
      <c r="W141" s="132">
        <v>0</v>
      </c>
      <c r="X141" s="132">
        <f t="shared" si="35"/>
        <v>7834.8</v>
      </c>
      <c r="Y141" s="171">
        <v>0</v>
      </c>
      <c r="Z141" s="132">
        <f t="shared" si="36"/>
        <v>7834.8</v>
      </c>
    </row>
    <row r="142" spans="1:26" ht="12.75" hidden="1" outlineLevel="1">
      <c r="A142" s="132" t="s">
        <v>1749</v>
      </c>
      <c r="C142" s="171" t="s">
        <v>1750</v>
      </c>
      <c r="D142" s="171" t="s">
        <v>1751</v>
      </c>
      <c r="E142" s="132">
        <v>0</v>
      </c>
      <c r="F142" s="132">
        <v>-31.5</v>
      </c>
      <c r="G142" s="171">
        <f t="shared" si="30"/>
        <v>-31.5</v>
      </c>
      <c r="H142" s="132">
        <v>1106.4</v>
      </c>
      <c r="I142" s="132">
        <v>0</v>
      </c>
      <c r="J142" s="132">
        <v>0</v>
      </c>
      <c r="K142" s="132">
        <v>0</v>
      </c>
      <c r="L142" s="132">
        <f t="shared" si="31"/>
        <v>0</v>
      </c>
      <c r="M142" s="132">
        <v>0</v>
      </c>
      <c r="N142" s="132">
        <v>0</v>
      </c>
      <c r="O142" s="132">
        <v>0</v>
      </c>
      <c r="P142" s="132">
        <f t="shared" si="32"/>
        <v>0</v>
      </c>
      <c r="Q142" s="171">
        <v>0</v>
      </c>
      <c r="R142" s="171">
        <v>0</v>
      </c>
      <c r="S142" s="171">
        <v>0</v>
      </c>
      <c r="T142" s="171">
        <v>0</v>
      </c>
      <c r="U142" s="171">
        <f t="shared" si="33"/>
        <v>0</v>
      </c>
      <c r="V142" s="171">
        <f t="shared" si="34"/>
        <v>1074.9</v>
      </c>
      <c r="W142" s="132">
        <v>0</v>
      </c>
      <c r="X142" s="132">
        <f t="shared" si="35"/>
        <v>1074.9</v>
      </c>
      <c r="Y142" s="171">
        <v>0</v>
      </c>
      <c r="Z142" s="132">
        <f t="shared" si="36"/>
        <v>1074.9</v>
      </c>
    </row>
    <row r="143" spans="1:26" ht="12.75" hidden="1" outlineLevel="1">
      <c r="A143" s="132" t="s">
        <v>1752</v>
      </c>
      <c r="C143" s="171" t="s">
        <v>1753</v>
      </c>
      <c r="D143" s="171" t="s">
        <v>1754</v>
      </c>
      <c r="E143" s="132">
        <v>0</v>
      </c>
      <c r="F143" s="132">
        <v>445340.17</v>
      </c>
      <c r="G143" s="171">
        <f t="shared" si="30"/>
        <v>445340.17</v>
      </c>
      <c r="H143" s="132">
        <v>35783.14</v>
      </c>
      <c r="I143" s="132">
        <v>0</v>
      </c>
      <c r="J143" s="132">
        <v>0</v>
      </c>
      <c r="K143" s="132">
        <v>0</v>
      </c>
      <c r="L143" s="132">
        <f t="shared" si="31"/>
        <v>0</v>
      </c>
      <c r="M143" s="132">
        <v>0</v>
      </c>
      <c r="N143" s="132">
        <v>0</v>
      </c>
      <c r="O143" s="132">
        <v>0</v>
      </c>
      <c r="P143" s="132">
        <f t="shared" si="32"/>
        <v>0</v>
      </c>
      <c r="Q143" s="171">
        <v>0</v>
      </c>
      <c r="R143" s="171">
        <v>0</v>
      </c>
      <c r="S143" s="171">
        <v>0</v>
      </c>
      <c r="T143" s="171">
        <v>0</v>
      </c>
      <c r="U143" s="171">
        <f t="shared" si="33"/>
        <v>0</v>
      </c>
      <c r="V143" s="171">
        <f t="shared" si="34"/>
        <v>481123.31</v>
      </c>
      <c r="W143" s="132">
        <v>0</v>
      </c>
      <c r="X143" s="132">
        <f t="shared" si="35"/>
        <v>481123.31</v>
      </c>
      <c r="Y143" s="171">
        <v>0</v>
      </c>
      <c r="Z143" s="132">
        <f t="shared" si="36"/>
        <v>481123.31</v>
      </c>
    </row>
    <row r="144" spans="1:26" ht="12.75" hidden="1" outlineLevel="1">
      <c r="A144" s="132" t="s">
        <v>241</v>
      </c>
      <c r="C144" s="171" t="s">
        <v>242</v>
      </c>
      <c r="D144" s="171" t="s">
        <v>243</v>
      </c>
      <c r="E144" s="132">
        <v>0</v>
      </c>
      <c r="F144" s="132">
        <v>61506.39</v>
      </c>
      <c r="G144" s="171">
        <f t="shared" si="30"/>
        <v>61506.39</v>
      </c>
      <c r="H144" s="132">
        <v>0</v>
      </c>
      <c r="I144" s="132">
        <v>0</v>
      </c>
      <c r="J144" s="132">
        <v>0</v>
      </c>
      <c r="K144" s="132">
        <v>0</v>
      </c>
      <c r="L144" s="132">
        <f t="shared" si="31"/>
        <v>0</v>
      </c>
      <c r="M144" s="132">
        <v>0</v>
      </c>
      <c r="N144" s="132">
        <v>0</v>
      </c>
      <c r="O144" s="132">
        <v>0</v>
      </c>
      <c r="P144" s="132">
        <f t="shared" si="32"/>
        <v>0</v>
      </c>
      <c r="Q144" s="171">
        <v>0</v>
      </c>
      <c r="R144" s="171">
        <v>0</v>
      </c>
      <c r="S144" s="171">
        <v>0</v>
      </c>
      <c r="T144" s="171">
        <v>0</v>
      </c>
      <c r="U144" s="171">
        <f t="shared" si="33"/>
        <v>0</v>
      </c>
      <c r="V144" s="171">
        <f t="shared" si="34"/>
        <v>61506.39</v>
      </c>
      <c r="W144" s="132">
        <v>0</v>
      </c>
      <c r="X144" s="132">
        <f t="shared" si="35"/>
        <v>61506.39</v>
      </c>
      <c r="Y144" s="171">
        <v>0</v>
      </c>
      <c r="Z144" s="132">
        <f t="shared" si="36"/>
        <v>61506.39</v>
      </c>
    </row>
    <row r="145" spans="1:26" ht="12.75" hidden="1" outlineLevel="1">
      <c r="A145" s="132" t="s">
        <v>1755</v>
      </c>
      <c r="C145" s="171" t="s">
        <v>1756</v>
      </c>
      <c r="D145" s="171" t="s">
        <v>1757</v>
      </c>
      <c r="E145" s="132">
        <v>0</v>
      </c>
      <c r="F145" s="132">
        <v>98161.31</v>
      </c>
      <c r="G145" s="171">
        <f t="shared" si="30"/>
        <v>98161.31</v>
      </c>
      <c r="H145" s="132">
        <v>49855</v>
      </c>
      <c r="I145" s="132">
        <v>0</v>
      </c>
      <c r="J145" s="132">
        <v>0</v>
      </c>
      <c r="K145" s="132">
        <v>0</v>
      </c>
      <c r="L145" s="132">
        <f t="shared" si="31"/>
        <v>0</v>
      </c>
      <c r="M145" s="132">
        <v>0</v>
      </c>
      <c r="N145" s="132">
        <v>0</v>
      </c>
      <c r="O145" s="132">
        <v>0</v>
      </c>
      <c r="P145" s="132">
        <f t="shared" si="32"/>
        <v>0</v>
      </c>
      <c r="Q145" s="171">
        <v>0</v>
      </c>
      <c r="R145" s="171">
        <v>0</v>
      </c>
      <c r="S145" s="171">
        <v>0</v>
      </c>
      <c r="T145" s="171">
        <v>0</v>
      </c>
      <c r="U145" s="171">
        <f t="shared" si="33"/>
        <v>0</v>
      </c>
      <c r="V145" s="171">
        <f t="shared" si="34"/>
        <v>148016.31</v>
      </c>
      <c r="W145" s="132">
        <v>0</v>
      </c>
      <c r="X145" s="132">
        <f t="shared" si="35"/>
        <v>148016.31</v>
      </c>
      <c r="Y145" s="171">
        <v>0</v>
      </c>
      <c r="Z145" s="132">
        <f t="shared" si="36"/>
        <v>148016.31</v>
      </c>
    </row>
    <row r="146" spans="1:26" ht="12.75" hidden="1" outlineLevel="1">
      <c r="A146" s="132" t="s">
        <v>1758</v>
      </c>
      <c r="C146" s="171" t="s">
        <v>1759</v>
      </c>
      <c r="D146" s="171" t="s">
        <v>1760</v>
      </c>
      <c r="E146" s="132">
        <v>0</v>
      </c>
      <c r="F146" s="132">
        <v>39648.12</v>
      </c>
      <c r="G146" s="171">
        <f t="shared" si="30"/>
        <v>39648.12</v>
      </c>
      <c r="H146" s="132">
        <v>2085</v>
      </c>
      <c r="I146" s="132">
        <v>0</v>
      </c>
      <c r="J146" s="132">
        <v>0</v>
      </c>
      <c r="K146" s="132">
        <v>0</v>
      </c>
      <c r="L146" s="132">
        <f t="shared" si="31"/>
        <v>0</v>
      </c>
      <c r="M146" s="132">
        <v>0</v>
      </c>
      <c r="N146" s="132">
        <v>0</v>
      </c>
      <c r="O146" s="132">
        <v>0</v>
      </c>
      <c r="P146" s="132">
        <f t="shared" si="32"/>
        <v>0</v>
      </c>
      <c r="Q146" s="171">
        <v>0</v>
      </c>
      <c r="R146" s="171">
        <v>0</v>
      </c>
      <c r="S146" s="171">
        <v>0</v>
      </c>
      <c r="T146" s="171">
        <v>0</v>
      </c>
      <c r="U146" s="171">
        <f t="shared" si="33"/>
        <v>0</v>
      </c>
      <c r="V146" s="171">
        <f t="shared" si="34"/>
        <v>41733.12</v>
      </c>
      <c r="W146" s="132">
        <v>0</v>
      </c>
      <c r="X146" s="132">
        <f t="shared" si="35"/>
        <v>41733.12</v>
      </c>
      <c r="Y146" s="171">
        <v>0</v>
      </c>
      <c r="Z146" s="132">
        <f t="shared" si="36"/>
        <v>41733.12</v>
      </c>
    </row>
    <row r="147" spans="1:26" ht="12.75" hidden="1" outlineLevel="1">
      <c r="A147" s="132" t="s">
        <v>1761</v>
      </c>
      <c r="C147" s="171" t="s">
        <v>1762</v>
      </c>
      <c r="D147" s="171" t="s">
        <v>1763</v>
      </c>
      <c r="E147" s="132">
        <v>0</v>
      </c>
      <c r="F147" s="132">
        <v>48418.96</v>
      </c>
      <c r="G147" s="171">
        <f t="shared" si="30"/>
        <v>48418.96</v>
      </c>
      <c r="H147" s="132">
        <v>8616.54</v>
      </c>
      <c r="I147" s="132">
        <v>0</v>
      </c>
      <c r="J147" s="132">
        <v>0</v>
      </c>
      <c r="K147" s="132">
        <v>0</v>
      </c>
      <c r="L147" s="132">
        <f t="shared" si="31"/>
        <v>0</v>
      </c>
      <c r="M147" s="132">
        <v>0</v>
      </c>
      <c r="N147" s="132">
        <v>0</v>
      </c>
      <c r="O147" s="132">
        <v>0</v>
      </c>
      <c r="P147" s="132">
        <f t="shared" si="32"/>
        <v>0</v>
      </c>
      <c r="Q147" s="171">
        <v>0</v>
      </c>
      <c r="R147" s="171">
        <v>0</v>
      </c>
      <c r="S147" s="171">
        <v>0</v>
      </c>
      <c r="T147" s="171">
        <v>0</v>
      </c>
      <c r="U147" s="171">
        <f t="shared" si="33"/>
        <v>0</v>
      </c>
      <c r="V147" s="171">
        <f t="shared" si="34"/>
        <v>57035.5</v>
      </c>
      <c r="W147" s="132">
        <v>0</v>
      </c>
      <c r="X147" s="132">
        <f t="shared" si="35"/>
        <v>57035.5</v>
      </c>
      <c r="Y147" s="171">
        <v>210</v>
      </c>
      <c r="Z147" s="132">
        <f t="shared" si="36"/>
        <v>57245.5</v>
      </c>
    </row>
    <row r="148" spans="1:26" ht="12.75" hidden="1" outlineLevel="1">
      <c r="A148" s="132" t="s">
        <v>1764</v>
      </c>
      <c r="C148" s="171" t="s">
        <v>1765</v>
      </c>
      <c r="D148" s="171" t="s">
        <v>1766</v>
      </c>
      <c r="E148" s="132">
        <v>0</v>
      </c>
      <c r="F148" s="132">
        <v>27421.91</v>
      </c>
      <c r="G148" s="171">
        <f t="shared" si="30"/>
        <v>27421.91</v>
      </c>
      <c r="H148" s="132">
        <v>71544.9</v>
      </c>
      <c r="I148" s="132">
        <v>0</v>
      </c>
      <c r="J148" s="132">
        <v>0</v>
      </c>
      <c r="K148" s="132">
        <v>0</v>
      </c>
      <c r="L148" s="132">
        <f t="shared" si="31"/>
        <v>0</v>
      </c>
      <c r="M148" s="132">
        <v>0</v>
      </c>
      <c r="N148" s="132">
        <v>0</v>
      </c>
      <c r="O148" s="132">
        <v>0</v>
      </c>
      <c r="P148" s="132">
        <f t="shared" si="32"/>
        <v>0</v>
      </c>
      <c r="Q148" s="171">
        <v>35</v>
      </c>
      <c r="R148" s="171">
        <v>0</v>
      </c>
      <c r="S148" s="171">
        <v>0</v>
      </c>
      <c r="T148" s="171">
        <v>0</v>
      </c>
      <c r="U148" s="171">
        <f t="shared" si="33"/>
        <v>35</v>
      </c>
      <c r="V148" s="171">
        <f t="shared" si="34"/>
        <v>99001.81</v>
      </c>
      <c r="W148" s="132">
        <v>0</v>
      </c>
      <c r="X148" s="132">
        <f t="shared" si="35"/>
        <v>99001.81</v>
      </c>
      <c r="Y148" s="171">
        <v>180</v>
      </c>
      <c r="Z148" s="132">
        <f t="shared" si="36"/>
        <v>99181.81</v>
      </c>
    </row>
    <row r="149" spans="1:26" ht="12.75" hidden="1" outlineLevel="1">
      <c r="A149" s="132" t="s">
        <v>1767</v>
      </c>
      <c r="C149" s="171" t="s">
        <v>1768</v>
      </c>
      <c r="D149" s="171" t="s">
        <v>2115</v>
      </c>
      <c r="E149" s="132">
        <v>0</v>
      </c>
      <c r="F149" s="132">
        <v>813324.78</v>
      </c>
      <c r="G149" s="171">
        <f t="shared" si="30"/>
        <v>813324.78</v>
      </c>
      <c r="H149" s="132">
        <v>452682.36</v>
      </c>
      <c r="I149" s="132">
        <v>0</v>
      </c>
      <c r="J149" s="132">
        <v>0</v>
      </c>
      <c r="K149" s="132">
        <v>0</v>
      </c>
      <c r="L149" s="132">
        <f t="shared" si="31"/>
        <v>0</v>
      </c>
      <c r="M149" s="132">
        <v>0</v>
      </c>
      <c r="N149" s="132">
        <v>0</v>
      </c>
      <c r="O149" s="132">
        <v>0</v>
      </c>
      <c r="P149" s="132">
        <f t="shared" si="32"/>
        <v>0</v>
      </c>
      <c r="Q149" s="171">
        <v>850.95</v>
      </c>
      <c r="R149" s="171">
        <v>559.46</v>
      </c>
      <c r="S149" s="171">
        <v>0</v>
      </c>
      <c r="T149" s="171">
        <v>0</v>
      </c>
      <c r="U149" s="171">
        <f t="shared" si="33"/>
        <v>1410.41</v>
      </c>
      <c r="V149" s="171">
        <f t="shared" si="34"/>
        <v>1267417.55</v>
      </c>
      <c r="W149" s="132">
        <v>0</v>
      </c>
      <c r="X149" s="132">
        <f t="shared" si="35"/>
        <v>1267417.55</v>
      </c>
      <c r="Y149" s="171">
        <v>40129.2</v>
      </c>
      <c r="Z149" s="132">
        <f t="shared" si="36"/>
        <v>1307546.75</v>
      </c>
    </row>
    <row r="150" spans="1:26" ht="12.75" hidden="1" outlineLevel="1">
      <c r="A150" s="132" t="s">
        <v>2116</v>
      </c>
      <c r="C150" s="171" t="s">
        <v>2117</v>
      </c>
      <c r="D150" s="171" t="s">
        <v>2118</v>
      </c>
      <c r="E150" s="132">
        <v>0</v>
      </c>
      <c r="F150" s="132">
        <v>232061.91</v>
      </c>
      <c r="G150" s="171">
        <f t="shared" si="30"/>
        <v>232061.91</v>
      </c>
      <c r="H150" s="132">
        <v>50069.11</v>
      </c>
      <c r="I150" s="132">
        <v>0</v>
      </c>
      <c r="J150" s="132">
        <v>0</v>
      </c>
      <c r="K150" s="132">
        <v>0</v>
      </c>
      <c r="L150" s="132">
        <f t="shared" si="31"/>
        <v>0</v>
      </c>
      <c r="M150" s="132">
        <v>0</v>
      </c>
      <c r="N150" s="132">
        <v>0</v>
      </c>
      <c r="O150" s="132">
        <v>0</v>
      </c>
      <c r="P150" s="132">
        <f t="shared" si="32"/>
        <v>0</v>
      </c>
      <c r="Q150" s="171">
        <v>0</v>
      </c>
      <c r="R150" s="171">
        <v>0</v>
      </c>
      <c r="S150" s="171">
        <v>0</v>
      </c>
      <c r="T150" s="171">
        <v>0</v>
      </c>
      <c r="U150" s="171">
        <f t="shared" si="33"/>
        <v>0</v>
      </c>
      <c r="V150" s="171">
        <f t="shared" si="34"/>
        <v>282131.02</v>
      </c>
      <c r="W150" s="132">
        <v>0</v>
      </c>
      <c r="X150" s="132">
        <f t="shared" si="35"/>
        <v>282131.02</v>
      </c>
      <c r="Y150" s="171">
        <v>6366.08</v>
      </c>
      <c r="Z150" s="132">
        <f t="shared" si="36"/>
        <v>288497.10000000003</v>
      </c>
    </row>
    <row r="151" spans="1:26" ht="12.75" hidden="1" outlineLevel="1">
      <c r="A151" s="132" t="s">
        <v>2119</v>
      </c>
      <c r="C151" s="171" t="s">
        <v>2120</v>
      </c>
      <c r="D151" s="171" t="s">
        <v>2121</v>
      </c>
      <c r="E151" s="132">
        <v>0</v>
      </c>
      <c r="F151" s="132">
        <v>20883.29</v>
      </c>
      <c r="G151" s="171">
        <f t="shared" si="30"/>
        <v>20883.29</v>
      </c>
      <c r="H151" s="132">
        <v>2215.88</v>
      </c>
      <c r="I151" s="132">
        <v>0</v>
      </c>
      <c r="J151" s="132">
        <v>0</v>
      </c>
      <c r="K151" s="132">
        <v>0</v>
      </c>
      <c r="L151" s="132">
        <f t="shared" si="31"/>
        <v>0</v>
      </c>
      <c r="M151" s="132">
        <v>0</v>
      </c>
      <c r="N151" s="132">
        <v>0</v>
      </c>
      <c r="O151" s="132">
        <v>0</v>
      </c>
      <c r="P151" s="132">
        <f t="shared" si="32"/>
        <v>0</v>
      </c>
      <c r="Q151" s="171">
        <v>0</v>
      </c>
      <c r="R151" s="171">
        <v>0</v>
      </c>
      <c r="S151" s="171">
        <v>0</v>
      </c>
      <c r="T151" s="171">
        <v>0</v>
      </c>
      <c r="U151" s="171">
        <f t="shared" si="33"/>
        <v>0</v>
      </c>
      <c r="V151" s="171">
        <f t="shared" si="34"/>
        <v>23099.170000000002</v>
      </c>
      <c r="W151" s="132">
        <v>0</v>
      </c>
      <c r="X151" s="132">
        <f t="shared" si="35"/>
        <v>23099.170000000002</v>
      </c>
      <c r="Y151" s="171">
        <v>0</v>
      </c>
      <c r="Z151" s="132">
        <f t="shared" si="36"/>
        <v>23099.170000000002</v>
      </c>
    </row>
    <row r="152" spans="1:26" ht="12.75" hidden="1" outlineLevel="1">
      <c r="A152" s="132" t="s">
        <v>2122</v>
      </c>
      <c r="C152" s="171" t="s">
        <v>2123</v>
      </c>
      <c r="D152" s="171" t="s">
        <v>2124</v>
      </c>
      <c r="E152" s="132">
        <v>0</v>
      </c>
      <c r="F152" s="132">
        <v>351691.45</v>
      </c>
      <c r="G152" s="171">
        <f t="shared" si="30"/>
        <v>351691.45</v>
      </c>
      <c r="H152" s="132">
        <v>32315.25</v>
      </c>
      <c r="I152" s="132">
        <v>0</v>
      </c>
      <c r="J152" s="132">
        <v>0</v>
      </c>
      <c r="K152" s="132">
        <v>0</v>
      </c>
      <c r="L152" s="132">
        <f t="shared" si="31"/>
        <v>0</v>
      </c>
      <c r="M152" s="132">
        <v>0</v>
      </c>
      <c r="N152" s="132">
        <v>0</v>
      </c>
      <c r="O152" s="132">
        <v>0</v>
      </c>
      <c r="P152" s="132">
        <f t="shared" si="32"/>
        <v>0</v>
      </c>
      <c r="Q152" s="171">
        <v>0</v>
      </c>
      <c r="R152" s="171">
        <v>0</v>
      </c>
      <c r="S152" s="171">
        <v>0</v>
      </c>
      <c r="T152" s="171">
        <v>0</v>
      </c>
      <c r="U152" s="171">
        <f t="shared" si="33"/>
        <v>0</v>
      </c>
      <c r="V152" s="171">
        <f t="shared" si="34"/>
        <v>384006.7</v>
      </c>
      <c r="W152" s="132">
        <v>0</v>
      </c>
      <c r="X152" s="132">
        <f t="shared" si="35"/>
        <v>384006.7</v>
      </c>
      <c r="Y152" s="171">
        <v>2545.53</v>
      </c>
      <c r="Z152" s="132">
        <f t="shared" si="36"/>
        <v>386552.23000000004</v>
      </c>
    </row>
    <row r="153" spans="1:26" ht="12.75" hidden="1" outlineLevel="1">
      <c r="A153" s="132" t="s">
        <v>2125</v>
      </c>
      <c r="C153" s="171" t="s">
        <v>2126</v>
      </c>
      <c r="D153" s="171" t="s">
        <v>2127</v>
      </c>
      <c r="E153" s="132">
        <v>0</v>
      </c>
      <c r="F153" s="132">
        <v>75617.53</v>
      </c>
      <c r="G153" s="171">
        <f t="shared" si="30"/>
        <v>75617.53</v>
      </c>
      <c r="H153" s="132">
        <v>17528.53</v>
      </c>
      <c r="I153" s="132">
        <v>0</v>
      </c>
      <c r="J153" s="132">
        <v>0</v>
      </c>
      <c r="K153" s="132">
        <v>0</v>
      </c>
      <c r="L153" s="132">
        <f t="shared" si="31"/>
        <v>0</v>
      </c>
      <c r="M153" s="132">
        <v>0</v>
      </c>
      <c r="N153" s="132">
        <v>0</v>
      </c>
      <c r="O153" s="132">
        <v>0</v>
      </c>
      <c r="P153" s="132">
        <f t="shared" si="32"/>
        <v>0</v>
      </c>
      <c r="Q153" s="171">
        <v>0</v>
      </c>
      <c r="R153" s="171">
        <v>0</v>
      </c>
      <c r="S153" s="171">
        <v>0</v>
      </c>
      <c r="T153" s="171">
        <v>0</v>
      </c>
      <c r="U153" s="171">
        <f t="shared" si="33"/>
        <v>0</v>
      </c>
      <c r="V153" s="171">
        <f t="shared" si="34"/>
        <v>93146.06</v>
      </c>
      <c r="W153" s="132">
        <v>0</v>
      </c>
      <c r="X153" s="132">
        <f t="shared" si="35"/>
        <v>93146.06</v>
      </c>
      <c r="Y153" s="171">
        <v>5500</v>
      </c>
      <c r="Z153" s="132">
        <f t="shared" si="36"/>
        <v>98646.06</v>
      </c>
    </row>
    <row r="154" spans="1:26" ht="12.75" hidden="1" outlineLevel="1">
      <c r="A154" s="132" t="s">
        <v>2128</v>
      </c>
      <c r="C154" s="171" t="s">
        <v>2129</v>
      </c>
      <c r="D154" s="171" t="s">
        <v>2130</v>
      </c>
      <c r="E154" s="132">
        <v>0</v>
      </c>
      <c r="F154" s="132">
        <v>22168.46</v>
      </c>
      <c r="G154" s="171">
        <f t="shared" si="30"/>
        <v>22168.46</v>
      </c>
      <c r="H154" s="132">
        <v>200</v>
      </c>
      <c r="I154" s="132">
        <v>0</v>
      </c>
      <c r="J154" s="132">
        <v>0</v>
      </c>
      <c r="K154" s="132">
        <v>0</v>
      </c>
      <c r="L154" s="132">
        <f t="shared" si="31"/>
        <v>0</v>
      </c>
      <c r="M154" s="132">
        <v>0</v>
      </c>
      <c r="N154" s="132">
        <v>0</v>
      </c>
      <c r="O154" s="132">
        <v>0</v>
      </c>
      <c r="P154" s="132">
        <f t="shared" si="32"/>
        <v>0</v>
      </c>
      <c r="Q154" s="171">
        <v>0</v>
      </c>
      <c r="R154" s="171">
        <v>0</v>
      </c>
      <c r="S154" s="171">
        <v>0</v>
      </c>
      <c r="T154" s="171">
        <v>0</v>
      </c>
      <c r="U154" s="171">
        <f t="shared" si="33"/>
        <v>0</v>
      </c>
      <c r="V154" s="171">
        <f t="shared" si="34"/>
        <v>22368.46</v>
      </c>
      <c r="W154" s="132">
        <v>0</v>
      </c>
      <c r="X154" s="132">
        <f t="shared" si="35"/>
        <v>22368.46</v>
      </c>
      <c r="Y154" s="171">
        <v>0</v>
      </c>
      <c r="Z154" s="132">
        <f t="shared" si="36"/>
        <v>22368.46</v>
      </c>
    </row>
    <row r="155" spans="1:26" ht="12.75" hidden="1" outlineLevel="1">
      <c r="A155" s="132" t="s">
        <v>2131</v>
      </c>
      <c r="C155" s="171" t="s">
        <v>2132</v>
      </c>
      <c r="D155" s="171" t="s">
        <v>2133</v>
      </c>
      <c r="E155" s="132">
        <v>0</v>
      </c>
      <c r="F155" s="132">
        <v>27312.09</v>
      </c>
      <c r="G155" s="171">
        <f t="shared" si="30"/>
        <v>27312.09</v>
      </c>
      <c r="H155" s="132">
        <v>8355.5</v>
      </c>
      <c r="I155" s="132">
        <v>0</v>
      </c>
      <c r="J155" s="132">
        <v>0</v>
      </c>
      <c r="K155" s="132">
        <v>0</v>
      </c>
      <c r="L155" s="132">
        <f t="shared" si="31"/>
        <v>0</v>
      </c>
      <c r="M155" s="132">
        <v>0</v>
      </c>
      <c r="N155" s="132">
        <v>0</v>
      </c>
      <c r="O155" s="132">
        <v>0</v>
      </c>
      <c r="P155" s="132">
        <f t="shared" si="32"/>
        <v>0</v>
      </c>
      <c r="Q155" s="171">
        <v>0</v>
      </c>
      <c r="R155" s="171">
        <v>0</v>
      </c>
      <c r="S155" s="171">
        <v>0</v>
      </c>
      <c r="T155" s="171">
        <v>0</v>
      </c>
      <c r="U155" s="171">
        <f t="shared" si="33"/>
        <v>0</v>
      </c>
      <c r="V155" s="171">
        <f t="shared" si="34"/>
        <v>35667.59</v>
      </c>
      <c r="W155" s="132">
        <v>0</v>
      </c>
      <c r="X155" s="132">
        <f t="shared" si="35"/>
        <v>35667.59</v>
      </c>
      <c r="Y155" s="171">
        <v>0</v>
      </c>
      <c r="Z155" s="132">
        <f t="shared" si="36"/>
        <v>35667.59</v>
      </c>
    </row>
    <row r="156" spans="1:26" ht="12.75" hidden="1" outlineLevel="1">
      <c r="A156" s="132" t="s">
        <v>2134</v>
      </c>
      <c r="C156" s="171" t="s">
        <v>2135</v>
      </c>
      <c r="D156" s="171" t="s">
        <v>2136</v>
      </c>
      <c r="E156" s="132">
        <v>0</v>
      </c>
      <c r="F156" s="132">
        <v>45057.45</v>
      </c>
      <c r="G156" s="171">
        <f t="shared" si="30"/>
        <v>45057.45</v>
      </c>
      <c r="H156" s="132">
        <v>11128.3</v>
      </c>
      <c r="I156" s="132">
        <v>0</v>
      </c>
      <c r="J156" s="132">
        <v>0</v>
      </c>
      <c r="K156" s="132">
        <v>0</v>
      </c>
      <c r="L156" s="132">
        <f t="shared" si="31"/>
        <v>0</v>
      </c>
      <c r="M156" s="132">
        <v>0</v>
      </c>
      <c r="N156" s="132">
        <v>0</v>
      </c>
      <c r="O156" s="132">
        <v>0</v>
      </c>
      <c r="P156" s="132">
        <f t="shared" si="32"/>
        <v>0</v>
      </c>
      <c r="Q156" s="171">
        <v>0</v>
      </c>
      <c r="R156" s="171">
        <v>0</v>
      </c>
      <c r="S156" s="171">
        <v>0</v>
      </c>
      <c r="T156" s="171">
        <v>0</v>
      </c>
      <c r="U156" s="171">
        <f t="shared" si="33"/>
        <v>0</v>
      </c>
      <c r="V156" s="171">
        <f t="shared" si="34"/>
        <v>56185.75</v>
      </c>
      <c r="W156" s="132">
        <v>0</v>
      </c>
      <c r="X156" s="132">
        <f t="shared" si="35"/>
        <v>56185.75</v>
      </c>
      <c r="Y156" s="171">
        <v>0</v>
      </c>
      <c r="Z156" s="132">
        <f t="shared" si="36"/>
        <v>56185.75</v>
      </c>
    </row>
    <row r="157" spans="1:26" ht="12.75" hidden="1" outlineLevel="1">
      <c r="A157" s="132" t="s">
        <v>2137</v>
      </c>
      <c r="C157" s="171" t="s">
        <v>2138</v>
      </c>
      <c r="D157" s="171" t="s">
        <v>2139</v>
      </c>
      <c r="E157" s="132">
        <v>0</v>
      </c>
      <c r="F157" s="132">
        <v>2912.64</v>
      </c>
      <c r="G157" s="171">
        <f t="shared" si="30"/>
        <v>2912.64</v>
      </c>
      <c r="H157" s="132">
        <v>0</v>
      </c>
      <c r="I157" s="132">
        <v>0</v>
      </c>
      <c r="J157" s="132">
        <v>0</v>
      </c>
      <c r="K157" s="132">
        <v>0</v>
      </c>
      <c r="L157" s="132">
        <f t="shared" si="31"/>
        <v>0</v>
      </c>
      <c r="M157" s="132">
        <v>0</v>
      </c>
      <c r="N157" s="132">
        <v>0</v>
      </c>
      <c r="O157" s="132">
        <v>0</v>
      </c>
      <c r="P157" s="132">
        <f t="shared" si="32"/>
        <v>0</v>
      </c>
      <c r="Q157" s="171">
        <v>0</v>
      </c>
      <c r="R157" s="171">
        <v>0</v>
      </c>
      <c r="S157" s="171">
        <v>0</v>
      </c>
      <c r="T157" s="171">
        <v>0</v>
      </c>
      <c r="U157" s="171">
        <f t="shared" si="33"/>
        <v>0</v>
      </c>
      <c r="V157" s="171">
        <f t="shared" si="34"/>
        <v>2912.64</v>
      </c>
      <c r="W157" s="132">
        <v>0</v>
      </c>
      <c r="X157" s="132">
        <f t="shared" si="35"/>
        <v>2912.64</v>
      </c>
      <c r="Y157" s="171">
        <v>0</v>
      </c>
      <c r="Z157" s="132">
        <f t="shared" si="36"/>
        <v>2912.64</v>
      </c>
    </row>
    <row r="158" spans="1:26" ht="12.75" hidden="1" outlineLevel="1">
      <c r="A158" s="132" t="s">
        <v>2140</v>
      </c>
      <c r="C158" s="171" t="s">
        <v>2141</v>
      </c>
      <c r="D158" s="171" t="s">
        <v>2142</v>
      </c>
      <c r="E158" s="132">
        <v>0</v>
      </c>
      <c r="F158" s="132">
        <v>795</v>
      </c>
      <c r="G158" s="171">
        <f t="shared" si="30"/>
        <v>795</v>
      </c>
      <c r="H158" s="132">
        <v>10884.64</v>
      </c>
      <c r="I158" s="132">
        <v>0</v>
      </c>
      <c r="J158" s="132">
        <v>0</v>
      </c>
      <c r="K158" s="132">
        <v>0</v>
      </c>
      <c r="L158" s="132">
        <f t="shared" si="31"/>
        <v>0</v>
      </c>
      <c r="M158" s="132">
        <v>0</v>
      </c>
      <c r="N158" s="132">
        <v>0</v>
      </c>
      <c r="O158" s="132">
        <v>0</v>
      </c>
      <c r="P158" s="132">
        <f t="shared" si="32"/>
        <v>0</v>
      </c>
      <c r="Q158" s="171">
        <v>0</v>
      </c>
      <c r="R158" s="171">
        <v>0</v>
      </c>
      <c r="S158" s="171">
        <v>0</v>
      </c>
      <c r="T158" s="171">
        <v>0</v>
      </c>
      <c r="U158" s="171">
        <f t="shared" si="33"/>
        <v>0</v>
      </c>
      <c r="V158" s="171">
        <f t="shared" si="34"/>
        <v>11679.64</v>
      </c>
      <c r="W158" s="132">
        <v>0</v>
      </c>
      <c r="X158" s="132">
        <f t="shared" si="35"/>
        <v>11679.64</v>
      </c>
      <c r="Y158" s="171">
        <v>0</v>
      </c>
      <c r="Z158" s="132">
        <f t="shared" si="36"/>
        <v>11679.64</v>
      </c>
    </row>
    <row r="159" spans="1:26" ht="12.75" hidden="1" outlineLevel="1">
      <c r="A159" s="132" t="s">
        <v>2143</v>
      </c>
      <c r="C159" s="171" t="s">
        <v>2144</v>
      </c>
      <c r="D159" s="171" t="s">
        <v>2145</v>
      </c>
      <c r="E159" s="132">
        <v>0</v>
      </c>
      <c r="F159" s="132">
        <v>1227442.28</v>
      </c>
      <c r="G159" s="171">
        <f t="shared" si="30"/>
        <v>1227442.28</v>
      </c>
      <c r="H159" s="132">
        <v>112104.58</v>
      </c>
      <c r="I159" s="132">
        <v>0</v>
      </c>
      <c r="J159" s="132">
        <v>0</v>
      </c>
      <c r="K159" s="132">
        <v>185</v>
      </c>
      <c r="L159" s="132">
        <f t="shared" si="31"/>
        <v>185</v>
      </c>
      <c r="M159" s="132">
        <v>0</v>
      </c>
      <c r="N159" s="132">
        <v>7.98</v>
      </c>
      <c r="O159" s="132">
        <v>0</v>
      </c>
      <c r="P159" s="132">
        <f t="shared" si="32"/>
        <v>7.98</v>
      </c>
      <c r="Q159" s="171">
        <v>101.94</v>
      </c>
      <c r="R159" s="171">
        <v>0</v>
      </c>
      <c r="S159" s="171">
        <v>0</v>
      </c>
      <c r="T159" s="171">
        <v>0</v>
      </c>
      <c r="U159" s="171">
        <f t="shared" si="33"/>
        <v>101.94</v>
      </c>
      <c r="V159" s="171">
        <f t="shared" si="34"/>
        <v>1339841.78</v>
      </c>
      <c r="W159" s="132">
        <v>0</v>
      </c>
      <c r="X159" s="132">
        <f t="shared" si="35"/>
        <v>1339841.78</v>
      </c>
      <c r="Y159" s="171">
        <v>7917.3</v>
      </c>
      <c r="Z159" s="132">
        <f t="shared" si="36"/>
        <v>1347759.08</v>
      </c>
    </row>
    <row r="160" spans="1:26" ht="12.75" hidden="1" outlineLevel="1">
      <c r="A160" s="132" t="s">
        <v>2146</v>
      </c>
      <c r="C160" s="171" t="s">
        <v>2147</v>
      </c>
      <c r="D160" s="171" t="s">
        <v>2148</v>
      </c>
      <c r="E160" s="132">
        <v>0</v>
      </c>
      <c r="F160" s="132">
        <v>80465.58</v>
      </c>
      <c r="G160" s="171">
        <f t="shared" si="30"/>
        <v>80465.58</v>
      </c>
      <c r="H160" s="132">
        <v>5609.79</v>
      </c>
      <c r="I160" s="132">
        <v>0</v>
      </c>
      <c r="J160" s="132">
        <v>0</v>
      </c>
      <c r="K160" s="132">
        <v>0</v>
      </c>
      <c r="L160" s="132">
        <f t="shared" si="31"/>
        <v>0</v>
      </c>
      <c r="M160" s="132">
        <v>0</v>
      </c>
      <c r="N160" s="132">
        <v>0</v>
      </c>
      <c r="O160" s="132">
        <v>0</v>
      </c>
      <c r="P160" s="132">
        <f t="shared" si="32"/>
        <v>0</v>
      </c>
      <c r="Q160" s="171">
        <v>0</v>
      </c>
      <c r="R160" s="171">
        <v>0</v>
      </c>
      <c r="S160" s="171">
        <v>0</v>
      </c>
      <c r="T160" s="171">
        <v>0</v>
      </c>
      <c r="U160" s="171">
        <f t="shared" si="33"/>
        <v>0</v>
      </c>
      <c r="V160" s="171">
        <f t="shared" si="34"/>
        <v>86075.37</v>
      </c>
      <c r="W160" s="132">
        <v>0</v>
      </c>
      <c r="X160" s="132">
        <f t="shared" si="35"/>
        <v>86075.37</v>
      </c>
      <c r="Y160" s="171">
        <v>1587.39</v>
      </c>
      <c r="Z160" s="132">
        <f t="shared" si="36"/>
        <v>87662.76</v>
      </c>
    </row>
    <row r="161" spans="1:26" ht="12.75" hidden="1" outlineLevel="1">
      <c r="A161" s="132" t="s">
        <v>2149</v>
      </c>
      <c r="C161" s="171" t="s">
        <v>2150</v>
      </c>
      <c r="D161" s="171" t="s">
        <v>2151</v>
      </c>
      <c r="E161" s="132">
        <v>0</v>
      </c>
      <c r="F161" s="132">
        <v>11317.43</v>
      </c>
      <c r="G161" s="171">
        <f t="shared" si="30"/>
        <v>11317.43</v>
      </c>
      <c r="H161" s="132">
        <v>6454.6</v>
      </c>
      <c r="I161" s="132">
        <v>0</v>
      </c>
      <c r="J161" s="132">
        <v>0</v>
      </c>
      <c r="K161" s="132">
        <v>0</v>
      </c>
      <c r="L161" s="132">
        <f t="shared" si="31"/>
        <v>0</v>
      </c>
      <c r="M161" s="132">
        <v>0</v>
      </c>
      <c r="N161" s="132">
        <v>0</v>
      </c>
      <c r="O161" s="132">
        <v>0</v>
      </c>
      <c r="P161" s="132">
        <f t="shared" si="32"/>
        <v>0</v>
      </c>
      <c r="Q161" s="171">
        <v>0</v>
      </c>
      <c r="R161" s="171">
        <v>0</v>
      </c>
      <c r="S161" s="171">
        <v>0</v>
      </c>
      <c r="T161" s="171">
        <v>0</v>
      </c>
      <c r="U161" s="171">
        <f t="shared" si="33"/>
        <v>0</v>
      </c>
      <c r="V161" s="171">
        <f t="shared" si="34"/>
        <v>17772.03</v>
      </c>
      <c r="W161" s="132">
        <v>0</v>
      </c>
      <c r="X161" s="132">
        <f t="shared" si="35"/>
        <v>17772.03</v>
      </c>
      <c r="Y161" s="171">
        <v>0</v>
      </c>
      <c r="Z161" s="132">
        <f t="shared" si="36"/>
        <v>17772.03</v>
      </c>
    </row>
    <row r="162" spans="1:26" ht="12.75" hidden="1" outlineLevel="1">
      <c r="A162" s="132" t="s">
        <v>2152</v>
      </c>
      <c r="C162" s="171" t="s">
        <v>2153</v>
      </c>
      <c r="D162" s="171" t="s">
        <v>2154</v>
      </c>
      <c r="E162" s="132">
        <v>0</v>
      </c>
      <c r="F162" s="132">
        <v>40102.78</v>
      </c>
      <c r="G162" s="171">
        <f t="shared" si="30"/>
        <v>40102.78</v>
      </c>
      <c r="H162" s="132">
        <v>20359.63</v>
      </c>
      <c r="I162" s="132">
        <v>0</v>
      </c>
      <c r="J162" s="132">
        <v>0</v>
      </c>
      <c r="K162" s="132">
        <v>0</v>
      </c>
      <c r="L162" s="132">
        <f t="shared" si="31"/>
        <v>0</v>
      </c>
      <c r="M162" s="132">
        <v>0</v>
      </c>
      <c r="N162" s="132">
        <v>0</v>
      </c>
      <c r="O162" s="132">
        <v>0</v>
      </c>
      <c r="P162" s="132">
        <f t="shared" si="32"/>
        <v>0</v>
      </c>
      <c r="Q162" s="171">
        <v>0</v>
      </c>
      <c r="R162" s="171">
        <v>0</v>
      </c>
      <c r="S162" s="171">
        <v>0</v>
      </c>
      <c r="T162" s="171">
        <v>0</v>
      </c>
      <c r="U162" s="171">
        <f t="shared" si="33"/>
        <v>0</v>
      </c>
      <c r="V162" s="171">
        <f t="shared" si="34"/>
        <v>60462.41</v>
      </c>
      <c r="W162" s="132">
        <v>0</v>
      </c>
      <c r="X162" s="132">
        <f t="shared" si="35"/>
        <v>60462.41</v>
      </c>
      <c r="Y162" s="171">
        <v>288.11</v>
      </c>
      <c r="Z162" s="132">
        <f t="shared" si="36"/>
        <v>60750.520000000004</v>
      </c>
    </row>
    <row r="163" spans="1:26" ht="12.75" hidden="1" outlineLevel="1">
      <c r="A163" s="132" t="s">
        <v>2155</v>
      </c>
      <c r="C163" s="171" t="s">
        <v>2156</v>
      </c>
      <c r="D163" s="171" t="s">
        <v>2157</v>
      </c>
      <c r="E163" s="132">
        <v>0</v>
      </c>
      <c r="F163" s="132">
        <v>12002.59</v>
      </c>
      <c r="G163" s="171">
        <f t="shared" si="30"/>
        <v>12002.59</v>
      </c>
      <c r="H163" s="132">
        <v>8034.54</v>
      </c>
      <c r="I163" s="132">
        <v>0</v>
      </c>
      <c r="J163" s="132">
        <v>0</v>
      </c>
      <c r="K163" s="132">
        <v>0</v>
      </c>
      <c r="L163" s="132">
        <f t="shared" si="31"/>
        <v>0</v>
      </c>
      <c r="M163" s="132">
        <v>0</v>
      </c>
      <c r="N163" s="132">
        <v>0</v>
      </c>
      <c r="O163" s="132">
        <v>0</v>
      </c>
      <c r="P163" s="132">
        <f t="shared" si="32"/>
        <v>0</v>
      </c>
      <c r="Q163" s="171">
        <v>0</v>
      </c>
      <c r="R163" s="171">
        <v>0</v>
      </c>
      <c r="S163" s="171">
        <v>0</v>
      </c>
      <c r="T163" s="171">
        <v>0</v>
      </c>
      <c r="U163" s="171">
        <f t="shared" si="33"/>
        <v>0</v>
      </c>
      <c r="V163" s="171">
        <f t="shared" si="34"/>
        <v>20037.13</v>
      </c>
      <c r="W163" s="132">
        <v>0</v>
      </c>
      <c r="X163" s="132">
        <f t="shared" si="35"/>
        <v>20037.13</v>
      </c>
      <c r="Y163" s="171">
        <v>0</v>
      </c>
      <c r="Z163" s="132">
        <f t="shared" si="36"/>
        <v>20037.13</v>
      </c>
    </row>
    <row r="164" spans="1:26" ht="12.75" hidden="1" outlineLevel="1">
      <c r="A164" s="132" t="s">
        <v>2158</v>
      </c>
      <c r="C164" s="171" t="s">
        <v>2159</v>
      </c>
      <c r="D164" s="171" t="s">
        <v>2160</v>
      </c>
      <c r="E164" s="132">
        <v>0</v>
      </c>
      <c r="F164" s="132">
        <v>74</v>
      </c>
      <c r="G164" s="171">
        <f t="shared" si="30"/>
        <v>74</v>
      </c>
      <c r="H164" s="132">
        <v>250</v>
      </c>
      <c r="I164" s="132">
        <v>0</v>
      </c>
      <c r="J164" s="132">
        <v>0</v>
      </c>
      <c r="K164" s="132">
        <v>0</v>
      </c>
      <c r="L164" s="132">
        <f t="shared" si="31"/>
        <v>0</v>
      </c>
      <c r="M164" s="132">
        <v>0</v>
      </c>
      <c r="N164" s="132">
        <v>0</v>
      </c>
      <c r="O164" s="132">
        <v>0</v>
      </c>
      <c r="P164" s="132">
        <f t="shared" si="32"/>
        <v>0</v>
      </c>
      <c r="Q164" s="171">
        <v>0</v>
      </c>
      <c r="R164" s="171">
        <v>7.41</v>
      </c>
      <c r="S164" s="171">
        <v>0</v>
      </c>
      <c r="T164" s="171">
        <v>0</v>
      </c>
      <c r="U164" s="171">
        <f t="shared" si="33"/>
        <v>7.41</v>
      </c>
      <c r="V164" s="171">
        <f t="shared" si="34"/>
        <v>331.41</v>
      </c>
      <c r="W164" s="132">
        <v>0</v>
      </c>
      <c r="X164" s="132">
        <f t="shared" si="35"/>
        <v>331.41</v>
      </c>
      <c r="Y164" s="171">
        <v>0</v>
      </c>
      <c r="Z164" s="132">
        <f t="shared" si="36"/>
        <v>331.41</v>
      </c>
    </row>
    <row r="165" spans="1:26" ht="12.75" hidden="1" outlineLevel="1">
      <c r="A165" s="132" t="s">
        <v>2161</v>
      </c>
      <c r="C165" s="171" t="s">
        <v>2162</v>
      </c>
      <c r="D165" s="171" t="s">
        <v>2163</v>
      </c>
      <c r="E165" s="132">
        <v>0</v>
      </c>
      <c r="F165" s="132">
        <v>1226139.69</v>
      </c>
      <c r="G165" s="171">
        <f t="shared" si="30"/>
        <v>1226139.69</v>
      </c>
      <c r="H165" s="132">
        <v>114999.39</v>
      </c>
      <c r="I165" s="132">
        <v>0</v>
      </c>
      <c r="J165" s="132">
        <v>0</v>
      </c>
      <c r="K165" s="132">
        <v>0</v>
      </c>
      <c r="L165" s="132">
        <f t="shared" si="31"/>
        <v>0</v>
      </c>
      <c r="M165" s="132">
        <v>0</v>
      </c>
      <c r="N165" s="132">
        <v>0</v>
      </c>
      <c r="O165" s="132">
        <v>0</v>
      </c>
      <c r="P165" s="132">
        <f t="shared" si="32"/>
        <v>0</v>
      </c>
      <c r="Q165" s="171">
        <v>495</v>
      </c>
      <c r="R165" s="171">
        <v>495</v>
      </c>
      <c r="S165" s="171">
        <v>0</v>
      </c>
      <c r="T165" s="171">
        <v>0</v>
      </c>
      <c r="U165" s="171">
        <f t="shared" si="33"/>
        <v>990</v>
      </c>
      <c r="V165" s="171">
        <f t="shared" si="34"/>
        <v>1342129.0799999998</v>
      </c>
      <c r="W165" s="132">
        <v>0</v>
      </c>
      <c r="X165" s="132">
        <f t="shared" si="35"/>
        <v>1342129.0799999998</v>
      </c>
      <c r="Y165" s="171">
        <v>46</v>
      </c>
      <c r="Z165" s="132">
        <f t="shared" si="36"/>
        <v>1342175.0799999998</v>
      </c>
    </row>
    <row r="166" spans="1:26" ht="12.75" hidden="1" outlineLevel="1">
      <c r="A166" s="132" t="s">
        <v>2164</v>
      </c>
      <c r="C166" s="171" t="s">
        <v>2165</v>
      </c>
      <c r="D166" s="171" t="s">
        <v>2166</v>
      </c>
      <c r="E166" s="132">
        <v>0</v>
      </c>
      <c r="F166" s="132">
        <v>7656.02</v>
      </c>
      <c r="G166" s="171">
        <f t="shared" si="30"/>
        <v>7656.02</v>
      </c>
      <c r="H166" s="132">
        <v>833.1</v>
      </c>
      <c r="I166" s="132">
        <v>0</v>
      </c>
      <c r="J166" s="132">
        <v>0</v>
      </c>
      <c r="K166" s="132">
        <v>0</v>
      </c>
      <c r="L166" s="132">
        <f t="shared" si="31"/>
        <v>0</v>
      </c>
      <c r="M166" s="132">
        <v>0</v>
      </c>
      <c r="N166" s="132">
        <v>0</v>
      </c>
      <c r="O166" s="132">
        <v>0</v>
      </c>
      <c r="P166" s="132">
        <f t="shared" si="32"/>
        <v>0</v>
      </c>
      <c r="Q166" s="171">
        <v>0</v>
      </c>
      <c r="R166" s="171">
        <v>0</v>
      </c>
      <c r="S166" s="171">
        <v>0</v>
      </c>
      <c r="T166" s="171">
        <v>0</v>
      </c>
      <c r="U166" s="171">
        <f t="shared" si="33"/>
        <v>0</v>
      </c>
      <c r="V166" s="171">
        <f t="shared" si="34"/>
        <v>8489.12</v>
      </c>
      <c r="W166" s="132">
        <v>0</v>
      </c>
      <c r="X166" s="132">
        <f t="shared" si="35"/>
        <v>8489.12</v>
      </c>
      <c r="Y166" s="171">
        <v>0</v>
      </c>
      <c r="Z166" s="132">
        <f t="shared" si="36"/>
        <v>8489.12</v>
      </c>
    </row>
    <row r="167" spans="1:26" ht="12.75" hidden="1" outlineLevel="1">
      <c r="A167" s="132" t="s">
        <v>2167</v>
      </c>
      <c r="C167" s="171" t="s">
        <v>2168</v>
      </c>
      <c r="D167" s="171" t="s">
        <v>2169</v>
      </c>
      <c r="E167" s="132">
        <v>0</v>
      </c>
      <c r="F167" s="132">
        <v>268563.39</v>
      </c>
      <c r="G167" s="171">
        <f t="shared" si="30"/>
        <v>268563.39</v>
      </c>
      <c r="H167" s="132">
        <v>27225</v>
      </c>
      <c r="I167" s="132">
        <v>0</v>
      </c>
      <c r="J167" s="132">
        <v>0</v>
      </c>
      <c r="K167" s="132">
        <v>0</v>
      </c>
      <c r="L167" s="132">
        <f t="shared" si="31"/>
        <v>0</v>
      </c>
      <c r="M167" s="132">
        <v>0</v>
      </c>
      <c r="N167" s="132">
        <v>0</v>
      </c>
      <c r="O167" s="132">
        <v>0</v>
      </c>
      <c r="P167" s="132">
        <f t="shared" si="32"/>
        <v>0</v>
      </c>
      <c r="Q167" s="171">
        <v>0</v>
      </c>
      <c r="R167" s="171">
        <v>3484.04</v>
      </c>
      <c r="S167" s="171">
        <v>0</v>
      </c>
      <c r="T167" s="171">
        <v>0</v>
      </c>
      <c r="U167" s="171">
        <f t="shared" si="33"/>
        <v>3484.04</v>
      </c>
      <c r="V167" s="171">
        <f t="shared" si="34"/>
        <v>299272.43</v>
      </c>
      <c r="W167" s="132">
        <v>0</v>
      </c>
      <c r="X167" s="132">
        <f t="shared" si="35"/>
        <v>299272.43</v>
      </c>
      <c r="Y167" s="171">
        <v>145</v>
      </c>
      <c r="Z167" s="132">
        <f t="shared" si="36"/>
        <v>299417.43</v>
      </c>
    </row>
    <row r="168" spans="1:26" ht="12.75" hidden="1" outlineLevel="1">
      <c r="A168" s="132" t="s">
        <v>2170</v>
      </c>
      <c r="C168" s="171" t="s">
        <v>2171</v>
      </c>
      <c r="D168" s="171" t="s">
        <v>2172</v>
      </c>
      <c r="E168" s="132">
        <v>0</v>
      </c>
      <c r="F168" s="132">
        <v>59.51</v>
      </c>
      <c r="G168" s="171">
        <f t="shared" si="30"/>
        <v>59.51</v>
      </c>
      <c r="H168" s="132">
        <v>13979.77</v>
      </c>
      <c r="I168" s="132">
        <v>0</v>
      </c>
      <c r="J168" s="132">
        <v>0</v>
      </c>
      <c r="K168" s="132">
        <v>0</v>
      </c>
      <c r="L168" s="132">
        <f t="shared" si="31"/>
        <v>0</v>
      </c>
      <c r="M168" s="132">
        <v>0</v>
      </c>
      <c r="N168" s="132">
        <v>0</v>
      </c>
      <c r="O168" s="132">
        <v>0</v>
      </c>
      <c r="P168" s="132">
        <f t="shared" si="32"/>
        <v>0</v>
      </c>
      <c r="Q168" s="171">
        <v>0</v>
      </c>
      <c r="R168" s="171">
        <v>0</v>
      </c>
      <c r="S168" s="171">
        <v>0</v>
      </c>
      <c r="T168" s="171">
        <v>0</v>
      </c>
      <c r="U168" s="171">
        <f t="shared" si="33"/>
        <v>0</v>
      </c>
      <c r="V168" s="171">
        <f t="shared" si="34"/>
        <v>14039.28</v>
      </c>
      <c r="W168" s="132">
        <v>0</v>
      </c>
      <c r="X168" s="132">
        <f t="shared" si="35"/>
        <v>14039.28</v>
      </c>
      <c r="Y168" s="171">
        <v>0</v>
      </c>
      <c r="Z168" s="132">
        <f t="shared" si="36"/>
        <v>14039.28</v>
      </c>
    </row>
    <row r="169" spans="1:26" ht="12.75" hidden="1" outlineLevel="1">
      <c r="A169" s="132" t="s">
        <v>2173</v>
      </c>
      <c r="C169" s="171" t="s">
        <v>2174</v>
      </c>
      <c r="D169" s="171" t="s">
        <v>2175</v>
      </c>
      <c r="E169" s="132">
        <v>0</v>
      </c>
      <c r="F169" s="132">
        <v>175543.58</v>
      </c>
      <c r="G169" s="171">
        <f t="shared" si="30"/>
        <v>175543.58</v>
      </c>
      <c r="H169" s="132">
        <v>43729.54</v>
      </c>
      <c r="I169" s="132">
        <v>0</v>
      </c>
      <c r="J169" s="132">
        <v>0</v>
      </c>
      <c r="K169" s="132">
        <v>0</v>
      </c>
      <c r="L169" s="132">
        <f t="shared" si="31"/>
        <v>0</v>
      </c>
      <c r="M169" s="132">
        <v>0</v>
      </c>
      <c r="N169" s="132">
        <v>0</v>
      </c>
      <c r="O169" s="132">
        <v>0</v>
      </c>
      <c r="P169" s="132">
        <f t="shared" si="32"/>
        <v>0</v>
      </c>
      <c r="Q169" s="171">
        <v>0</v>
      </c>
      <c r="R169" s="171">
        <v>0</v>
      </c>
      <c r="S169" s="171">
        <v>0</v>
      </c>
      <c r="T169" s="171">
        <v>0</v>
      </c>
      <c r="U169" s="171">
        <f t="shared" si="33"/>
        <v>0</v>
      </c>
      <c r="V169" s="171">
        <f t="shared" si="34"/>
        <v>219273.12</v>
      </c>
      <c r="W169" s="132">
        <v>0</v>
      </c>
      <c r="X169" s="132">
        <f t="shared" si="35"/>
        <v>219273.12</v>
      </c>
      <c r="Y169" s="171">
        <v>0</v>
      </c>
      <c r="Z169" s="132">
        <f t="shared" si="36"/>
        <v>219273.12</v>
      </c>
    </row>
    <row r="170" spans="1:26" ht="12.75" hidden="1" outlineLevel="1">
      <c r="A170" s="132" t="s">
        <v>2176</v>
      </c>
      <c r="C170" s="171" t="s">
        <v>2177</v>
      </c>
      <c r="D170" s="171" t="s">
        <v>2178</v>
      </c>
      <c r="E170" s="132">
        <v>0</v>
      </c>
      <c r="F170" s="132">
        <v>24484.34</v>
      </c>
      <c r="G170" s="171">
        <f t="shared" si="30"/>
        <v>24484.34</v>
      </c>
      <c r="H170" s="132">
        <v>783.4</v>
      </c>
      <c r="I170" s="132">
        <v>0</v>
      </c>
      <c r="J170" s="132">
        <v>0</v>
      </c>
      <c r="K170" s="132">
        <v>0</v>
      </c>
      <c r="L170" s="132">
        <f t="shared" si="31"/>
        <v>0</v>
      </c>
      <c r="M170" s="132">
        <v>0</v>
      </c>
      <c r="N170" s="132">
        <v>0</v>
      </c>
      <c r="O170" s="132">
        <v>0</v>
      </c>
      <c r="P170" s="132">
        <f t="shared" si="32"/>
        <v>0</v>
      </c>
      <c r="Q170" s="171">
        <v>0</v>
      </c>
      <c r="R170" s="171">
        <v>0</v>
      </c>
      <c r="S170" s="171">
        <v>0</v>
      </c>
      <c r="T170" s="171">
        <v>0</v>
      </c>
      <c r="U170" s="171">
        <f t="shared" si="33"/>
        <v>0</v>
      </c>
      <c r="V170" s="171">
        <f t="shared" si="34"/>
        <v>25267.74</v>
      </c>
      <c r="W170" s="132">
        <v>0</v>
      </c>
      <c r="X170" s="132">
        <f t="shared" si="35"/>
        <v>25267.74</v>
      </c>
      <c r="Y170" s="171">
        <v>0</v>
      </c>
      <c r="Z170" s="132">
        <f t="shared" si="36"/>
        <v>25267.74</v>
      </c>
    </row>
    <row r="171" spans="1:26" ht="12.75" hidden="1" outlineLevel="1">
      <c r="A171" s="132" t="s">
        <v>2179</v>
      </c>
      <c r="C171" s="171" t="s">
        <v>2180</v>
      </c>
      <c r="D171" s="171" t="s">
        <v>2181</v>
      </c>
      <c r="E171" s="132">
        <v>0</v>
      </c>
      <c r="F171" s="132">
        <v>180601.26</v>
      </c>
      <c r="G171" s="171">
        <f t="shared" si="30"/>
        <v>180601.26</v>
      </c>
      <c r="H171" s="132">
        <v>23645.8</v>
      </c>
      <c r="I171" s="132">
        <v>0</v>
      </c>
      <c r="J171" s="132">
        <v>0</v>
      </c>
      <c r="K171" s="132">
        <v>0</v>
      </c>
      <c r="L171" s="132">
        <f t="shared" si="31"/>
        <v>0</v>
      </c>
      <c r="M171" s="132">
        <v>0</v>
      </c>
      <c r="N171" s="132">
        <v>0</v>
      </c>
      <c r="O171" s="132">
        <v>0</v>
      </c>
      <c r="P171" s="132">
        <f t="shared" si="32"/>
        <v>0</v>
      </c>
      <c r="Q171" s="171">
        <v>0</v>
      </c>
      <c r="R171" s="171">
        <v>0</v>
      </c>
      <c r="S171" s="171">
        <v>0</v>
      </c>
      <c r="T171" s="171">
        <v>0</v>
      </c>
      <c r="U171" s="171">
        <f t="shared" si="33"/>
        <v>0</v>
      </c>
      <c r="V171" s="171">
        <f t="shared" si="34"/>
        <v>204247.06</v>
      </c>
      <c r="W171" s="132">
        <v>0</v>
      </c>
      <c r="X171" s="132">
        <f t="shared" si="35"/>
        <v>204247.06</v>
      </c>
      <c r="Y171" s="171">
        <v>43.5</v>
      </c>
      <c r="Z171" s="132">
        <f t="shared" si="36"/>
        <v>204290.56</v>
      </c>
    </row>
    <row r="172" spans="1:26" ht="12.75" hidden="1" outlineLevel="1">
      <c r="A172" s="132" t="s">
        <v>2182</v>
      </c>
      <c r="C172" s="171" t="s">
        <v>2183</v>
      </c>
      <c r="D172" s="171" t="s">
        <v>2184</v>
      </c>
      <c r="E172" s="132">
        <v>0</v>
      </c>
      <c r="F172" s="132">
        <v>67.5</v>
      </c>
      <c r="G172" s="171">
        <f t="shared" si="30"/>
        <v>67.5</v>
      </c>
      <c r="H172" s="132">
        <v>0</v>
      </c>
      <c r="I172" s="132">
        <v>0</v>
      </c>
      <c r="J172" s="132">
        <v>0</v>
      </c>
      <c r="K172" s="132">
        <v>0</v>
      </c>
      <c r="L172" s="132">
        <f t="shared" si="31"/>
        <v>0</v>
      </c>
      <c r="M172" s="132">
        <v>0</v>
      </c>
      <c r="N172" s="132">
        <v>0</v>
      </c>
      <c r="O172" s="132">
        <v>0</v>
      </c>
      <c r="P172" s="132">
        <f t="shared" si="32"/>
        <v>0</v>
      </c>
      <c r="Q172" s="171">
        <v>0</v>
      </c>
      <c r="R172" s="171">
        <v>0</v>
      </c>
      <c r="S172" s="171">
        <v>0</v>
      </c>
      <c r="T172" s="171">
        <v>0</v>
      </c>
      <c r="U172" s="171">
        <f t="shared" si="33"/>
        <v>0</v>
      </c>
      <c r="V172" s="171">
        <f t="shared" si="34"/>
        <v>67.5</v>
      </c>
      <c r="W172" s="132">
        <v>0</v>
      </c>
      <c r="X172" s="132">
        <f t="shared" si="35"/>
        <v>67.5</v>
      </c>
      <c r="Y172" s="171">
        <v>0</v>
      </c>
      <c r="Z172" s="132">
        <f t="shared" si="36"/>
        <v>67.5</v>
      </c>
    </row>
    <row r="173" spans="1:26" ht="12.75" hidden="1" outlineLevel="1">
      <c r="A173" s="132" t="s">
        <v>2185</v>
      </c>
      <c r="C173" s="171" t="s">
        <v>2186</v>
      </c>
      <c r="D173" s="171" t="s">
        <v>2187</v>
      </c>
      <c r="E173" s="132">
        <v>0</v>
      </c>
      <c r="F173" s="132">
        <v>178880.01</v>
      </c>
      <c r="G173" s="171">
        <f t="shared" si="30"/>
        <v>178880.01</v>
      </c>
      <c r="H173" s="132">
        <v>727390.91</v>
      </c>
      <c r="I173" s="132">
        <v>0</v>
      </c>
      <c r="J173" s="132">
        <v>0</v>
      </c>
      <c r="K173" s="132">
        <v>0</v>
      </c>
      <c r="L173" s="132">
        <f t="shared" si="31"/>
        <v>0</v>
      </c>
      <c r="M173" s="132">
        <v>0</v>
      </c>
      <c r="N173" s="132">
        <v>0</v>
      </c>
      <c r="O173" s="132">
        <v>0</v>
      </c>
      <c r="P173" s="132">
        <f t="shared" si="32"/>
        <v>0</v>
      </c>
      <c r="Q173" s="171">
        <v>0</v>
      </c>
      <c r="R173" s="171">
        <v>0</v>
      </c>
      <c r="S173" s="171">
        <v>0</v>
      </c>
      <c r="T173" s="171">
        <v>0</v>
      </c>
      <c r="U173" s="171">
        <f t="shared" si="33"/>
        <v>0</v>
      </c>
      <c r="V173" s="171">
        <f t="shared" si="34"/>
        <v>906270.92</v>
      </c>
      <c r="W173" s="132">
        <v>0</v>
      </c>
      <c r="X173" s="132">
        <f t="shared" si="35"/>
        <v>906270.92</v>
      </c>
      <c r="Y173" s="171">
        <v>1453.47</v>
      </c>
      <c r="Z173" s="132">
        <f t="shared" si="36"/>
        <v>907724.39</v>
      </c>
    </row>
    <row r="174" spans="1:26" ht="12.75" hidden="1" outlineLevel="1">
      <c r="A174" s="132" t="s">
        <v>2188</v>
      </c>
      <c r="C174" s="171" t="s">
        <v>2189</v>
      </c>
      <c r="D174" s="171" t="s">
        <v>2190</v>
      </c>
      <c r="E174" s="132">
        <v>0</v>
      </c>
      <c r="F174" s="132">
        <v>355744.9</v>
      </c>
      <c r="G174" s="171">
        <f t="shared" si="30"/>
        <v>355744.9</v>
      </c>
      <c r="H174" s="132">
        <v>65797.23</v>
      </c>
      <c r="I174" s="132">
        <v>0</v>
      </c>
      <c r="J174" s="132">
        <v>0</v>
      </c>
      <c r="K174" s="132">
        <v>0</v>
      </c>
      <c r="L174" s="132">
        <f t="shared" si="31"/>
        <v>0</v>
      </c>
      <c r="M174" s="132">
        <v>0</v>
      </c>
      <c r="N174" s="132">
        <v>0</v>
      </c>
      <c r="O174" s="132">
        <v>0</v>
      </c>
      <c r="P174" s="132">
        <f t="shared" si="32"/>
        <v>0</v>
      </c>
      <c r="Q174" s="171">
        <v>0</v>
      </c>
      <c r="R174" s="171">
        <v>0</v>
      </c>
      <c r="S174" s="171">
        <v>0</v>
      </c>
      <c r="T174" s="171">
        <v>0</v>
      </c>
      <c r="U174" s="171">
        <f t="shared" si="33"/>
        <v>0</v>
      </c>
      <c r="V174" s="171">
        <f t="shared" si="34"/>
        <v>421542.13</v>
      </c>
      <c r="W174" s="132">
        <v>0</v>
      </c>
      <c r="X174" s="132">
        <f t="shared" si="35"/>
        <v>421542.13</v>
      </c>
      <c r="Y174" s="171">
        <v>172.5</v>
      </c>
      <c r="Z174" s="132">
        <f t="shared" si="36"/>
        <v>421714.63</v>
      </c>
    </row>
    <row r="175" spans="1:26" ht="12.75" hidden="1" outlineLevel="1">
      <c r="A175" s="132" t="s">
        <v>2191</v>
      </c>
      <c r="C175" s="171" t="s">
        <v>2192</v>
      </c>
      <c r="D175" s="171" t="s">
        <v>2193</v>
      </c>
      <c r="E175" s="132">
        <v>0</v>
      </c>
      <c r="F175" s="132">
        <v>626267.29</v>
      </c>
      <c r="G175" s="171">
        <f t="shared" si="30"/>
        <v>626267.29</v>
      </c>
      <c r="H175" s="132">
        <v>333.32</v>
      </c>
      <c r="I175" s="132">
        <v>0</v>
      </c>
      <c r="J175" s="132">
        <v>0</v>
      </c>
      <c r="K175" s="132">
        <v>0</v>
      </c>
      <c r="L175" s="132">
        <f t="shared" si="31"/>
        <v>0</v>
      </c>
      <c r="M175" s="132">
        <v>0</v>
      </c>
      <c r="N175" s="132">
        <v>0</v>
      </c>
      <c r="O175" s="132">
        <v>0</v>
      </c>
      <c r="P175" s="132">
        <f t="shared" si="32"/>
        <v>0</v>
      </c>
      <c r="Q175" s="171">
        <v>0</v>
      </c>
      <c r="R175" s="171">
        <v>0</v>
      </c>
      <c r="S175" s="171">
        <v>0</v>
      </c>
      <c r="T175" s="171">
        <v>0</v>
      </c>
      <c r="U175" s="171">
        <f t="shared" si="33"/>
        <v>0</v>
      </c>
      <c r="V175" s="171">
        <f t="shared" si="34"/>
        <v>626600.61</v>
      </c>
      <c r="W175" s="132">
        <v>0</v>
      </c>
      <c r="X175" s="132">
        <f t="shared" si="35"/>
        <v>626600.61</v>
      </c>
      <c r="Y175" s="171">
        <v>0</v>
      </c>
      <c r="Z175" s="132">
        <f t="shared" si="36"/>
        <v>626600.61</v>
      </c>
    </row>
    <row r="176" spans="1:26" ht="12.75" hidden="1" outlineLevel="1">
      <c r="A176" s="132" t="s">
        <v>2194</v>
      </c>
      <c r="C176" s="171" t="s">
        <v>2195</v>
      </c>
      <c r="D176" s="171" t="s">
        <v>2196</v>
      </c>
      <c r="E176" s="132">
        <v>0</v>
      </c>
      <c r="F176" s="132">
        <v>76564.39</v>
      </c>
      <c r="G176" s="171">
        <f t="shared" si="30"/>
        <v>76564.39</v>
      </c>
      <c r="H176" s="132">
        <v>903.75</v>
      </c>
      <c r="I176" s="132">
        <v>0</v>
      </c>
      <c r="J176" s="132">
        <v>0</v>
      </c>
      <c r="K176" s="132">
        <v>0</v>
      </c>
      <c r="L176" s="132">
        <f t="shared" si="31"/>
        <v>0</v>
      </c>
      <c r="M176" s="132">
        <v>0</v>
      </c>
      <c r="N176" s="132">
        <v>0</v>
      </c>
      <c r="O176" s="132">
        <v>0</v>
      </c>
      <c r="P176" s="132">
        <f t="shared" si="32"/>
        <v>0</v>
      </c>
      <c r="Q176" s="171">
        <v>0</v>
      </c>
      <c r="R176" s="171">
        <v>0</v>
      </c>
      <c r="S176" s="171">
        <v>0</v>
      </c>
      <c r="T176" s="171">
        <v>0</v>
      </c>
      <c r="U176" s="171">
        <f t="shared" si="33"/>
        <v>0</v>
      </c>
      <c r="V176" s="171">
        <f t="shared" si="34"/>
        <v>77468.14</v>
      </c>
      <c r="W176" s="132">
        <v>0</v>
      </c>
      <c r="X176" s="132">
        <f t="shared" si="35"/>
        <v>77468.14</v>
      </c>
      <c r="Y176" s="171">
        <v>0</v>
      </c>
      <c r="Z176" s="132">
        <f t="shared" si="36"/>
        <v>77468.14</v>
      </c>
    </row>
    <row r="177" spans="1:26" ht="12.75" hidden="1" outlineLevel="1">
      <c r="A177" s="132" t="s">
        <v>2197</v>
      </c>
      <c r="C177" s="171" t="s">
        <v>2198</v>
      </c>
      <c r="D177" s="171" t="s">
        <v>2199</v>
      </c>
      <c r="E177" s="132">
        <v>0</v>
      </c>
      <c r="F177" s="132">
        <v>304903.7</v>
      </c>
      <c r="G177" s="171">
        <f t="shared" si="30"/>
        <v>304903.7</v>
      </c>
      <c r="H177" s="132">
        <v>31432.31</v>
      </c>
      <c r="I177" s="132">
        <v>0</v>
      </c>
      <c r="J177" s="132">
        <v>0</v>
      </c>
      <c r="K177" s="132">
        <v>0</v>
      </c>
      <c r="L177" s="132">
        <f t="shared" si="31"/>
        <v>0</v>
      </c>
      <c r="M177" s="132">
        <v>0</v>
      </c>
      <c r="N177" s="132">
        <v>0</v>
      </c>
      <c r="O177" s="132">
        <v>0</v>
      </c>
      <c r="P177" s="132">
        <f t="shared" si="32"/>
        <v>0</v>
      </c>
      <c r="Q177" s="171">
        <v>0</v>
      </c>
      <c r="R177" s="171">
        <v>0</v>
      </c>
      <c r="S177" s="171">
        <v>0</v>
      </c>
      <c r="T177" s="171">
        <v>0</v>
      </c>
      <c r="U177" s="171">
        <f t="shared" si="33"/>
        <v>0</v>
      </c>
      <c r="V177" s="171">
        <f t="shared" si="34"/>
        <v>336336.01</v>
      </c>
      <c r="W177" s="132">
        <v>0</v>
      </c>
      <c r="X177" s="132">
        <f t="shared" si="35"/>
        <v>336336.01</v>
      </c>
      <c r="Y177" s="171">
        <v>982.56</v>
      </c>
      <c r="Z177" s="132">
        <f t="shared" si="36"/>
        <v>337318.57</v>
      </c>
    </row>
    <row r="178" spans="1:26" ht="12.75" hidden="1" outlineLevel="1">
      <c r="A178" s="132" t="s">
        <v>2200</v>
      </c>
      <c r="C178" s="171" t="s">
        <v>2201</v>
      </c>
      <c r="D178" s="171" t="s">
        <v>2202</v>
      </c>
      <c r="E178" s="132">
        <v>0</v>
      </c>
      <c r="F178" s="132">
        <v>15594.9</v>
      </c>
      <c r="G178" s="171">
        <f t="shared" si="30"/>
        <v>15594.9</v>
      </c>
      <c r="H178" s="132">
        <v>1155</v>
      </c>
      <c r="I178" s="132">
        <v>0</v>
      </c>
      <c r="J178" s="132">
        <v>0</v>
      </c>
      <c r="K178" s="132">
        <v>0</v>
      </c>
      <c r="L178" s="132">
        <f t="shared" si="31"/>
        <v>0</v>
      </c>
      <c r="M178" s="132">
        <v>0</v>
      </c>
      <c r="N178" s="132">
        <v>0</v>
      </c>
      <c r="O178" s="132">
        <v>0</v>
      </c>
      <c r="P178" s="132">
        <f t="shared" si="32"/>
        <v>0</v>
      </c>
      <c r="Q178" s="171">
        <v>0</v>
      </c>
      <c r="R178" s="171">
        <v>0</v>
      </c>
      <c r="S178" s="171">
        <v>0</v>
      </c>
      <c r="T178" s="171">
        <v>0</v>
      </c>
      <c r="U178" s="171">
        <f t="shared" si="33"/>
        <v>0</v>
      </c>
      <c r="V178" s="171">
        <f t="shared" si="34"/>
        <v>16749.9</v>
      </c>
      <c r="W178" s="132">
        <v>0</v>
      </c>
      <c r="X178" s="132">
        <f t="shared" si="35"/>
        <v>16749.9</v>
      </c>
      <c r="Y178" s="171">
        <v>-72</v>
      </c>
      <c r="Z178" s="132">
        <f t="shared" si="36"/>
        <v>16677.9</v>
      </c>
    </row>
    <row r="179" spans="1:26" ht="12.75" hidden="1" outlineLevel="1">
      <c r="A179" s="132" t="s">
        <v>2203</v>
      </c>
      <c r="C179" s="171" t="s">
        <v>2204</v>
      </c>
      <c r="D179" s="171" t="s">
        <v>2205</v>
      </c>
      <c r="E179" s="132">
        <v>0</v>
      </c>
      <c r="F179" s="132">
        <v>1805109.38</v>
      </c>
      <c r="G179" s="171">
        <f t="shared" si="30"/>
        <v>1805109.38</v>
      </c>
      <c r="H179" s="132">
        <v>9043.05</v>
      </c>
      <c r="I179" s="132">
        <v>0</v>
      </c>
      <c r="J179" s="132">
        <v>0</v>
      </c>
      <c r="K179" s="132">
        <v>0</v>
      </c>
      <c r="L179" s="132">
        <f t="shared" si="31"/>
        <v>0</v>
      </c>
      <c r="M179" s="132">
        <v>0</v>
      </c>
      <c r="N179" s="132">
        <v>0</v>
      </c>
      <c r="O179" s="132">
        <v>0</v>
      </c>
      <c r="P179" s="132">
        <f t="shared" si="32"/>
        <v>0</v>
      </c>
      <c r="Q179" s="171">
        <v>0</v>
      </c>
      <c r="R179" s="171">
        <v>0</v>
      </c>
      <c r="S179" s="171">
        <v>0</v>
      </c>
      <c r="T179" s="171">
        <v>0</v>
      </c>
      <c r="U179" s="171">
        <f t="shared" si="33"/>
        <v>0</v>
      </c>
      <c r="V179" s="171">
        <f t="shared" si="34"/>
        <v>1814152.43</v>
      </c>
      <c r="W179" s="132">
        <v>0</v>
      </c>
      <c r="X179" s="132">
        <f t="shared" si="35"/>
        <v>1814152.43</v>
      </c>
      <c r="Y179" s="171">
        <v>0</v>
      </c>
      <c r="Z179" s="132">
        <f t="shared" si="36"/>
        <v>1814152.43</v>
      </c>
    </row>
    <row r="180" spans="1:26" ht="12.75" hidden="1" outlineLevel="1">
      <c r="A180" s="132" t="s">
        <v>2206</v>
      </c>
      <c r="C180" s="171" t="s">
        <v>2207</v>
      </c>
      <c r="D180" s="171" t="s">
        <v>2208</v>
      </c>
      <c r="E180" s="132">
        <v>0</v>
      </c>
      <c r="F180" s="132">
        <v>400</v>
      </c>
      <c r="G180" s="171">
        <f t="shared" si="30"/>
        <v>400</v>
      </c>
      <c r="H180" s="132">
        <v>0</v>
      </c>
      <c r="I180" s="132">
        <v>0</v>
      </c>
      <c r="J180" s="132">
        <v>0</v>
      </c>
      <c r="K180" s="132">
        <v>0</v>
      </c>
      <c r="L180" s="132">
        <f t="shared" si="31"/>
        <v>0</v>
      </c>
      <c r="M180" s="132">
        <v>0</v>
      </c>
      <c r="N180" s="132">
        <v>0</v>
      </c>
      <c r="O180" s="132">
        <v>0</v>
      </c>
      <c r="P180" s="132">
        <f t="shared" si="32"/>
        <v>0</v>
      </c>
      <c r="Q180" s="171">
        <v>0</v>
      </c>
      <c r="R180" s="171">
        <v>0</v>
      </c>
      <c r="S180" s="171">
        <v>0</v>
      </c>
      <c r="T180" s="171">
        <v>0</v>
      </c>
      <c r="U180" s="171">
        <f t="shared" si="33"/>
        <v>0</v>
      </c>
      <c r="V180" s="171">
        <f t="shared" si="34"/>
        <v>400</v>
      </c>
      <c r="W180" s="132">
        <v>0</v>
      </c>
      <c r="X180" s="132">
        <f t="shared" si="35"/>
        <v>400</v>
      </c>
      <c r="Y180" s="171">
        <v>0</v>
      </c>
      <c r="Z180" s="132">
        <f t="shared" si="36"/>
        <v>400</v>
      </c>
    </row>
    <row r="181" spans="1:26" ht="12.75" hidden="1" outlineLevel="1">
      <c r="A181" s="132" t="s">
        <v>2209</v>
      </c>
      <c r="C181" s="171" t="s">
        <v>2210</v>
      </c>
      <c r="D181" s="171" t="s">
        <v>2211</v>
      </c>
      <c r="E181" s="132">
        <v>0</v>
      </c>
      <c r="F181" s="132">
        <v>184989.37</v>
      </c>
      <c r="G181" s="171">
        <f t="shared" si="30"/>
        <v>184989.37</v>
      </c>
      <c r="H181" s="132">
        <v>14449.22</v>
      </c>
      <c r="I181" s="132">
        <v>0</v>
      </c>
      <c r="J181" s="132">
        <v>0</v>
      </c>
      <c r="K181" s="132">
        <v>0</v>
      </c>
      <c r="L181" s="132">
        <f t="shared" si="31"/>
        <v>0</v>
      </c>
      <c r="M181" s="132">
        <v>0</v>
      </c>
      <c r="N181" s="132">
        <v>0</v>
      </c>
      <c r="O181" s="132">
        <v>0</v>
      </c>
      <c r="P181" s="132">
        <f t="shared" si="32"/>
        <v>0</v>
      </c>
      <c r="Q181" s="171">
        <v>0</v>
      </c>
      <c r="R181" s="171">
        <v>0</v>
      </c>
      <c r="S181" s="171">
        <v>0</v>
      </c>
      <c r="T181" s="171">
        <v>0</v>
      </c>
      <c r="U181" s="171">
        <f t="shared" si="33"/>
        <v>0</v>
      </c>
      <c r="V181" s="171">
        <f t="shared" si="34"/>
        <v>199438.59</v>
      </c>
      <c r="W181" s="132">
        <v>0</v>
      </c>
      <c r="X181" s="132">
        <f t="shared" si="35"/>
        <v>199438.59</v>
      </c>
      <c r="Y181" s="171">
        <v>1370.77</v>
      </c>
      <c r="Z181" s="132">
        <f t="shared" si="36"/>
        <v>200809.36</v>
      </c>
    </row>
    <row r="182" spans="1:26" ht="12.75" hidden="1" outlineLevel="1">
      <c r="A182" s="132" t="s">
        <v>2212</v>
      </c>
      <c r="C182" s="171" t="s">
        <v>2213</v>
      </c>
      <c r="D182" s="171" t="s">
        <v>2214</v>
      </c>
      <c r="E182" s="132">
        <v>0</v>
      </c>
      <c r="F182" s="132">
        <v>641698.64</v>
      </c>
      <c r="G182" s="171">
        <f t="shared" si="30"/>
        <v>641698.64</v>
      </c>
      <c r="H182" s="132">
        <v>198593.53</v>
      </c>
      <c r="I182" s="132">
        <v>0</v>
      </c>
      <c r="J182" s="132">
        <v>0</v>
      </c>
      <c r="K182" s="132">
        <v>0</v>
      </c>
      <c r="L182" s="132">
        <f t="shared" si="31"/>
        <v>0</v>
      </c>
      <c r="M182" s="132">
        <v>0</v>
      </c>
      <c r="N182" s="132">
        <v>0</v>
      </c>
      <c r="O182" s="132">
        <v>0</v>
      </c>
      <c r="P182" s="132">
        <f t="shared" si="32"/>
        <v>0</v>
      </c>
      <c r="Q182" s="171">
        <v>0</v>
      </c>
      <c r="R182" s="171">
        <v>0</v>
      </c>
      <c r="S182" s="171">
        <v>0</v>
      </c>
      <c r="T182" s="171">
        <v>0</v>
      </c>
      <c r="U182" s="171">
        <f t="shared" si="33"/>
        <v>0</v>
      </c>
      <c r="V182" s="171">
        <f t="shared" si="34"/>
        <v>840292.17</v>
      </c>
      <c r="W182" s="132">
        <v>0</v>
      </c>
      <c r="X182" s="132">
        <f t="shared" si="35"/>
        <v>840292.17</v>
      </c>
      <c r="Y182" s="171">
        <v>12632.16</v>
      </c>
      <c r="Z182" s="132">
        <f t="shared" si="36"/>
        <v>852924.3300000001</v>
      </c>
    </row>
    <row r="183" spans="1:26" ht="12.75" hidden="1" outlineLevel="1">
      <c r="A183" s="132" t="s">
        <v>2215</v>
      </c>
      <c r="C183" s="171" t="s">
        <v>2216</v>
      </c>
      <c r="D183" s="171" t="s">
        <v>2217</v>
      </c>
      <c r="E183" s="132">
        <v>0</v>
      </c>
      <c r="F183" s="132">
        <v>700695.32</v>
      </c>
      <c r="G183" s="171">
        <f t="shared" si="30"/>
        <v>700695.32</v>
      </c>
      <c r="H183" s="132">
        <v>263757.73</v>
      </c>
      <c r="I183" s="132">
        <v>0</v>
      </c>
      <c r="J183" s="132">
        <v>0</v>
      </c>
      <c r="K183" s="132">
        <v>0</v>
      </c>
      <c r="L183" s="132">
        <f t="shared" si="31"/>
        <v>0</v>
      </c>
      <c r="M183" s="132">
        <v>0</v>
      </c>
      <c r="N183" s="132">
        <v>379</v>
      </c>
      <c r="O183" s="132">
        <v>0</v>
      </c>
      <c r="P183" s="132">
        <f t="shared" si="32"/>
        <v>379</v>
      </c>
      <c r="Q183" s="171">
        <v>5.3</v>
      </c>
      <c r="R183" s="171">
        <v>0</v>
      </c>
      <c r="S183" s="171">
        <v>0</v>
      </c>
      <c r="T183" s="171">
        <v>0</v>
      </c>
      <c r="U183" s="171">
        <f t="shared" si="33"/>
        <v>5.3</v>
      </c>
      <c r="V183" s="171">
        <f t="shared" si="34"/>
        <v>964837.35</v>
      </c>
      <c r="W183" s="132">
        <v>0</v>
      </c>
      <c r="X183" s="132">
        <f t="shared" si="35"/>
        <v>964837.35</v>
      </c>
      <c r="Y183" s="171">
        <v>2718.59</v>
      </c>
      <c r="Z183" s="132">
        <f t="shared" si="36"/>
        <v>967555.94</v>
      </c>
    </row>
    <row r="184" spans="1:26" ht="12.75" hidden="1" outlineLevel="1">
      <c r="A184" s="132" t="s">
        <v>2218</v>
      </c>
      <c r="C184" s="171" t="s">
        <v>2219</v>
      </c>
      <c r="D184" s="171" t="s">
        <v>2220</v>
      </c>
      <c r="E184" s="132">
        <v>0</v>
      </c>
      <c r="F184" s="132">
        <v>241835.64</v>
      </c>
      <c r="G184" s="171">
        <f t="shared" si="30"/>
        <v>241835.64</v>
      </c>
      <c r="H184" s="132">
        <v>1908.6</v>
      </c>
      <c r="I184" s="132">
        <v>0</v>
      </c>
      <c r="J184" s="132">
        <v>0</v>
      </c>
      <c r="K184" s="132">
        <v>0</v>
      </c>
      <c r="L184" s="132">
        <f t="shared" si="31"/>
        <v>0</v>
      </c>
      <c r="M184" s="132">
        <v>0</v>
      </c>
      <c r="N184" s="132">
        <v>0</v>
      </c>
      <c r="O184" s="132">
        <v>0</v>
      </c>
      <c r="P184" s="132">
        <f t="shared" si="32"/>
        <v>0</v>
      </c>
      <c r="Q184" s="171">
        <v>0</v>
      </c>
      <c r="R184" s="171">
        <v>0</v>
      </c>
      <c r="S184" s="171">
        <v>0</v>
      </c>
      <c r="T184" s="171">
        <v>0</v>
      </c>
      <c r="U184" s="171">
        <f t="shared" si="33"/>
        <v>0</v>
      </c>
      <c r="V184" s="171">
        <f t="shared" si="34"/>
        <v>243744.24000000002</v>
      </c>
      <c r="W184" s="132">
        <v>0</v>
      </c>
      <c r="X184" s="132">
        <f t="shared" si="35"/>
        <v>243744.24000000002</v>
      </c>
      <c r="Y184" s="171">
        <v>0</v>
      </c>
      <c r="Z184" s="132">
        <f t="shared" si="36"/>
        <v>243744.24000000002</v>
      </c>
    </row>
    <row r="185" spans="1:26" ht="12.75" hidden="1" outlineLevel="1">
      <c r="A185" s="132" t="s">
        <v>2221</v>
      </c>
      <c r="C185" s="171" t="s">
        <v>2222</v>
      </c>
      <c r="D185" s="171" t="s">
        <v>2223</v>
      </c>
      <c r="E185" s="132">
        <v>0</v>
      </c>
      <c r="F185" s="132">
        <v>5874602.35</v>
      </c>
      <c r="G185" s="171">
        <f t="shared" si="30"/>
        <v>5874602.35</v>
      </c>
      <c r="H185" s="132">
        <v>1267633.83</v>
      </c>
      <c r="I185" s="132">
        <v>0</v>
      </c>
      <c r="J185" s="132">
        <v>0</v>
      </c>
      <c r="K185" s="132">
        <v>0</v>
      </c>
      <c r="L185" s="132">
        <f t="shared" si="31"/>
        <v>0</v>
      </c>
      <c r="M185" s="132">
        <v>0</v>
      </c>
      <c r="N185" s="132">
        <v>0</v>
      </c>
      <c r="O185" s="132">
        <v>0</v>
      </c>
      <c r="P185" s="132">
        <f t="shared" si="32"/>
        <v>0</v>
      </c>
      <c r="Q185" s="171">
        <v>0</v>
      </c>
      <c r="R185" s="171">
        <v>55757.46</v>
      </c>
      <c r="S185" s="171">
        <v>0</v>
      </c>
      <c r="T185" s="171">
        <v>0</v>
      </c>
      <c r="U185" s="171">
        <f t="shared" si="33"/>
        <v>55757.46</v>
      </c>
      <c r="V185" s="171">
        <f t="shared" si="34"/>
        <v>7197993.64</v>
      </c>
      <c r="W185" s="132">
        <v>0</v>
      </c>
      <c r="X185" s="132">
        <f t="shared" si="35"/>
        <v>7197993.64</v>
      </c>
      <c r="Y185" s="171">
        <v>33631.97</v>
      </c>
      <c r="Z185" s="132">
        <f t="shared" si="36"/>
        <v>7231625.609999999</v>
      </c>
    </row>
    <row r="186" spans="1:26" ht="12.75" hidden="1" outlineLevel="1">
      <c r="A186" s="132" t="s">
        <v>2224</v>
      </c>
      <c r="C186" s="171" t="s">
        <v>2225</v>
      </c>
      <c r="D186" s="171" t="s">
        <v>2226</v>
      </c>
      <c r="E186" s="132">
        <v>0</v>
      </c>
      <c r="F186" s="132">
        <v>782168.22</v>
      </c>
      <c r="G186" s="171">
        <f t="shared" si="30"/>
        <v>782168.22</v>
      </c>
      <c r="H186" s="132">
        <v>225167.34</v>
      </c>
      <c r="I186" s="132">
        <v>0</v>
      </c>
      <c r="J186" s="132">
        <v>0</v>
      </c>
      <c r="K186" s="132">
        <v>0</v>
      </c>
      <c r="L186" s="132">
        <f t="shared" si="31"/>
        <v>0</v>
      </c>
      <c r="M186" s="132">
        <v>0</v>
      </c>
      <c r="N186" s="132">
        <v>29</v>
      </c>
      <c r="O186" s="132">
        <v>0</v>
      </c>
      <c r="P186" s="132">
        <f t="shared" si="32"/>
        <v>29</v>
      </c>
      <c r="Q186" s="171">
        <v>0</v>
      </c>
      <c r="R186" s="171">
        <v>0</v>
      </c>
      <c r="S186" s="171">
        <v>0</v>
      </c>
      <c r="T186" s="171">
        <v>0</v>
      </c>
      <c r="U186" s="171">
        <f t="shared" si="33"/>
        <v>0</v>
      </c>
      <c r="V186" s="171">
        <f t="shared" si="34"/>
        <v>1007364.5599999999</v>
      </c>
      <c r="W186" s="132">
        <v>0</v>
      </c>
      <c r="X186" s="132">
        <f t="shared" si="35"/>
        <v>1007364.5599999999</v>
      </c>
      <c r="Y186" s="171">
        <v>1077.84</v>
      </c>
      <c r="Z186" s="132">
        <f t="shared" si="36"/>
        <v>1008442.3999999999</v>
      </c>
    </row>
    <row r="187" spans="1:26" ht="12.75" hidden="1" outlineLevel="1">
      <c r="A187" s="132" t="s">
        <v>2227</v>
      </c>
      <c r="C187" s="171" t="s">
        <v>2228</v>
      </c>
      <c r="D187" s="171" t="s">
        <v>2229</v>
      </c>
      <c r="E187" s="132">
        <v>0</v>
      </c>
      <c r="F187" s="132">
        <v>400</v>
      </c>
      <c r="G187" s="171">
        <f t="shared" si="30"/>
        <v>400</v>
      </c>
      <c r="H187" s="132">
        <v>0</v>
      </c>
      <c r="I187" s="132">
        <v>0</v>
      </c>
      <c r="J187" s="132">
        <v>0</v>
      </c>
      <c r="K187" s="132">
        <v>0</v>
      </c>
      <c r="L187" s="132">
        <f t="shared" si="31"/>
        <v>0</v>
      </c>
      <c r="M187" s="132">
        <v>0</v>
      </c>
      <c r="N187" s="132">
        <v>0</v>
      </c>
      <c r="O187" s="132">
        <v>0</v>
      </c>
      <c r="P187" s="132">
        <f t="shared" si="32"/>
        <v>0</v>
      </c>
      <c r="Q187" s="171">
        <v>0</v>
      </c>
      <c r="R187" s="171">
        <v>0</v>
      </c>
      <c r="S187" s="171">
        <v>0</v>
      </c>
      <c r="T187" s="171">
        <v>0</v>
      </c>
      <c r="U187" s="171">
        <f t="shared" si="33"/>
        <v>0</v>
      </c>
      <c r="V187" s="171">
        <f t="shared" si="34"/>
        <v>400</v>
      </c>
      <c r="W187" s="132">
        <v>0</v>
      </c>
      <c r="X187" s="132">
        <f t="shared" si="35"/>
        <v>400</v>
      </c>
      <c r="Y187" s="171">
        <v>0</v>
      </c>
      <c r="Z187" s="132">
        <f t="shared" si="36"/>
        <v>400</v>
      </c>
    </row>
    <row r="188" spans="1:26" ht="12.75" hidden="1" outlineLevel="1">
      <c r="A188" s="132" t="s">
        <v>2230</v>
      </c>
      <c r="C188" s="171" t="s">
        <v>2231</v>
      </c>
      <c r="D188" s="171" t="s">
        <v>2232</v>
      </c>
      <c r="E188" s="132">
        <v>0</v>
      </c>
      <c r="F188" s="132">
        <v>207670.94</v>
      </c>
      <c r="G188" s="171">
        <f t="shared" si="30"/>
        <v>207670.94</v>
      </c>
      <c r="H188" s="132">
        <v>156.83</v>
      </c>
      <c r="I188" s="132">
        <v>0</v>
      </c>
      <c r="J188" s="132">
        <v>0</v>
      </c>
      <c r="K188" s="132">
        <v>0</v>
      </c>
      <c r="L188" s="132">
        <f t="shared" si="31"/>
        <v>0</v>
      </c>
      <c r="M188" s="132">
        <v>0</v>
      </c>
      <c r="N188" s="132">
        <v>-55</v>
      </c>
      <c r="O188" s="132">
        <v>0</v>
      </c>
      <c r="P188" s="132">
        <f t="shared" si="32"/>
        <v>-55</v>
      </c>
      <c r="Q188" s="171">
        <v>0</v>
      </c>
      <c r="R188" s="171">
        <v>0</v>
      </c>
      <c r="S188" s="171">
        <v>0</v>
      </c>
      <c r="T188" s="171">
        <v>0</v>
      </c>
      <c r="U188" s="171">
        <f t="shared" si="33"/>
        <v>0</v>
      </c>
      <c r="V188" s="171">
        <f t="shared" si="34"/>
        <v>207772.77</v>
      </c>
      <c r="W188" s="132">
        <v>0</v>
      </c>
      <c r="X188" s="132">
        <f t="shared" si="35"/>
        <v>207772.77</v>
      </c>
      <c r="Y188" s="171">
        <v>-625</v>
      </c>
      <c r="Z188" s="132">
        <f t="shared" si="36"/>
        <v>207147.77</v>
      </c>
    </row>
    <row r="189" spans="1:26" ht="12.75" hidden="1" outlineLevel="1">
      <c r="A189" s="132" t="s">
        <v>2233</v>
      </c>
      <c r="C189" s="171" t="s">
        <v>2234</v>
      </c>
      <c r="D189" s="171" t="s">
        <v>2235</v>
      </c>
      <c r="E189" s="132">
        <v>0</v>
      </c>
      <c r="F189" s="132">
        <v>2584.22</v>
      </c>
      <c r="G189" s="171">
        <f t="shared" si="30"/>
        <v>2584.22</v>
      </c>
      <c r="H189" s="132">
        <v>132</v>
      </c>
      <c r="I189" s="132">
        <v>0</v>
      </c>
      <c r="J189" s="132">
        <v>0</v>
      </c>
      <c r="K189" s="132">
        <v>0</v>
      </c>
      <c r="L189" s="132">
        <f t="shared" si="31"/>
        <v>0</v>
      </c>
      <c r="M189" s="132">
        <v>0</v>
      </c>
      <c r="N189" s="132">
        <v>0</v>
      </c>
      <c r="O189" s="132">
        <v>0</v>
      </c>
      <c r="P189" s="132">
        <f t="shared" si="32"/>
        <v>0</v>
      </c>
      <c r="Q189" s="171">
        <v>0</v>
      </c>
      <c r="R189" s="171">
        <v>0</v>
      </c>
      <c r="S189" s="171">
        <v>0</v>
      </c>
      <c r="T189" s="171">
        <v>0</v>
      </c>
      <c r="U189" s="171">
        <f t="shared" si="33"/>
        <v>0</v>
      </c>
      <c r="V189" s="171">
        <f t="shared" si="34"/>
        <v>2716.22</v>
      </c>
      <c r="W189" s="132">
        <v>0</v>
      </c>
      <c r="X189" s="132">
        <f t="shared" si="35"/>
        <v>2716.22</v>
      </c>
      <c r="Y189" s="171">
        <v>0</v>
      </c>
      <c r="Z189" s="132">
        <f t="shared" si="36"/>
        <v>2716.22</v>
      </c>
    </row>
    <row r="190" spans="1:26" ht="12.75" hidden="1" outlineLevel="1">
      <c r="A190" s="132" t="s">
        <v>2236</v>
      </c>
      <c r="C190" s="171" t="s">
        <v>2237</v>
      </c>
      <c r="D190" s="171" t="s">
        <v>2238</v>
      </c>
      <c r="E190" s="132">
        <v>0</v>
      </c>
      <c r="F190" s="132">
        <v>1867.88</v>
      </c>
      <c r="G190" s="171">
        <f t="shared" si="30"/>
        <v>1867.88</v>
      </c>
      <c r="H190" s="132">
        <v>0</v>
      </c>
      <c r="I190" s="132">
        <v>0</v>
      </c>
      <c r="J190" s="132">
        <v>0</v>
      </c>
      <c r="K190" s="132">
        <v>0</v>
      </c>
      <c r="L190" s="132">
        <f t="shared" si="31"/>
        <v>0</v>
      </c>
      <c r="M190" s="132">
        <v>0</v>
      </c>
      <c r="N190" s="132">
        <v>0</v>
      </c>
      <c r="O190" s="132">
        <v>0</v>
      </c>
      <c r="P190" s="132">
        <f t="shared" si="32"/>
        <v>0</v>
      </c>
      <c r="Q190" s="171">
        <v>0</v>
      </c>
      <c r="R190" s="171">
        <v>0</v>
      </c>
      <c r="S190" s="171">
        <v>0</v>
      </c>
      <c r="T190" s="171">
        <v>0</v>
      </c>
      <c r="U190" s="171">
        <f t="shared" si="33"/>
        <v>0</v>
      </c>
      <c r="V190" s="171">
        <f t="shared" si="34"/>
        <v>1867.88</v>
      </c>
      <c r="W190" s="132">
        <v>0</v>
      </c>
      <c r="X190" s="132">
        <f t="shared" si="35"/>
        <v>1867.88</v>
      </c>
      <c r="Y190" s="171">
        <v>0</v>
      </c>
      <c r="Z190" s="132">
        <f t="shared" si="36"/>
        <v>1867.88</v>
      </c>
    </row>
    <row r="191" spans="1:26" ht="12.75" hidden="1" outlineLevel="1">
      <c r="A191" s="132" t="s">
        <v>2239</v>
      </c>
      <c r="C191" s="171" t="s">
        <v>2240</v>
      </c>
      <c r="D191" s="171" t="s">
        <v>2241</v>
      </c>
      <c r="E191" s="132">
        <v>0</v>
      </c>
      <c r="F191" s="132">
        <v>442402.5</v>
      </c>
      <c r="G191" s="171">
        <f t="shared" si="30"/>
        <v>442402.5</v>
      </c>
      <c r="H191" s="132">
        <v>674202.63</v>
      </c>
      <c r="I191" s="132">
        <v>0</v>
      </c>
      <c r="J191" s="132">
        <v>0</v>
      </c>
      <c r="K191" s="132">
        <v>0</v>
      </c>
      <c r="L191" s="132">
        <f t="shared" si="31"/>
        <v>0</v>
      </c>
      <c r="M191" s="132">
        <v>0</v>
      </c>
      <c r="N191" s="132">
        <v>0</v>
      </c>
      <c r="O191" s="132">
        <v>0</v>
      </c>
      <c r="P191" s="132">
        <f t="shared" si="32"/>
        <v>0</v>
      </c>
      <c r="Q191" s="171">
        <v>0</v>
      </c>
      <c r="R191" s="171">
        <v>0</v>
      </c>
      <c r="S191" s="171">
        <v>0</v>
      </c>
      <c r="T191" s="171">
        <v>0</v>
      </c>
      <c r="U191" s="171">
        <f t="shared" si="33"/>
        <v>0</v>
      </c>
      <c r="V191" s="171">
        <f t="shared" si="34"/>
        <v>1116605.13</v>
      </c>
      <c r="W191" s="132">
        <v>0</v>
      </c>
      <c r="X191" s="132">
        <f t="shared" si="35"/>
        <v>1116605.13</v>
      </c>
      <c r="Y191" s="171">
        <v>0</v>
      </c>
      <c r="Z191" s="132">
        <f t="shared" si="36"/>
        <v>1116605.13</v>
      </c>
    </row>
    <row r="192" spans="1:26" ht="12.75" hidden="1" outlineLevel="1">
      <c r="A192" s="132" t="s">
        <v>2242</v>
      </c>
      <c r="C192" s="171" t="s">
        <v>2243</v>
      </c>
      <c r="D192" s="171" t="s">
        <v>2244</v>
      </c>
      <c r="E192" s="132">
        <v>0</v>
      </c>
      <c r="F192" s="132">
        <v>354501.28</v>
      </c>
      <c r="G192" s="171">
        <f t="shared" si="30"/>
        <v>354501.28</v>
      </c>
      <c r="H192" s="132">
        <v>19800.91</v>
      </c>
      <c r="I192" s="132">
        <v>0</v>
      </c>
      <c r="J192" s="132">
        <v>0</v>
      </c>
      <c r="K192" s="132">
        <v>0</v>
      </c>
      <c r="L192" s="132">
        <f t="shared" si="31"/>
        <v>0</v>
      </c>
      <c r="M192" s="132">
        <v>0</v>
      </c>
      <c r="N192" s="132">
        <v>0</v>
      </c>
      <c r="O192" s="132">
        <v>0</v>
      </c>
      <c r="P192" s="132">
        <f t="shared" si="32"/>
        <v>0</v>
      </c>
      <c r="Q192" s="171">
        <v>0</v>
      </c>
      <c r="R192" s="171">
        <v>0</v>
      </c>
      <c r="S192" s="171">
        <v>0</v>
      </c>
      <c r="T192" s="171">
        <v>0</v>
      </c>
      <c r="U192" s="171">
        <f t="shared" si="33"/>
        <v>0</v>
      </c>
      <c r="V192" s="171">
        <f t="shared" si="34"/>
        <v>374302.19</v>
      </c>
      <c r="W192" s="132">
        <v>0</v>
      </c>
      <c r="X192" s="132">
        <f t="shared" si="35"/>
        <v>374302.19</v>
      </c>
      <c r="Y192" s="171">
        <v>156.6</v>
      </c>
      <c r="Z192" s="132">
        <f t="shared" si="36"/>
        <v>374458.79</v>
      </c>
    </row>
    <row r="193" spans="1:26" ht="12.75" hidden="1" outlineLevel="1">
      <c r="A193" s="132" t="s">
        <v>2245</v>
      </c>
      <c r="C193" s="171" t="s">
        <v>2246</v>
      </c>
      <c r="D193" s="171" t="s">
        <v>2247</v>
      </c>
      <c r="E193" s="132">
        <v>0</v>
      </c>
      <c r="F193" s="132">
        <v>184338.67</v>
      </c>
      <c r="G193" s="171">
        <f t="shared" si="30"/>
        <v>184338.67</v>
      </c>
      <c r="H193" s="132">
        <v>12374.6</v>
      </c>
      <c r="I193" s="132">
        <v>0</v>
      </c>
      <c r="J193" s="132">
        <v>0</v>
      </c>
      <c r="K193" s="132">
        <v>0</v>
      </c>
      <c r="L193" s="132">
        <f t="shared" si="31"/>
        <v>0</v>
      </c>
      <c r="M193" s="132">
        <v>0</v>
      </c>
      <c r="N193" s="132">
        <v>0</v>
      </c>
      <c r="O193" s="132">
        <v>0</v>
      </c>
      <c r="P193" s="132">
        <f t="shared" si="32"/>
        <v>0</v>
      </c>
      <c r="Q193" s="171">
        <v>1704</v>
      </c>
      <c r="R193" s="171">
        <v>0</v>
      </c>
      <c r="S193" s="171">
        <v>0</v>
      </c>
      <c r="T193" s="171">
        <v>0</v>
      </c>
      <c r="U193" s="171">
        <f t="shared" si="33"/>
        <v>1704</v>
      </c>
      <c r="V193" s="171">
        <f t="shared" si="34"/>
        <v>198417.27000000002</v>
      </c>
      <c r="W193" s="132">
        <v>0</v>
      </c>
      <c r="X193" s="132">
        <f t="shared" si="35"/>
        <v>198417.27000000002</v>
      </c>
      <c r="Y193" s="171">
        <v>7014.15</v>
      </c>
      <c r="Z193" s="132">
        <f t="shared" si="36"/>
        <v>205431.42</v>
      </c>
    </row>
    <row r="194" spans="1:26" ht="12.75" hidden="1" outlineLevel="1">
      <c r="A194" s="132" t="s">
        <v>2248</v>
      </c>
      <c r="C194" s="171" t="s">
        <v>2249</v>
      </c>
      <c r="D194" s="171" t="s">
        <v>2250</v>
      </c>
      <c r="E194" s="132">
        <v>0</v>
      </c>
      <c r="F194" s="132">
        <v>26173.59</v>
      </c>
      <c r="G194" s="171">
        <f t="shared" si="30"/>
        <v>26173.59</v>
      </c>
      <c r="H194" s="132">
        <v>0</v>
      </c>
      <c r="I194" s="132">
        <v>0</v>
      </c>
      <c r="J194" s="132">
        <v>0</v>
      </c>
      <c r="K194" s="132">
        <v>0</v>
      </c>
      <c r="L194" s="132">
        <f t="shared" si="31"/>
        <v>0</v>
      </c>
      <c r="M194" s="132">
        <v>0</v>
      </c>
      <c r="N194" s="132">
        <v>0</v>
      </c>
      <c r="O194" s="132">
        <v>0</v>
      </c>
      <c r="P194" s="132">
        <f t="shared" si="32"/>
        <v>0</v>
      </c>
      <c r="Q194" s="171">
        <v>0</v>
      </c>
      <c r="R194" s="171">
        <v>0</v>
      </c>
      <c r="S194" s="171">
        <v>0</v>
      </c>
      <c r="T194" s="171">
        <v>0</v>
      </c>
      <c r="U194" s="171">
        <f t="shared" si="33"/>
        <v>0</v>
      </c>
      <c r="V194" s="171">
        <f t="shared" si="34"/>
        <v>26173.59</v>
      </c>
      <c r="W194" s="132">
        <v>0</v>
      </c>
      <c r="X194" s="132">
        <f t="shared" si="35"/>
        <v>26173.59</v>
      </c>
      <c r="Y194" s="171">
        <v>0</v>
      </c>
      <c r="Z194" s="132">
        <f t="shared" si="36"/>
        <v>26173.59</v>
      </c>
    </row>
    <row r="195" spans="1:26" ht="12.75" hidden="1" outlineLevel="1">
      <c r="A195" s="132" t="s">
        <v>2251</v>
      </c>
      <c r="C195" s="171" t="s">
        <v>2252</v>
      </c>
      <c r="D195" s="171" t="s">
        <v>2253</v>
      </c>
      <c r="E195" s="132">
        <v>0</v>
      </c>
      <c r="F195" s="132">
        <v>436286.4</v>
      </c>
      <c r="G195" s="171">
        <f t="shared" si="30"/>
        <v>436286.4</v>
      </c>
      <c r="H195" s="132">
        <v>585159.84</v>
      </c>
      <c r="I195" s="132">
        <v>0</v>
      </c>
      <c r="J195" s="132">
        <v>0</v>
      </c>
      <c r="K195" s="132">
        <v>0</v>
      </c>
      <c r="L195" s="132">
        <f t="shared" si="31"/>
        <v>0</v>
      </c>
      <c r="M195" s="132">
        <v>0</v>
      </c>
      <c r="N195" s="132">
        <v>0</v>
      </c>
      <c r="O195" s="132">
        <v>0</v>
      </c>
      <c r="P195" s="132">
        <f t="shared" si="32"/>
        <v>0</v>
      </c>
      <c r="Q195" s="171">
        <v>0</v>
      </c>
      <c r="R195" s="171">
        <v>0</v>
      </c>
      <c r="S195" s="171">
        <v>0</v>
      </c>
      <c r="T195" s="171">
        <v>0</v>
      </c>
      <c r="U195" s="171">
        <f t="shared" si="33"/>
        <v>0</v>
      </c>
      <c r="V195" s="171">
        <f t="shared" si="34"/>
        <v>1021446.24</v>
      </c>
      <c r="W195" s="132">
        <v>0</v>
      </c>
      <c r="X195" s="132">
        <f t="shared" si="35"/>
        <v>1021446.24</v>
      </c>
      <c r="Y195" s="171">
        <v>0</v>
      </c>
      <c r="Z195" s="132">
        <f t="shared" si="36"/>
        <v>1021446.24</v>
      </c>
    </row>
    <row r="196" spans="1:26" ht="12.75" hidden="1" outlineLevel="1">
      <c r="A196" s="132" t="s">
        <v>2254</v>
      </c>
      <c r="C196" s="171" t="s">
        <v>2255</v>
      </c>
      <c r="D196" s="171" t="s">
        <v>2256</v>
      </c>
      <c r="E196" s="132">
        <v>0</v>
      </c>
      <c r="F196" s="132">
        <v>175891.16</v>
      </c>
      <c r="G196" s="171">
        <f t="shared" si="30"/>
        <v>175891.16</v>
      </c>
      <c r="H196" s="132">
        <v>16533.43</v>
      </c>
      <c r="I196" s="132">
        <v>0</v>
      </c>
      <c r="J196" s="132">
        <v>0</v>
      </c>
      <c r="K196" s="132">
        <v>0</v>
      </c>
      <c r="L196" s="132">
        <f t="shared" si="31"/>
        <v>0</v>
      </c>
      <c r="M196" s="132">
        <v>0</v>
      </c>
      <c r="N196" s="132">
        <v>0</v>
      </c>
      <c r="O196" s="132">
        <v>0</v>
      </c>
      <c r="P196" s="132">
        <f t="shared" si="32"/>
        <v>0</v>
      </c>
      <c r="Q196" s="171">
        <v>0</v>
      </c>
      <c r="R196" s="171">
        <v>0</v>
      </c>
      <c r="S196" s="171">
        <v>0</v>
      </c>
      <c r="T196" s="171">
        <v>0</v>
      </c>
      <c r="U196" s="171">
        <f t="shared" si="33"/>
        <v>0</v>
      </c>
      <c r="V196" s="171">
        <f t="shared" si="34"/>
        <v>192424.59</v>
      </c>
      <c r="W196" s="132">
        <v>0</v>
      </c>
      <c r="X196" s="132">
        <f t="shared" si="35"/>
        <v>192424.59</v>
      </c>
      <c r="Y196" s="171">
        <v>0</v>
      </c>
      <c r="Z196" s="132">
        <f t="shared" si="36"/>
        <v>192424.59</v>
      </c>
    </row>
    <row r="197" spans="1:26" ht="12.75" hidden="1" outlineLevel="1">
      <c r="A197" s="132" t="s">
        <v>2257</v>
      </c>
      <c r="C197" s="171" t="s">
        <v>2258</v>
      </c>
      <c r="D197" s="171" t="s">
        <v>2259</v>
      </c>
      <c r="E197" s="132">
        <v>0</v>
      </c>
      <c r="F197" s="132">
        <v>25239.06</v>
      </c>
      <c r="G197" s="171">
        <f t="shared" si="30"/>
        <v>25239.06</v>
      </c>
      <c r="H197" s="132">
        <v>6225.77</v>
      </c>
      <c r="I197" s="132">
        <v>0</v>
      </c>
      <c r="J197" s="132">
        <v>0</v>
      </c>
      <c r="K197" s="132">
        <v>0</v>
      </c>
      <c r="L197" s="132">
        <f t="shared" si="31"/>
        <v>0</v>
      </c>
      <c r="M197" s="132">
        <v>0</v>
      </c>
      <c r="N197" s="132">
        <v>0</v>
      </c>
      <c r="O197" s="132">
        <v>0</v>
      </c>
      <c r="P197" s="132">
        <f t="shared" si="32"/>
        <v>0</v>
      </c>
      <c r="Q197" s="171">
        <v>0</v>
      </c>
      <c r="R197" s="171">
        <v>0</v>
      </c>
      <c r="S197" s="171">
        <v>0</v>
      </c>
      <c r="T197" s="171">
        <v>0</v>
      </c>
      <c r="U197" s="171">
        <f t="shared" si="33"/>
        <v>0</v>
      </c>
      <c r="V197" s="171">
        <f t="shared" si="34"/>
        <v>31464.83</v>
      </c>
      <c r="W197" s="132">
        <v>0</v>
      </c>
      <c r="X197" s="132">
        <f t="shared" si="35"/>
        <v>31464.83</v>
      </c>
      <c r="Y197" s="171">
        <v>0</v>
      </c>
      <c r="Z197" s="132">
        <f t="shared" si="36"/>
        <v>31464.83</v>
      </c>
    </row>
    <row r="198" spans="1:26" ht="12.75" hidden="1" outlineLevel="1">
      <c r="A198" s="132" t="s">
        <v>2260</v>
      </c>
      <c r="C198" s="171" t="s">
        <v>2261</v>
      </c>
      <c r="D198" s="171" t="s">
        <v>2262</v>
      </c>
      <c r="E198" s="132">
        <v>0</v>
      </c>
      <c r="F198" s="132">
        <v>60733.12</v>
      </c>
      <c r="G198" s="171">
        <f t="shared" si="30"/>
        <v>60733.12</v>
      </c>
      <c r="H198" s="132">
        <v>156.38</v>
      </c>
      <c r="I198" s="132">
        <v>0</v>
      </c>
      <c r="J198" s="132">
        <v>0</v>
      </c>
      <c r="K198" s="132">
        <v>0</v>
      </c>
      <c r="L198" s="132">
        <f t="shared" si="31"/>
        <v>0</v>
      </c>
      <c r="M198" s="132">
        <v>0</v>
      </c>
      <c r="N198" s="132">
        <v>0</v>
      </c>
      <c r="O198" s="132">
        <v>0</v>
      </c>
      <c r="P198" s="132">
        <f t="shared" si="32"/>
        <v>0</v>
      </c>
      <c r="Q198" s="171">
        <v>2020.96</v>
      </c>
      <c r="R198" s="171">
        <v>0</v>
      </c>
      <c r="S198" s="171">
        <v>0</v>
      </c>
      <c r="T198" s="171">
        <v>0</v>
      </c>
      <c r="U198" s="171">
        <f t="shared" si="33"/>
        <v>2020.96</v>
      </c>
      <c r="V198" s="171">
        <f t="shared" si="34"/>
        <v>62910.46</v>
      </c>
      <c r="W198" s="132">
        <v>0</v>
      </c>
      <c r="X198" s="132">
        <f t="shared" si="35"/>
        <v>62910.46</v>
      </c>
      <c r="Y198" s="171">
        <v>0</v>
      </c>
      <c r="Z198" s="132">
        <f t="shared" si="36"/>
        <v>62910.46</v>
      </c>
    </row>
    <row r="199" spans="1:26" ht="12.75" hidden="1" outlineLevel="1">
      <c r="A199" s="132" t="s">
        <v>2263</v>
      </c>
      <c r="C199" s="171" t="s">
        <v>2264</v>
      </c>
      <c r="D199" s="171" t="s">
        <v>2265</v>
      </c>
      <c r="E199" s="132">
        <v>0</v>
      </c>
      <c r="F199" s="132">
        <v>124527.21</v>
      </c>
      <c r="G199" s="171">
        <f t="shared" si="30"/>
        <v>124527.21</v>
      </c>
      <c r="H199" s="132">
        <v>0</v>
      </c>
      <c r="I199" s="132">
        <v>0</v>
      </c>
      <c r="J199" s="132">
        <v>0</v>
      </c>
      <c r="K199" s="132">
        <v>0</v>
      </c>
      <c r="L199" s="132">
        <f t="shared" si="31"/>
        <v>0</v>
      </c>
      <c r="M199" s="132">
        <v>0</v>
      </c>
      <c r="N199" s="132">
        <v>0</v>
      </c>
      <c r="O199" s="132">
        <v>0</v>
      </c>
      <c r="P199" s="132">
        <f t="shared" si="32"/>
        <v>0</v>
      </c>
      <c r="Q199" s="171">
        <v>0</v>
      </c>
      <c r="R199" s="171">
        <v>0</v>
      </c>
      <c r="S199" s="171">
        <v>0</v>
      </c>
      <c r="T199" s="171">
        <v>0</v>
      </c>
      <c r="U199" s="171">
        <f t="shared" si="33"/>
        <v>0</v>
      </c>
      <c r="V199" s="171">
        <f t="shared" si="34"/>
        <v>124527.21</v>
      </c>
      <c r="W199" s="132">
        <v>0</v>
      </c>
      <c r="X199" s="132">
        <f t="shared" si="35"/>
        <v>124527.21</v>
      </c>
      <c r="Y199" s="171">
        <v>0</v>
      </c>
      <c r="Z199" s="132">
        <f t="shared" si="36"/>
        <v>124527.21</v>
      </c>
    </row>
    <row r="200" spans="1:26" ht="12.75" hidden="1" outlineLevel="1">
      <c r="A200" s="132" t="s">
        <v>2266</v>
      </c>
      <c r="C200" s="171" t="s">
        <v>2267</v>
      </c>
      <c r="D200" s="171" t="s">
        <v>2268</v>
      </c>
      <c r="E200" s="132">
        <v>0</v>
      </c>
      <c r="F200" s="132">
        <v>17075.33</v>
      </c>
      <c r="G200" s="171">
        <f t="shared" si="30"/>
        <v>17075.33</v>
      </c>
      <c r="H200" s="132">
        <v>510.4</v>
      </c>
      <c r="I200" s="132">
        <v>0</v>
      </c>
      <c r="J200" s="132">
        <v>0</v>
      </c>
      <c r="K200" s="132">
        <v>0</v>
      </c>
      <c r="L200" s="132">
        <f t="shared" si="31"/>
        <v>0</v>
      </c>
      <c r="M200" s="132">
        <v>0</v>
      </c>
      <c r="N200" s="132">
        <v>0</v>
      </c>
      <c r="O200" s="132">
        <v>0</v>
      </c>
      <c r="P200" s="132">
        <f t="shared" si="32"/>
        <v>0</v>
      </c>
      <c r="Q200" s="171">
        <v>0</v>
      </c>
      <c r="R200" s="171">
        <v>0</v>
      </c>
      <c r="S200" s="171">
        <v>0</v>
      </c>
      <c r="T200" s="171">
        <v>0</v>
      </c>
      <c r="U200" s="171">
        <f t="shared" si="33"/>
        <v>0</v>
      </c>
      <c r="V200" s="171">
        <f t="shared" si="34"/>
        <v>17585.730000000003</v>
      </c>
      <c r="W200" s="132">
        <v>0</v>
      </c>
      <c r="X200" s="132">
        <f t="shared" si="35"/>
        <v>17585.730000000003</v>
      </c>
      <c r="Y200" s="171">
        <v>0</v>
      </c>
      <c r="Z200" s="132">
        <f t="shared" si="36"/>
        <v>17585.730000000003</v>
      </c>
    </row>
    <row r="201" spans="1:26" ht="12.75" hidden="1" outlineLevel="1">
      <c r="A201" s="132" t="s">
        <v>2269</v>
      </c>
      <c r="C201" s="171" t="s">
        <v>2270</v>
      </c>
      <c r="D201" s="171" t="s">
        <v>2271</v>
      </c>
      <c r="E201" s="132">
        <v>0</v>
      </c>
      <c r="F201" s="132">
        <v>-1.42</v>
      </c>
      <c r="G201" s="171">
        <f aca="true" t="shared" si="37" ref="G201:G264">E201+F201</f>
        <v>-1.42</v>
      </c>
      <c r="H201" s="132">
        <v>0</v>
      </c>
      <c r="I201" s="132">
        <v>0</v>
      </c>
      <c r="J201" s="132">
        <v>0</v>
      </c>
      <c r="K201" s="132">
        <v>0</v>
      </c>
      <c r="L201" s="132">
        <f aca="true" t="shared" si="38" ref="L201:L264">J201+I201+K201</f>
        <v>0</v>
      </c>
      <c r="M201" s="132">
        <v>0</v>
      </c>
      <c r="N201" s="132">
        <v>0</v>
      </c>
      <c r="O201" s="132">
        <v>0</v>
      </c>
      <c r="P201" s="132">
        <f aca="true" t="shared" si="39" ref="P201:P264">M201+N201+O201</f>
        <v>0</v>
      </c>
      <c r="Q201" s="171">
        <v>0</v>
      </c>
      <c r="R201" s="171">
        <v>0</v>
      </c>
      <c r="S201" s="171">
        <v>0</v>
      </c>
      <c r="T201" s="171">
        <v>0</v>
      </c>
      <c r="U201" s="171">
        <f aca="true" t="shared" si="40" ref="U201:U264">Q201+R201+S201+T201</f>
        <v>0</v>
      </c>
      <c r="V201" s="171">
        <f aca="true" t="shared" si="41" ref="V201:V264">G201+H201+L201+P201+U201</f>
        <v>-1.42</v>
      </c>
      <c r="W201" s="132">
        <v>0</v>
      </c>
      <c r="X201" s="132">
        <f aca="true" t="shared" si="42" ref="X201:X264">V201+W201</f>
        <v>-1.42</v>
      </c>
      <c r="Y201" s="171">
        <v>0</v>
      </c>
      <c r="Z201" s="132">
        <f aca="true" t="shared" si="43" ref="Z201:Z264">X201+Y201</f>
        <v>-1.42</v>
      </c>
    </row>
    <row r="202" spans="1:26" ht="12.75" hidden="1" outlineLevel="1">
      <c r="A202" s="132" t="s">
        <v>2272</v>
      </c>
      <c r="C202" s="171" t="s">
        <v>2273</v>
      </c>
      <c r="D202" s="171" t="s">
        <v>2274</v>
      </c>
      <c r="E202" s="132">
        <v>0</v>
      </c>
      <c r="F202" s="132">
        <v>49143.47</v>
      </c>
      <c r="G202" s="171">
        <f t="shared" si="37"/>
        <v>49143.47</v>
      </c>
      <c r="H202" s="132">
        <v>10532.79</v>
      </c>
      <c r="I202" s="132">
        <v>0</v>
      </c>
      <c r="J202" s="132">
        <v>0</v>
      </c>
      <c r="K202" s="132">
        <v>81.25</v>
      </c>
      <c r="L202" s="132">
        <f t="shared" si="38"/>
        <v>81.25</v>
      </c>
      <c r="M202" s="132">
        <v>0</v>
      </c>
      <c r="N202" s="132">
        <v>0</v>
      </c>
      <c r="O202" s="132">
        <v>0</v>
      </c>
      <c r="P202" s="132">
        <f t="shared" si="39"/>
        <v>0</v>
      </c>
      <c r="Q202" s="171">
        <v>0</v>
      </c>
      <c r="R202" s="171">
        <v>0</v>
      </c>
      <c r="S202" s="171">
        <v>0</v>
      </c>
      <c r="T202" s="171">
        <v>0</v>
      </c>
      <c r="U202" s="171">
        <f t="shared" si="40"/>
        <v>0</v>
      </c>
      <c r="V202" s="171">
        <f t="shared" si="41"/>
        <v>59757.51</v>
      </c>
      <c r="W202" s="132">
        <v>0</v>
      </c>
      <c r="X202" s="132">
        <f t="shared" si="42"/>
        <v>59757.51</v>
      </c>
      <c r="Y202" s="171">
        <v>538.31</v>
      </c>
      <c r="Z202" s="132">
        <f t="shared" si="43"/>
        <v>60295.82</v>
      </c>
    </row>
    <row r="203" spans="1:26" ht="12.75" hidden="1" outlineLevel="1">
      <c r="A203" s="132" t="s">
        <v>2275</v>
      </c>
      <c r="C203" s="171" t="s">
        <v>2276</v>
      </c>
      <c r="D203" s="171" t="s">
        <v>2277</v>
      </c>
      <c r="E203" s="132">
        <v>0</v>
      </c>
      <c r="F203" s="132">
        <v>44303.77</v>
      </c>
      <c r="G203" s="171">
        <f t="shared" si="37"/>
        <v>44303.77</v>
      </c>
      <c r="H203" s="132">
        <v>0</v>
      </c>
      <c r="I203" s="132">
        <v>0</v>
      </c>
      <c r="J203" s="132">
        <v>0</v>
      </c>
      <c r="K203" s="132">
        <v>0</v>
      </c>
      <c r="L203" s="132">
        <f t="shared" si="38"/>
        <v>0</v>
      </c>
      <c r="M203" s="132">
        <v>0</v>
      </c>
      <c r="N203" s="132">
        <v>0</v>
      </c>
      <c r="O203" s="132">
        <v>0</v>
      </c>
      <c r="P203" s="132">
        <f t="shared" si="39"/>
        <v>0</v>
      </c>
      <c r="Q203" s="171">
        <v>678.6</v>
      </c>
      <c r="R203" s="171">
        <v>0</v>
      </c>
      <c r="S203" s="171">
        <v>0</v>
      </c>
      <c r="T203" s="171">
        <v>0</v>
      </c>
      <c r="U203" s="171">
        <f t="shared" si="40"/>
        <v>678.6</v>
      </c>
      <c r="V203" s="171">
        <f t="shared" si="41"/>
        <v>44982.369999999995</v>
      </c>
      <c r="W203" s="132">
        <v>0</v>
      </c>
      <c r="X203" s="132">
        <f t="shared" si="42"/>
        <v>44982.369999999995</v>
      </c>
      <c r="Y203" s="171">
        <v>0</v>
      </c>
      <c r="Z203" s="132">
        <f t="shared" si="43"/>
        <v>44982.369999999995</v>
      </c>
    </row>
    <row r="204" spans="1:26" ht="12.75" hidden="1" outlineLevel="1">
      <c r="A204" s="132" t="s">
        <v>2278</v>
      </c>
      <c r="C204" s="171" t="s">
        <v>2279</v>
      </c>
      <c r="D204" s="171" t="s">
        <v>2280</v>
      </c>
      <c r="E204" s="132">
        <v>0</v>
      </c>
      <c r="F204" s="132">
        <v>2198.82</v>
      </c>
      <c r="G204" s="171">
        <f t="shared" si="37"/>
        <v>2198.82</v>
      </c>
      <c r="H204" s="132">
        <v>0</v>
      </c>
      <c r="I204" s="132">
        <v>0</v>
      </c>
      <c r="J204" s="132">
        <v>0</v>
      </c>
      <c r="K204" s="132">
        <v>0</v>
      </c>
      <c r="L204" s="132">
        <f t="shared" si="38"/>
        <v>0</v>
      </c>
      <c r="M204" s="132">
        <v>0</v>
      </c>
      <c r="N204" s="132">
        <v>0</v>
      </c>
      <c r="O204" s="132">
        <v>0</v>
      </c>
      <c r="P204" s="132">
        <f t="shared" si="39"/>
        <v>0</v>
      </c>
      <c r="Q204" s="171">
        <v>2032.47</v>
      </c>
      <c r="R204" s="171">
        <v>0</v>
      </c>
      <c r="S204" s="171">
        <v>0</v>
      </c>
      <c r="T204" s="171">
        <v>0</v>
      </c>
      <c r="U204" s="171">
        <f t="shared" si="40"/>
        <v>2032.47</v>
      </c>
      <c r="V204" s="171">
        <f t="shared" si="41"/>
        <v>4231.29</v>
      </c>
      <c r="W204" s="132">
        <v>0</v>
      </c>
      <c r="X204" s="132">
        <f t="shared" si="42"/>
        <v>4231.29</v>
      </c>
      <c r="Y204" s="171">
        <v>0</v>
      </c>
      <c r="Z204" s="132">
        <f t="shared" si="43"/>
        <v>4231.29</v>
      </c>
    </row>
    <row r="205" spans="1:26" ht="12.75" hidden="1" outlineLevel="1">
      <c r="A205" s="132" t="s">
        <v>2281</v>
      </c>
      <c r="C205" s="171" t="s">
        <v>2282</v>
      </c>
      <c r="D205" s="171" t="s">
        <v>2283</v>
      </c>
      <c r="E205" s="132">
        <v>0</v>
      </c>
      <c r="F205" s="132">
        <v>4767.7</v>
      </c>
      <c r="G205" s="171">
        <f t="shared" si="37"/>
        <v>4767.7</v>
      </c>
      <c r="H205" s="132">
        <v>166.81</v>
      </c>
      <c r="I205" s="132">
        <v>0</v>
      </c>
      <c r="J205" s="132">
        <v>0</v>
      </c>
      <c r="K205" s="132">
        <v>0</v>
      </c>
      <c r="L205" s="132">
        <f t="shared" si="38"/>
        <v>0</v>
      </c>
      <c r="M205" s="132">
        <v>0</v>
      </c>
      <c r="N205" s="132">
        <v>0</v>
      </c>
      <c r="O205" s="132">
        <v>0</v>
      </c>
      <c r="P205" s="132">
        <f t="shared" si="39"/>
        <v>0</v>
      </c>
      <c r="Q205" s="171">
        <v>2544.8</v>
      </c>
      <c r="R205" s="171">
        <v>0</v>
      </c>
      <c r="S205" s="171">
        <v>0</v>
      </c>
      <c r="T205" s="171">
        <v>0</v>
      </c>
      <c r="U205" s="171">
        <f t="shared" si="40"/>
        <v>2544.8</v>
      </c>
      <c r="V205" s="171">
        <f t="shared" si="41"/>
        <v>7479.31</v>
      </c>
      <c r="W205" s="132">
        <v>0</v>
      </c>
      <c r="X205" s="132">
        <f t="shared" si="42"/>
        <v>7479.31</v>
      </c>
      <c r="Y205" s="171">
        <v>0</v>
      </c>
      <c r="Z205" s="132">
        <f t="shared" si="43"/>
        <v>7479.31</v>
      </c>
    </row>
    <row r="206" spans="1:26" ht="12.75" hidden="1" outlineLevel="1">
      <c r="A206" s="132" t="s">
        <v>2284</v>
      </c>
      <c r="C206" s="171" t="s">
        <v>2285</v>
      </c>
      <c r="D206" s="171" t="s">
        <v>2286</v>
      </c>
      <c r="E206" s="132">
        <v>0</v>
      </c>
      <c r="F206" s="132">
        <v>132539.16</v>
      </c>
      <c r="G206" s="171">
        <f t="shared" si="37"/>
        <v>132539.16</v>
      </c>
      <c r="H206" s="132">
        <v>15027.68</v>
      </c>
      <c r="I206" s="132">
        <v>0</v>
      </c>
      <c r="J206" s="132">
        <v>0</v>
      </c>
      <c r="K206" s="132">
        <v>0</v>
      </c>
      <c r="L206" s="132">
        <f t="shared" si="38"/>
        <v>0</v>
      </c>
      <c r="M206" s="132">
        <v>0</v>
      </c>
      <c r="N206" s="132">
        <v>0</v>
      </c>
      <c r="O206" s="132">
        <v>0</v>
      </c>
      <c r="P206" s="132">
        <f t="shared" si="39"/>
        <v>0</v>
      </c>
      <c r="Q206" s="171">
        <v>0</v>
      </c>
      <c r="R206" s="171">
        <v>0</v>
      </c>
      <c r="S206" s="171">
        <v>0</v>
      </c>
      <c r="T206" s="171">
        <v>0</v>
      </c>
      <c r="U206" s="171">
        <f t="shared" si="40"/>
        <v>0</v>
      </c>
      <c r="V206" s="171">
        <f t="shared" si="41"/>
        <v>147566.84</v>
      </c>
      <c r="W206" s="132">
        <v>0</v>
      </c>
      <c r="X206" s="132">
        <f t="shared" si="42"/>
        <v>147566.84</v>
      </c>
      <c r="Y206" s="171">
        <v>0</v>
      </c>
      <c r="Z206" s="132">
        <f t="shared" si="43"/>
        <v>147566.84</v>
      </c>
    </row>
    <row r="207" spans="1:26" ht="12.75" hidden="1" outlineLevel="1">
      <c r="A207" s="132" t="s">
        <v>2287</v>
      </c>
      <c r="C207" s="171" t="s">
        <v>2288</v>
      </c>
      <c r="D207" s="171" t="s">
        <v>2289</v>
      </c>
      <c r="E207" s="132">
        <v>0</v>
      </c>
      <c r="F207" s="132">
        <v>186577.95</v>
      </c>
      <c r="G207" s="171">
        <f t="shared" si="37"/>
        <v>186577.95</v>
      </c>
      <c r="H207" s="132">
        <v>134314.83</v>
      </c>
      <c r="I207" s="132">
        <v>0</v>
      </c>
      <c r="J207" s="132">
        <v>0</v>
      </c>
      <c r="K207" s="132">
        <v>0</v>
      </c>
      <c r="L207" s="132">
        <f t="shared" si="38"/>
        <v>0</v>
      </c>
      <c r="M207" s="132">
        <v>0</v>
      </c>
      <c r="N207" s="132">
        <v>0</v>
      </c>
      <c r="O207" s="132">
        <v>0</v>
      </c>
      <c r="P207" s="132">
        <f t="shared" si="39"/>
        <v>0</v>
      </c>
      <c r="Q207" s="171">
        <v>0</v>
      </c>
      <c r="R207" s="171">
        <v>0</v>
      </c>
      <c r="S207" s="171">
        <v>0</v>
      </c>
      <c r="T207" s="171">
        <v>0</v>
      </c>
      <c r="U207" s="171">
        <f t="shared" si="40"/>
        <v>0</v>
      </c>
      <c r="V207" s="171">
        <f t="shared" si="41"/>
        <v>320892.78</v>
      </c>
      <c r="W207" s="132">
        <v>0</v>
      </c>
      <c r="X207" s="132">
        <f t="shared" si="42"/>
        <v>320892.78</v>
      </c>
      <c r="Y207" s="171">
        <v>0</v>
      </c>
      <c r="Z207" s="132">
        <f t="shared" si="43"/>
        <v>320892.78</v>
      </c>
    </row>
    <row r="208" spans="1:26" ht="12.75" hidden="1" outlineLevel="1">
      <c r="A208" s="132" t="s">
        <v>2290</v>
      </c>
      <c r="C208" s="171" t="s">
        <v>2291</v>
      </c>
      <c r="D208" s="171" t="s">
        <v>2292</v>
      </c>
      <c r="E208" s="132">
        <v>0</v>
      </c>
      <c r="F208" s="132">
        <v>16477.78</v>
      </c>
      <c r="G208" s="171">
        <f t="shared" si="37"/>
        <v>16477.78</v>
      </c>
      <c r="H208" s="132">
        <v>0</v>
      </c>
      <c r="I208" s="132">
        <v>0</v>
      </c>
      <c r="J208" s="132">
        <v>0</v>
      </c>
      <c r="K208" s="132">
        <v>0</v>
      </c>
      <c r="L208" s="132">
        <f t="shared" si="38"/>
        <v>0</v>
      </c>
      <c r="M208" s="132">
        <v>0</v>
      </c>
      <c r="N208" s="132">
        <v>0</v>
      </c>
      <c r="O208" s="132">
        <v>0</v>
      </c>
      <c r="P208" s="132">
        <f t="shared" si="39"/>
        <v>0</v>
      </c>
      <c r="Q208" s="171">
        <v>0</v>
      </c>
      <c r="R208" s="171">
        <v>0</v>
      </c>
      <c r="S208" s="171">
        <v>0</v>
      </c>
      <c r="T208" s="171">
        <v>0</v>
      </c>
      <c r="U208" s="171">
        <f t="shared" si="40"/>
        <v>0</v>
      </c>
      <c r="V208" s="171">
        <f t="shared" si="41"/>
        <v>16477.78</v>
      </c>
      <c r="W208" s="132">
        <v>0</v>
      </c>
      <c r="X208" s="132">
        <f t="shared" si="42"/>
        <v>16477.78</v>
      </c>
      <c r="Y208" s="171">
        <v>0</v>
      </c>
      <c r="Z208" s="132">
        <f t="shared" si="43"/>
        <v>16477.78</v>
      </c>
    </row>
    <row r="209" spans="1:26" ht="12.75" hidden="1" outlineLevel="1">
      <c r="A209" s="132" t="s">
        <v>2293</v>
      </c>
      <c r="C209" s="171" t="s">
        <v>2294</v>
      </c>
      <c r="D209" s="171" t="s">
        <v>2295</v>
      </c>
      <c r="E209" s="132">
        <v>0</v>
      </c>
      <c r="F209" s="132">
        <v>834.3</v>
      </c>
      <c r="G209" s="171">
        <f t="shared" si="37"/>
        <v>834.3</v>
      </c>
      <c r="H209" s="132">
        <v>0</v>
      </c>
      <c r="I209" s="132">
        <v>0</v>
      </c>
      <c r="J209" s="132">
        <v>0</v>
      </c>
      <c r="K209" s="132">
        <v>0</v>
      </c>
      <c r="L209" s="132">
        <f t="shared" si="38"/>
        <v>0</v>
      </c>
      <c r="M209" s="132">
        <v>0</v>
      </c>
      <c r="N209" s="132">
        <v>0</v>
      </c>
      <c r="O209" s="132">
        <v>0</v>
      </c>
      <c r="P209" s="132">
        <f t="shared" si="39"/>
        <v>0</v>
      </c>
      <c r="Q209" s="171">
        <v>0</v>
      </c>
      <c r="R209" s="171">
        <v>0</v>
      </c>
      <c r="S209" s="171">
        <v>0</v>
      </c>
      <c r="T209" s="171">
        <v>0</v>
      </c>
      <c r="U209" s="171">
        <f t="shared" si="40"/>
        <v>0</v>
      </c>
      <c r="V209" s="171">
        <f t="shared" si="41"/>
        <v>834.3</v>
      </c>
      <c r="W209" s="132">
        <v>0</v>
      </c>
      <c r="X209" s="132">
        <f t="shared" si="42"/>
        <v>834.3</v>
      </c>
      <c r="Y209" s="171">
        <v>0</v>
      </c>
      <c r="Z209" s="132">
        <f t="shared" si="43"/>
        <v>834.3</v>
      </c>
    </row>
    <row r="210" spans="1:26" ht="12.75" hidden="1" outlineLevel="1">
      <c r="A210" s="132" t="s">
        <v>2296</v>
      </c>
      <c r="C210" s="171" t="s">
        <v>2297</v>
      </c>
      <c r="D210" s="171" t="s">
        <v>2298</v>
      </c>
      <c r="E210" s="132">
        <v>0</v>
      </c>
      <c r="F210" s="132">
        <v>4015.71</v>
      </c>
      <c r="G210" s="171">
        <f t="shared" si="37"/>
        <v>4015.71</v>
      </c>
      <c r="H210" s="132">
        <v>0</v>
      </c>
      <c r="I210" s="132">
        <v>0</v>
      </c>
      <c r="J210" s="132">
        <v>0</v>
      </c>
      <c r="K210" s="132">
        <v>0</v>
      </c>
      <c r="L210" s="132">
        <f t="shared" si="38"/>
        <v>0</v>
      </c>
      <c r="M210" s="132">
        <v>0</v>
      </c>
      <c r="N210" s="132">
        <v>0</v>
      </c>
      <c r="O210" s="132">
        <v>0</v>
      </c>
      <c r="P210" s="132">
        <f t="shared" si="39"/>
        <v>0</v>
      </c>
      <c r="Q210" s="171">
        <v>0</v>
      </c>
      <c r="R210" s="171">
        <v>0</v>
      </c>
      <c r="S210" s="171">
        <v>0</v>
      </c>
      <c r="T210" s="171">
        <v>0</v>
      </c>
      <c r="U210" s="171">
        <f t="shared" si="40"/>
        <v>0</v>
      </c>
      <c r="V210" s="171">
        <f t="shared" si="41"/>
        <v>4015.71</v>
      </c>
      <c r="W210" s="132">
        <v>0</v>
      </c>
      <c r="X210" s="132">
        <f t="shared" si="42"/>
        <v>4015.71</v>
      </c>
      <c r="Y210" s="171">
        <v>0</v>
      </c>
      <c r="Z210" s="132">
        <f t="shared" si="43"/>
        <v>4015.71</v>
      </c>
    </row>
    <row r="211" spans="1:26" ht="12.75" hidden="1" outlineLevel="1">
      <c r="A211" s="132" t="s">
        <v>2299</v>
      </c>
      <c r="C211" s="171" t="s">
        <v>2300</v>
      </c>
      <c r="D211" s="171" t="s">
        <v>2301</v>
      </c>
      <c r="E211" s="132">
        <v>0</v>
      </c>
      <c r="F211" s="132">
        <v>15142.34</v>
      </c>
      <c r="G211" s="171">
        <f t="shared" si="37"/>
        <v>15142.34</v>
      </c>
      <c r="H211" s="132">
        <v>0</v>
      </c>
      <c r="I211" s="132">
        <v>0</v>
      </c>
      <c r="J211" s="132">
        <v>0</v>
      </c>
      <c r="K211" s="132">
        <v>0</v>
      </c>
      <c r="L211" s="132">
        <f t="shared" si="38"/>
        <v>0</v>
      </c>
      <c r="M211" s="132">
        <v>0</v>
      </c>
      <c r="N211" s="132">
        <v>0</v>
      </c>
      <c r="O211" s="132">
        <v>0</v>
      </c>
      <c r="P211" s="132">
        <f t="shared" si="39"/>
        <v>0</v>
      </c>
      <c r="Q211" s="171">
        <v>0</v>
      </c>
      <c r="R211" s="171">
        <v>0</v>
      </c>
      <c r="S211" s="171">
        <v>0</v>
      </c>
      <c r="T211" s="171">
        <v>0</v>
      </c>
      <c r="U211" s="171">
        <f t="shared" si="40"/>
        <v>0</v>
      </c>
      <c r="V211" s="171">
        <f t="shared" si="41"/>
        <v>15142.34</v>
      </c>
      <c r="W211" s="132">
        <v>0</v>
      </c>
      <c r="X211" s="132">
        <f t="shared" si="42"/>
        <v>15142.34</v>
      </c>
      <c r="Y211" s="171">
        <v>0</v>
      </c>
      <c r="Z211" s="132">
        <f t="shared" si="43"/>
        <v>15142.34</v>
      </c>
    </row>
    <row r="212" spans="1:26" ht="12.75" hidden="1" outlineLevel="1">
      <c r="A212" s="132" t="s">
        <v>2302</v>
      </c>
      <c r="C212" s="171" t="s">
        <v>2303</v>
      </c>
      <c r="D212" s="171" t="s">
        <v>2304</v>
      </c>
      <c r="E212" s="132">
        <v>0</v>
      </c>
      <c r="F212" s="132">
        <v>230</v>
      </c>
      <c r="G212" s="171">
        <f t="shared" si="37"/>
        <v>230</v>
      </c>
      <c r="H212" s="132">
        <v>0</v>
      </c>
      <c r="I212" s="132">
        <v>0</v>
      </c>
      <c r="J212" s="132">
        <v>0</v>
      </c>
      <c r="K212" s="132">
        <v>0</v>
      </c>
      <c r="L212" s="132">
        <f t="shared" si="38"/>
        <v>0</v>
      </c>
      <c r="M212" s="132">
        <v>0</v>
      </c>
      <c r="N212" s="132">
        <v>0</v>
      </c>
      <c r="O212" s="132">
        <v>0</v>
      </c>
      <c r="P212" s="132">
        <f t="shared" si="39"/>
        <v>0</v>
      </c>
      <c r="Q212" s="171">
        <v>0</v>
      </c>
      <c r="R212" s="171">
        <v>0</v>
      </c>
      <c r="S212" s="171">
        <v>0</v>
      </c>
      <c r="T212" s="171">
        <v>0</v>
      </c>
      <c r="U212" s="171">
        <f t="shared" si="40"/>
        <v>0</v>
      </c>
      <c r="V212" s="171">
        <f t="shared" si="41"/>
        <v>230</v>
      </c>
      <c r="W212" s="132">
        <v>0</v>
      </c>
      <c r="X212" s="132">
        <f t="shared" si="42"/>
        <v>230</v>
      </c>
      <c r="Y212" s="171">
        <v>0</v>
      </c>
      <c r="Z212" s="132">
        <f t="shared" si="43"/>
        <v>230</v>
      </c>
    </row>
    <row r="213" spans="1:26" ht="12.75" hidden="1" outlineLevel="1">
      <c r="A213" s="132" t="s">
        <v>2305</v>
      </c>
      <c r="C213" s="171" t="s">
        <v>2306</v>
      </c>
      <c r="D213" s="171" t="s">
        <v>2307</v>
      </c>
      <c r="E213" s="132">
        <v>0</v>
      </c>
      <c r="F213" s="132">
        <v>32846.07</v>
      </c>
      <c r="G213" s="171">
        <f t="shared" si="37"/>
        <v>32846.07</v>
      </c>
      <c r="H213" s="132">
        <v>74.88</v>
      </c>
      <c r="I213" s="132">
        <v>0</v>
      </c>
      <c r="J213" s="132">
        <v>0</v>
      </c>
      <c r="K213" s="132">
        <v>0</v>
      </c>
      <c r="L213" s="132">
        <f t="shared" si="38"/>
        <v>0</v>
      </c>
      <c r="M213" s="132">
        <v>0</v>
      </c>
      <c r="N213" s="132">
        <v>0</v>
      </c>
      <c r="O213" s="132">
        <v>0</v>
      </c>
      <c r="P213" s="132">
        <f t="shared" si="39"/>
        <v>0</v>
      </c>
      <c r="Q213" s="171">
        <v>0</v>
      </c>
      <c r="R213" s="171">
        <v>0</v>
      </c>
      <c r="S213" s="171">
        <v>0</v>
      </c>
      <c r="T213" s="171">
        <v>0</v>
      </c>
      <c r="U213" s="171">
        <f t="shared" si="40"/>
        <v>0</v>
      </c>
      <c r="V213" s="171">
        <f t="shared" si="41"/>
        <v>32920.95</v>
      </c>
      <c r="W213" s="132">
        <v>0</v>
      </c>
      <c r="X213" s="132">
        <f t="shared" si="42"/>
        <v>32920.95</v>
      </c>
      <c r="Y213" s="171">
        <v>0</v>
      </c>
      <c r="Z213" s="132">
        <f t="shared" si="43"/>
        <v>32920.95</v>
      </c>
    </row>
    <row r="214" spans="1:26" ht="12.75" hidden="1" outlineLevel="1">
      <c r="A214" s="132" t="s">
        <v>2308</v>
      </c>
      <c r="C214" s="171" t="s">
        <v>2309</v>
      </c>
      <c r="D214" s="171" t="s">
        <v>2310</v>
      </c>
      <c r="E214" s="132">
        <v>0</v>
      </c>
      <c r="F214" s="132">
        <v>87.83</v>
      </c>
      <c r="G214" s="171">
        <f t="shared" si="37"/>
        <v>87.83</v>
      </c>
      <c r="H214" s="132">
        <v>0</v>
      </c>
      <c r="I214" s="132">
        <v>0</v>
      </c>
      <c r="J214" s="132">
        <v>0</v>
      </c>
      <c r="K214" s="132">
        <v>0</v>
      </c>
      <c r="L214" s="132">
        <f t="shared" si="38"/>
        <v>0</v>
      </c>
      <c r="M214" s="132">
        <v>0</v>
      </c>
      <c r="N214" s="132">
        <v>0</v>
      </c>
      <c r="O214" s="132">
        <v>0</v>
      </c>
      <c r="P214" s="132">
        <f t="shared" si="39"/>
        <v>0</v>
      </c>
      <c r="Q214" s="171">
        <v>0</v>
      </c>
      <c r="R214" s="171">
        <v>0</v>
      </c>
      <c r="S214" s="171">
        <v>0</v>
      </c>
      <c r="T214" s="171">
        <v>0</v>
      </c>
      <c r="U214" s="171">
        <f t="shared" si="40"/>
        <v>0</v>
      </c>
      <c r="V214" s="171">
        <f t="shared" si="41"/>
        <v>87.83</v>
      </c>
      <c r="W214" s="132">
        <v>0</v>
      </c>
      <c r="X214" s="132">
        <f t="shared" si="42"/>
        <v>87.83</v>
      </c>
      <c r="Y214" s="171">
        <v>0</v>
      </c>
      <c r="Z214" s="132">
        <f t="shared" si="43"/>
        <v>87.83</v>
      </c>
    </row>
    <row r="215" spans="1:26" ht="12.75" hidden="1" outlineLevel="1">
      <c r="A215" s="132" t="s">
        <v>2311</v>
      </c>
      <c r="C215" s="171" t="s">
        <v>2312</v>
      </c>
      <c r="D215" s="171" t="s">
        <v>2313</v>
      </c>
      <c r="E215" s="132">
        <v>0</v>
      </c>
      <c r="F215" s="132">
        <v>864.76</v>
      </c>
      <c r="G215" s="171">
        <f t="shared" si="37"/>
        <v>864.76</v>
      </c>
      <c r="H215" s="132">
        <v>0</v>
      </c>
      <c r="I215" s="132">
        <v>0</v>
      </c>
      <c r="J215" s="132">
        <v>0</v>
      </c>
      <c r="K215" s="132">
        <v>0</v>
      </c>
      <c r="L215" s="132">
        <f t="shared" si="38"/>
        <v>0</v>
      </c>
      <c r="M215" s="132">
        <v>0</v>
      </c>
      <c r="N215" s="132">
        <v>0</v>
      </c>
      <c r="O215" s="132">
        <v>0</v>
      </c>
      <c r="P215" s="132">
        <f t="shared" si="39"/>
        <v>0</v>
      </c>
      <c r="Q215" s="171">
        <v>0</v>
      </c>
      <c r="R215" s="171">
        <v>0</v>
      </c>
      <c r="S215" s="171">
        <v>0</v>
      </c>
      <c r="T215" s="171">
        <v>0</v>
      </c>
      <c r="U215" s="171">
        <f t="shared" si="40"/>
        <v>0</v>
      </c>
      <c r="V215" s="171">
        <f t="shared" si="41"/>
        <v>864.76</v>
      </c>
      <c r="W215" s="132">
        <v>0</v>
      </c>
      <c r="X215" s="132">
        <f t="shared" si="42"/>
        <v>864.76</v>
      </c>
      <c r="Y215" s="171">
        <v>0</v>
      </c>
      <c r="Z215" s="132">
        <f t="shared" si="43"/>
        <v>864.76</v>
      </c>
    </row>
    <row r="216" spans="1:26" ht="12.75" hidden="1" outlineLevel="1">
      <c r="A216" s="132" t="s">
        <v>2314</v>
      </c>
      <c r="C216" s="171" t="s">
        <v>2315</v>
      </c>
      <c r="D216" s="171" t="s">
        <v>2316</v>
      </c>
      <c r="E216" s="132">
        <v>0</v>
      </c>
      <c r="F216" s="132">
        <v>1718.44</v>
      </c>
      <c r="G216" s="171">
        <f t="shared" si="37"/>
        <v>1718.44</v>
      </c>
      <c r="H216" s="132">
        <v>0</v>
      </c>
      <c r="I216" s="132">
        <v>0</v>
      </c>
      <c r="J216" s="132">
        <v>0</v>
      </c>
      <c r="K216" s="132">
        <v>0</v>
      </c>
      <c r="L216" s="132">
        <f t="shared" si="38"/>
        <v>0</v>
      </c>
      <c r="M216" s="132">
        <v>0</v>
      </c>
      <c r="N216" s="132">
        <v>0</v>
      </c>
      <c r="O216" s="132">
        <v>0</v>
      </c>
      <c r="P216" s="132">
        <f t="shared" si="39"/>
        <v>0</v>
      </c>
      <c r="Q216" s="171">
        <v>0</v>
      </c>
      <c r="R216" s="171">
        <v>0</v>
      </c>
      <c r="S216" s="171">
        <v>0</v>
      </c>
      <c r="T216" s="171">
        <v>0</v>
      </c>
      <c r="U216" s="171">
        <f t="shared" si="40"/>
        <v>0</v>
      </c>
      <c r="V216" s="171">
        <f t="shared" si="41"/>
        <v>1718.44</v>
      </c>
      <c r="W216" s="132">
        <v>0</v>
      </c>
      <c r="X216" s="132">
        <f t="shared" si="42"/>
        <v>1718.44</v>
      </c>
      <c r="Y216" s="171">
        <v>0</v>
      </c>
      <c r="Z216" s="132">
        <f t="shared" si="43"/>
        <v>1718.44</v>
      </c>
    </row>
    <row r="217" spans="1:26" ht="12.75" hidden="1" outlineLevel="1">
      <c r="A217" s="132" t="s">
        <v>2317</v>
      </c>
      <c r="C217" s="171" t="s">
        <v>2318</v>
      </c>
      <c r="D217" s="171" t="s">
        <v>2319</v>
      </c>
      <c r="E217" s="132">
        <v>0</v>
      </c>
      <c r="F217" s="132">
        <v>-5.95</v>
      </c>
      <c r="G217" s="171">
        <f t="shared" si="37"/>
        <v>-5.95</v>
      </c>
      <c r="H217" s="132">
        <v>0</v>
      </c>
      <c r="I217" s="132">
        <v>0</v>
      </c>
      <c r="J217" s="132">
        <v>0</v>
      </c>
      <c r="K217" s="132">
        <v>0</v>
      </c>
      <c r="L217" s="132">
        <f t="shared" si="38"/>
        <v>0</v>
      </c>
      <c r="M217" s="132">
        <v>0</v>
      </c>
      <c r="N217" s="132">
        <v>0</v>
      </c>
      <c r="O217" s="132">
        <v>0</v>
      </c>
      <c r="P217" s="132">
        <f t="shared" si="39"/>
        <v>0</v>
      </c>
      <c r="Q217" s="171">
        <v>0</v>
      </c>
      <c r="R217" s="171">
        <v>0</v>
      </c>
      <c r="S217" s="171">
        <v>0</v>
      </c>
      <c r="T217" s="171">
        <v>0</v>
      </c>
      <c r="U217" s="171">
        <f t="shared" si="40"/>
        <v>0</v>
      </c>
      <c r="V217" s="171">
        <f t="shared" si="41"/>
        <v>-5.95</v>
      </c>
      <c r="W217" s="132">
        <v>0</v>
      </c>
      <c r="X217" s="132">
        <f t="shared" si="42"/>
        <v>-5.95</v>
      </c>
      <c r="Y217" s="171">
        <v>0</v>
      </c>
      <c r="Z217" s="132">
        <f t="shared" si="43"/>
        <v>-5.95</v>
      </c>
    </row>
    <row r="218" spans="1:26" ht="12.75" hidden="1" outlineLevel="1">
      <c r="A218" s="132" t="s">
        <v>244</v>
      </c>
      <c r="C218" s="171" t="s">
        <v>245</v>
      </c>
      <c r="D218" s="171" t="s">
        <v>246</v>
      </c>
      <c r="E218" s="132">
        <v>0</v>
      </c>
      <c r="F218" s="132">
        <v>0</v>
      </c>
      <c r="G218" s="171">
        <f t="shared" si="37"/>
        <v>0</v>
      </c>
      <c r="H218" s="132">
        <v>4653.34</v>
      </c>
      <c r="I218" s="132">
        <v>0</v>
      </c>
      <c r="J218" s="132">
        <v>0</v>
      </c>
      <c r="K218" s="132">
        <v>0</v>
      </c>
      <c r="L218" s="132">
        <f t="shared" si="38"/>
        <v>0</v>
      </c>
      <c r="M218" s="132">
        <v>0</v>
      </c>
      <c r="N218" s="132">
        <v>0</v>
      </c>
      <c r="O218" s="132">
        <v>0</v>
      </c>
      <c r="P218" s="132">
        <f t="shared" si="39"/>
        <v>0</v>
      </c>
      <c r="Q218" s="171">
        <v>0</v>
      </c>
      <c r="R218" s="171">
        <v>0</v>
      </c>
      <c r="S218" s="171">
        <v>0</v>
      </c>
      <c r="T218" s="171">
        <v>0</v>
      </c>
      <c r="U218" s="171">
        <f t="shared" si="40"/>
        <v>0</v>
      </c>
      <c r="V218" s="171">
        <f t="shared" si="41"/>
        <v>4653.34</v>
      </c>
      <c r="W218" s="132">
        <v>0</v>
      </c>
      <c r="X218" s="132">
        <f t="shared" si="42"/>
        <v>4653.34</v>
      </c>
      <c r="Y218" s="171">
        <v>0</v>
      </c>
      <c r="Z218" s="132">
        <f t="shared" si="43"/>
        <v>4653.34</v>
      </c>
    </row>
    <row r="219" spans="1:26" ht="12.75" hidden="1" outlineLevel="1">
      <c r="A219" s="132" t="s">
        <v>2320</v>
      </c>
      <c r="C219" s="171" t="s">
        <v>2321</v>
      </c>
      <c r="D219" s="171" t="s">
        <v>2322</v>
      </c>
      <c r="E219" s="132">
        <v>0</v>
      </c>
      <c r="F219" s="132">
        <v>138.44</v>
      </c>
      <c r="G219" s="171">
        <f t="shared" si="37"/>
        <v>138.44</v>
      </c>
      <c r="H219" s="132">
        <v>0</v>
      </c>
      <c r="I219" s="132">
        <v>0</v>
      </c>
      <c r="J219" s="132">
        <v>0</v>
      </c>
      <c r="K219" s="132">
        <v>0</v>
      </c>
      <c r="L219" s="132">
        <f t="shared" si="38"/>
        <v>0</v>
      </c>
      <c r="M219" s="132">
        <v>0</v>
      </c>
      <c r="N219" s="132">
        <v>0</v>
      </c>
      <c r="O219" s="132">
        <v>0</v>
      </c>
      <c r="P219" s="132">
        <f t="shared" si="39"/>
        <v>0</v>
      </c>
      <c r="Q219" s="171">
        <v>0</v>
      </c>
      <c r="R219" s="171">
        <v>0</v>
      </c>
      <c r="S219" s="171">
        <v>0</v>
      </c>
      <c r="T219" s="171">
        <v>0</v>
      </c>
      <c r="U219" s="171">
        <f t="shared" si="40"/>
        <v>0</v>
      </c>
      <c r="V219" s="171">
        <f t="shared" si="41"/>
        <v>138.44</v>
      </c>
      <c r="W219" s="132">
        <v>0</v>
      </c>
      <c r="X219" s="132">
        <f t="shared" si="42"/>
        <v>138.44</v>
      </c>
      <c r="Y219" s="171">
        <v>0</v>
      </c>
      <c r="Z219" s="132">
        <f t="shared" si="43"/>
        <v>138.44</v>
      </c>
    </row>
    <row r="220" spans="1:26" ht="12.75" hidden="1" outlineLevel="1">
      <c r="A220" s="132" t="s">
        <v>247</v>
      </c>
      <c r="C220" s="171" t="s">
        <v>248</v>
      </c>
      <c r="D220" s="171" t="s">
        <v>249</v>
      </c>
      <c r="E220" s="132">
        <v>0</v>
      </c>
      <c r="F220" s="132">
        <v>437.94</v>
      </c>
      <c r="G220" s="171">
        <f t="shared" si="37"/>
        <v>437.94</v>
      </c>
      <c r="H220" s="132">
        <v>0</v>
      </c>
      <c r="I220" s="132">
        <v>0</v>
      </c>
      <c r="J220" s="132">
        <v>0</v>
      </c>
      <c r="K220" s="132">
        <v>0</v>
      </c>
      <c r="L220" s="132">
        <f t="shared" si="38"/>
        <v>0</v>
      </c>
      <c r="M220" s="132">
        <v>0</v>
      </c>
      <c r="N220" s="132">
        <v>0</v>
      </c>
      <c r="O220" s="132">
        <v>0</v>
      </c>
      <c r="P220" s="132">
        <f t="shared" si="39"/>
        <v>0</v>
      </c>
      <c r="Q220" s="171">
        <v>0</v>
      </c>
      <c r="R220" s="171">
        <v>0</v>
      </c>
      <c r="S220" s="171">
        <v>0</v>
      </c>
      <c r="T220" s="171">
        <v>0</v>
      </c>
      <c r="U220" s="171">
        <f t="shared" si="40"/>
        <v>0</v>
      </c>
      <c r="V220" s="171">
        <f t="shared" si="41"/>
        <v>437.94</v>
      </c>
      <c r="W220" s="132">
        <v>0</v>
      </c>
      <c r="X220" s="132">
        <f t="shared" si="42"/>
        <v>437.94</v>
      </c>
      <c r="Y220" s="171">
        <v>0</v>
      </c>
      <c r="Z220" s="132">
        <f t="shared" si="43"/>
        <v>437.94</v>
      </c>
    </row>
    <row r="221" spans="1:26" ht="12.75" hidden="1" outlineLevel="1">
      <c r="A221" s="132" t="s">
        <v>250</v>
      </c>
      <c r="C221" s="171" t="s">
        <v>251</v>
      </c>
      <c r="D221" s="171" t="s">
        <v>252</v>
      </c>
      <c r="E221" s="132">
        <v>0</v>
      </c>
      <c r="F221" s="132">
        <v>195</v>
      </c>
      <c r="G221" s="171">
        <f t="shared" si="37"/>
        <v>195</v>
      </c>
      <c r="H221" s="132">
        <v>0</v>
      </c>
      <c r="I221" s="132">
        <v>0</v>
      </c>
      <c r="J221" s="132">
        <v>0</v>
      </c>
      <c r="K221" s="132">
        <v>0</v>
      </c>
      <c r="L221" s="132">
        <f t="shared" si="38"/>
        <v>0</v>
      </c>
      <c r="M221" s="132">
        <v>0</v>
      </c>
      <c r="N221" s="132">
        <v>0</v>
      </c>
      <c r="O221" s="132">
        <v>0</v>
      </c>
      <c r="P221" s="132">
        <f t="shared" si="39"/>
        <v>0</v>
      </c>
      <c r="Q221" s="171">
        <v>0</v>
      </c>
      <c r="R221" s="171">
        <v>0</v>
      </c>
      <c r="S221" s="171">
        <v>0</v>
      </c>
      <c r="T221" s="171">
        <v>0</v>
      </c>
      <c r="U221" s="171">
        <f t="shared" si="40"/>
        <v>0</v>
      </c>
      <c r="V221" s="171">
        <f t="shared" si="41"/>
        <v>195</v>
      </c>
      <c r="W221" s="132">
        <v>0</v>
      </c>
      <c r="X221" s="132">
        <f t="shared" si="42"/>
        <v>195</v>
      </c>
      <c r="Y221" s="171">
        <v>0</v>
      </c>
      <c r="Z221" s="132">
        <f t="shared" si="43"/>
        <v>195</v>
      </c>
    </row>
    <row r="222" spans="1:26" ht="12.75" hidden="1" outlineLevel="1">
      <c r="A222" s="132" t="s">
        <v>253</v>
      </c>
      <c r="C222" s="171" t="s">
        <v>254</v>
      </c>
      <c r="D222" s="171" t="s">
        <v>255</v>
      </c>
      <c r="E222" s="132">
        <v>0</v>
      </c>
      <c r="F222" s="132">
        <v>93843.87</v>
      </c>
      <c r="G222" s="171">
        <f t="shared" si="37"/>
        <v>93843.87</v>
      </c>
      <c r="H222" s="132">
        <v>4801.65</v>
      </c>
      <c r="I222" s="132">
        <v>0</v>
      </c>
      <c r="J222" s="132">
        <v>0</v>
      </c>
      <c r="K222" s="132">
        <v>0</v>
      </c>
      <c r="L222" s="132">
        <f t="shared" si="38"/>
        <v>0</v>
      </c>
      <c r="M222" s="132">
        <v>0</v>
      </c>
      <c r="N222" s="132">
        <v>0</v>
      </c>
      <c r="O222" s="132">
        <v>0</v>
      </c>
      <c r="P222" s="132">
        <f t="shared" si="39"/>
        <v>0</v>
      </c>
      <c r="Q222" s="171">
        <v>0</v>
      </c>
      <c r="R222" s="171">
        <v>0</v>
      </c>
      <c r="S222" s="171">
        <v>0</v>
      </c>
      <c r="T222" s="171">
        <v>0</v>
      </c>
      <c r="U222" s="171">
        <f t="shared" si="40"/>
        <v>0</v>
      </c>
      <c r="V222" s="171">
        <f t="shared" si="41"/>
        <v>98645.51999999999</v>
      </c>
      <c r="W222" s="132">
        <v>0</v>
      </c>
      <c r="X222" s="132">
        <f t="shared" si="42"/>
        <v>98645.51999999999</v>
      </c>
      <c r="Y222" s="171">
        <v>0</v>
      </c>
      <c r="Z222" s="132">
        <f t="shared" si="43"/>
        <v>98645.51999999999</v>
      </c>
    </row>
    <row r="223" spans="1:26" ht="12.75" hidden="1" outlineLevel="1">
      <c r="A223" s="132" t="s">
        <v>2323</v>
      </c>
      <c r="C223" s="171" t="s">
        <v>2324</v>
      </c>
      <c r="D223" s="171" t="s">
        <v>2325</v>
      </c>
      <c r="E223" s="132">
        <v>0</v>
      </c>
      <c r="F223" s="132">
        <v>1410</v>
      </c>
      <c r="G223" s="171">
        <f t="shared" si="37"/>
        <v>1410</v>
      </c>
      <c r="H223" s="132">
        <v>0</v>
      </c>
      <c r="I223" s="132">
        <v>0</v>
      </c>
      <c r="J223" s="132">
        <v>0</v>
      </c>
      <c r="K223" s="132">
        <v>0</v>
      </c>
      <c r="L223" s="132">
        <f t="shared" si="38"/>
        <v>0</v>
      </c>
      <c r="M223" s="132">
        <v>0</v>
      </c>
      <c r="N223" s="132">
        <v>0</v>
      </c>
      <c r="O223" s="132">
        <v>0</v>
      </c>
      <c r="P223" s="132">
        <f t="shared" si="39"/>
        <v>0</v>
      </c>
      <c r="Q223" s="171">
        <v>0</v>
      </c>
      <c r="R223" s="171">
        <v>0</v>
      </c>
      <c r="S223" s="171">
        <v>0</v>
      </c>
      <c r="T223" s="171">
        <v>0</v>
      </c>
      <c r="U223" s="171">
        <f t="shared" si="40"/>
        <v>0</v>
      </c>
      <c r="V223" s="171">
        <f t="shared" si="41"/>
        <v>1410</v>
      </c>
      <c r="W223" s="132">
        <v>0</v>
      </c>
      <c r="X223" s="132">
        <f t="shared" si="42"/>
        <v>1410</v>
      </c>
      <c r="Y223" s="171">
        <v>0</v>
      </c>
      <c r="Z223" s="132">
        <f t="shared" si="43"/>
        <v>1410</v>
      </c>
    </row>
    <row r="224" spans="1:26" ht="12.75" hidden="1" outlineLevel="1">
      <c r="A224" s="132" t="s">
        <v>256</v>
      </c>
      <c r="C224" s="171" t="s">
        <v>257</v>
      </c>
      <c r="D224" s="171" t="s">
        <v>258</v>
      </c>
      <c r="E224" s="132">
        <v>0</v>
      </c>
      <c r="F224" s="132">
        <v>-43.9</v>
      </c>
      <c r="G224" s="171">
        <f t="shared" si="37"/>
        <v>-43.9</v>
      </c>
      <c r="H224" s="132">
        <v>0</v>
      </c>
      <c r="I224" s="132">
        <v>0</v>
      </c>
      <c r="J224" s="132">
        <v>0</v>
      </c>
      <c r="K224" s="132">
        <v>0</v>
      </c>
      <c r="L224" s="132">
        <f t="shared" si="38"/>
        <v>0</v>
      </c>
      <c r="M224" s="132">
        <v>0</v>
      </c>
      <c r="N224" s="132">
        <v>0</v>
      </c>
      <c r="O224" s="132">
        <v>0</v>
      </c>
      <c r="P224" s="132">
        <f t="shared" si="39"/>
        <v>0</v>
      </c>
      <c r="Q224" s="171">
        <v>0</v>
      </c>
      <c r="R224" s="171">
        <v>0</v>
      </c>
      <c r="S224" s="171">
        <v>0</v>
      </c>
      <c r="T224" s="171">
        <v>0</v>
      </c>
      <c r="U224" s="171">
        <f t="shared" si="40"/>
        <v>0</v>
      </c>
      <c r="V224" s="171">
        <f t="shared" si="41"/>
        <v>-43.9</v>
      </c>
      <c r="W224" s="132">
        <v>0</v>
      </c>
      <c r="X224" s="132">
        <f t="shared" si="42"/>
        <v>-43.9</v>
      </c>
      <c r="Y224" s="171">
        <v>0</v>
      </c>
      <c r="Z224" s="132">
        <f t="shared" si="43"/>
        <v>-43.9</v>
      </c>
    </row>
    <row r="225" spans="1:26" ht="12.75" hidden="1" outlineLevel="1">
      <c r="A225" s="132" t="s">
        <v>2326</v>
      </c>
      <c r="C225" s="171" t="s">
        <v>2327</v>
      </c>
      <c r="D225" s="171" t="s">
        <v>2328</v>
      </c>
      <c r="E225" s="132">
        <v>0</v>
      </c>
      <c r="F225" s="132">
        <v>83865.73</v>
      </c>
      <c r="G225" s="171">
        <f t="shared" si="37"/>
        <v>83865.73</v>
      </c>
      <c r="H225" s="132">
        <v>7461.03</v>
      </c>
      <c r="I225" s="132">
        <v>0</v>
      </c>
      <c r="J225" s="132">
        <v>0</v>
      </c>
      <c r="K225" s="132">
        <v>0</v>
      </c>
      <c r="L225" s="132">
        <f t="shared" si="38"/>
        <v>0</v>
      </c>
      <c r="M225" s="132">
        <v>0</v>
      </c>
      <c r="N225" s="132">
        <v>0</v>
      </c>
      <c r="O225" s="132">
        <v>0</v>
      </c>
      <c r="P225" s="132">
        <f t="shared" si="39"/>
        <v>0</v>
      </c>
      <c r="Q225" s="171">
        <v>0</v>
      </c>
      <c r="R225" s="171">
        <v>0</v>
      </c>
      <c r="S225" s="171">
        <v>0</v>
      </c>
      <c r="T225" s="171">
        <v>0</v>
      </c>
      <c r="U225" s="171">
        <f t="shared" si="40"/>
        <v>0</v>
      </c>
      <c r="V225" s="171">
        <f t="shared" si="41"/>
        <v>91326.76</v>
      </c>
      <c r="W225" s="132">
        <v>0</v>
      </c>
      <c r="X225" s="132">
        <f t="shared" si="42"/>
        <v>91326.76</v>
      </c>
      <c r="Y225" s="171">
        <v>5659</v>
      </c>
      <c r="Z225" s="132">
        <f t="shared" si="43"/>
        <v>96985.76</v>
      </c>
    </row>
    <row r="226" spans="1:26" ht="12.75" hidden="1" outlineLevel="1">
      <c r="A226" s="132" t="s">
        <v>2329</v>
      </c>
      <c r="C226" s="171" t="s">
        <v>2330</v>
      </c>
      <c r="D226" s="171" t="s">
        <v>2331</v>
      </c>
      <c r="E226" s="132">
        <v>0</v>
      </c>
      <c r="F226" s="132">
        <v>344948.06</v>
      </c>
      <c r="G226" s="171">
        <f t="shared" si="37"/>
        <v>344948.06</v>
      </c>
      <c r="H226" s="132">
        <v>344203.05</v>
      </c>
      <c r="I226" s="132">
        <v>0</v>
      </c>
      <c r="J226" s="132">
        <v>0</v>
      </c>
      <c r="K226" s="132">
        <v>0</v>
      </c>
      <c r="L226" s="132">
        <f t="shared" si="38"/>
        <v>0</v>
      </c>
      <c r="M226" s="132">
        <v>0</v>
      </c>
      <c r="N226" s="132">
        <v>0</v>
      </c>
      <c r="O226" s="132">
        <v>0</v>
      </c>
      <c r="P226" s="132">
        <f t="shared" si="39"/>
        <v>0</v>
      </c>
      <c r="Q226" s="171">
        <v>0</v>
      </c>
      <c r="R226" s="171">
        <v>0</v>
      </c>
      <c r="S226" s="171">
        <v>0</v>
      </c>
      <c r="T226" s="171">
        <v>0</v>
      </c>
      <c r="U226" s="171">
        <f t="shared" si="40"/>
        <v>0</v>
      </c>
      <c r="V226" s="171">
        <f t="shared" si="41"/>
        <v>689151.11</v>
      </c>
      <c r="W226" s="132">
        <v>0</v>
      </c>
      <c r="X226" s="132">
        <f t="shared" si="42"/>
        <v>689151.11</v>
      </c>
      <c r="Y226" s="171">
        <v>-2100</v>
      </c>
      <c r="Z226" s="132">
        <f t="shared" si="43"/>
        <v>687051.11</v>
      </c>
    </row>
    <row r="227" spans="1:26" ht="12.75" hidden="1" outlineLevel="1">
      <c r="A227" s="132" t="s">
        <v>2332</v>
      </c>
      <c r="C227" s="171" t="s">
        <v>2333</v>
      </c>
      <c r="D227" s="171" t="s">
        <v>2334</v>
      </c>
      <c r="E227" s="132">
        <v>0</v>
      </c>
      <c r="F227" s="132">
        <v>78090.65</v>
      </c>
      <c r="G227" s="171">
        <f t="shared" si="37"/>
        <v>78090.65</v>
      </c>
      <c r="H227" s="132">
        <v>16357.05</v>
      </c>
      <c r="I227" s="132">
        <v>0</v>
      </c>
      <c r="J227" s="132">
        <v>0</v>
      </c>
      <c r="K227" s="132">
        <v>0</v>
      </c>
      <c r="L227" s="132">
        <f t="shared" si="38"/>
        <v>0</v>
      </c>
      <c r="M227" s="132">
        <v>0</v>
      </c>
      <c r="N227" s="132">
        <v>0</v>
      </c>
      <c r="O227" s="132">
        <v>0</v>
      </c>
      <c r="P227" s="132">
        <f t="shared" si="39"/>
        <v>0</v>
      </c>
      <c r="Q227" s="171">
        <v>0</v>
      </c>
      <c r="R227" s="171">
        <v>0</v>
      </c>
      <c r="S227" s="171">
        <v>0</v>
      </c>
      <c r="T227" s="171">
        <v>0</v>
      </c>
      <c r="U227" s="171">
        <f t="shared" si="40"/>
        <v>0</v>
      </c>
      <c r="V227" s="171">
        <f t="shared" si="41"/>
        <v>94447.7</v>
      </c>
      <c r="W227" s="132">
        <v>0</v>
      </c>
      <c r="X227" s="132">
        <f t="shared" si="42"/>
        <v>94447.7</v>
      </c>
      <c r="Y227" s="171">
        <v>0</v>
      </c>
      <c r="Z227" s="132">
        <f t="shared" si="43"/>
        <v>94447.7</v>
      </c>
    </row>
    <row r="228" spans="1:26" ht="12.75" hidden="1" outlineLevel="1">
      <c r="A228" s="132" t="s">
        <v>2335</v>
      </c>
      <c r="C228" s="171" t="s">
        <v>2336</v>
      </c>
      <c r="D228" s="171" t="s">
        <v>2337</v>
      </c>
      <c r="E228" s="132">
        <v>0</v>
      </c>
      <c r="F228" s="132">
        <v>6805</v>
      </c>
      <c r="G228" s="171">
        <f t="shared" si="37"/>
        <v>6805</v>
      </c>
      <c r="H228" s="132">
        <v>2931</v>
      </c>
      <c r="I228" s="132">
        <v>0</v>
      </c>
      <c r="J228" s="132">
        <v>0</v>
      </c>
      <c r="K228" s="132">
        <v>0</v>
      </c>
      <c r="L228" s="132">
        <f t="shared" si="38"/>
        <v>0</v>
      </c>
      <c r="M228" s="132">
        <v>0</v>
      </c>
      <c r="N228" s="132">
        <v>0</v>
      </c>
      <c r="O228" s="132">
        <v>0</v>
      </c>
      <c r="P228" s="132">
        <f t="shared" si="39"/>
        <v>0</v>
      </c>
      <c r="Q228" s="171">
        <v>0</v>
      </c>
      <c r="R228" s="171">
        <v>0</v>
      </c>
      <c r="S228" s="171">
        <v>0</v>
      </c>
      <c r="T228" s="171">
        <v>0</v>
      </c>
      <c r="U228" s="171">
        <f t="shared" si="40"/>
        <v>0</v>
      </c>
      <c r="V228" s="171">
        <f t="shared" si="41"/>
        <v>9736</v>
      </c>
      <c r="W228" s="132">
        <v>0</v>
      </c>
      <c r="X228" s="132">
        <f t="shared" si="42"/>
        <v>9736</v>
      </c>
      <c r="Y228" s="171">
        <v>0</v>
      </c>
      <c r="Z228" s="132">
        <f t="shared" si="43"/>
        <v>9736</v>
      </c>
    </row>
    <row r="229" spans="1:26" ht="12.75" hidden="1" outlineLevel="1">
      <c r="A229" s="132" t="s">
        <v>2338</v>
      </c>
      <c r="C229" s="171" t="s">
        <v>2339</v>
      </c>
      <c r="D229" s="171" t="s">
        <v>2340</v>
      </c>
      <c r="E229" s="132">
        <v>0</v>
      </c>
      <c r="F229" s="132">
        <v>211603.96</v>
      </c>
      <c r="G229" s="171">
        <f t="shared" si="37"/>
        <v>211603.96</v>
      </c>
      <c r="H229" s="132">
        <v>5472.5</v>
      </c>
      <c r="I229" s="132">
        <v>0</v>
      </c>
      <c r="J229" s="132">
        <v>0</v>
      </c>
      <c r="K229" s="132">
        <v>0</v>
      </c>
      <c r="L229" s="132">
        <f t="shared" si="38"/>
        <v>0</v>
      </c>
      <c r="M229" s="132">
        <v>0</v>
      </c>
      <c r="N229" s="132">
        <v>0</v>
      </c>
      <c r="O229" s="132">
        <v>0</v>
      </c>
      <c r="P229" s="132">
        <f t="shared" si="39"/>
        <v>0</v>
      </c>
      <c r="Q229" s="171">
        <v>0</v>
      </c>
      <c r="R229" s="171">
        <v>0</v>
      </c>
      <c r="S229" s="171">
        <v>0</v>
      </c>
      <c r="T229" s="171">
        <v>0</v>
      </c>
      <c r="U229" s="171">
        <f t="shared" si="40"/>
        <v>0</v>
      </c>
      <c r="V229" s="171">
        <f t="shared" si="41"/>
        <v>217076.46</v>
      </c>
      <c r="W229" s="132">
        <v>0</v>
      </c>
      <c r="X229" s="132">
        <f t="shared" si="42"/>
        <v>217076.46</v>
      </c>
      <c r="Y229" s="171">
        <v>500</v>
      </c>
      <c r="Z229" s="132">
        <f t="shared" si="43"/>
        <v>217576.46</v>
      </c>
    </row>
    <row r="230" spans="1:26" ht="12.75" hidden="1" outlineLevel="1">
      <c r="A230" s="132" t="s">
        <v>2341</v>
      </c>
      <c r="C230" s="171" t="s">
        <v>2342</v>
      </c>
      <c r="D230" s="171" t="s">
        <v>2343</v>
      </c>
      <c r="E230" s="132">
        <v>0</v>
      </c>
      <c r="F230" s="132">
        <v>130</v>
      </c>
      <c r="G230" s="171">
        <f t="shared" si="37"/>
        <v>130</v>
      </c>
      <c r="H230" s="132">
        <v>0</v>
      </c>
      <c r="I230" s="132">
        <v>0</v>
      </c>
      <c r="J230" s="132">
        <v>0</v>
      </c>
      <c r="K230" s="132">
        <v>0</v>
      </c>
      <c r="L230" s="132">
        <f t="shared" si="38"/>
        <v>0</v>
      </c>
      <c r="M230" s="132">
        <v>0</v>
      </c>
      <c r="N230" s="132">
        <v>0</v>
      </c>
      <c r="O230" s="132">
        <v>0</v>
      </c>
      <c r="P230" s="132">
        <f t="shared" si="39"/>
        <v>0</v>
      </c>
      <c r="Q230" s="171">
        <v>0</v>
      </c>
      <c r="R230" s="171">
        <v>0</v>
      </c>
      <c r="S230" s="171">
        <v>0</v>
      </c>
      <c r="T230" s="171">
        <v>0</v>
      </c>
      <c r="U230" s="171">
        <f t="shared" si="40"/>
        <v>0</v>
      </c>
      <c r="V230" s="171">
        <f t="shared" si="41"/>
        <v>130</v>
      </c>
      <c r="W230" s="132">
        <v>0</v>
      </c>
      <c r="X230" s="132">
        <f t="shared" si="42"/>
        <v>130</v>
      </c>
      <c r="Y230" s="171">
        <v>0</v>
      </c>
      <c r="Z230" s="132">
        <f t="shared" si="43"/>
        <v>130</v>
      </c>
    </row>
    <row r="231" spans="1:26" ht="12.75" hidden="1" outlineLevel="1">
      <c r="A231" s="132" t="s">
        <v>2344</v>
      </c>
      <c r="C231" s="171" t="s">
        <v>2345</v>
      </c>
      <c r="D231" s="171" t="s">
        <v>2346</v>
      </c>
      <c r="E231" s="132">
        <v>0</v>
      </c>
      <c r="F231" s="132">
        <v>116797.28</v>
      </c>
      <c r="G231" s="171">
        <f t="shared" si="37"/>
        <v>116797.28</v>
      </c>
      <c r="H231" s="132">
        <v>72177.69</v>
      </c>
      <c r="I231" s="132">
        <v>0</v>
      </c>
      <c r="J231" s="132">
        <v>0</v>
      </c>
      <c r="K231" s="132">
        <v>0</v>
      </c>
      <c r="L231" s="132">
        <f t="shared" si="38"/>
        <v>0</v>
      </c>
      <c r="M231" s="132">
        <v>0</v>
      </c>
      <c r="N231" s="132">
        <v>0</v>
      </c>
      <c r="O231" s="132">
        <v>0</v>
      </c>
      <c r="P231" s="132">
        <f t="shared" si="39"/>
        <v>0</v>
      </c>
      <c r="Q231" s="171">
        <v>0</v>
      </c>
      <c r="R231" s="171">
        <v>10000</v>
      </c>
      <c r="S231" s="171">
        <v>0</v>
      </c>
      <c r="T231" s="171">
        <v>0</v>
      </c>
      <c r="U231" s="171">
        <f t="shared" si="40"/>
        <v>10000</v>
      </c>
      <c r="V231" s="171">
        <f t="shared" si="41"/>
        <v>198974.97</v>
      </c>
      <c r="W231" s="132">
        <v>0</v>
      </c>
      <c r="X231" s="132">
        <f t="shared" si="42"/>
        <v>198974.97</v>
      </c>
      <c r="Y231" s="171">
        <v>1257</v>
      </c>
      <c r="Z231" s="132">
        <f t="shared" si="43"/>
        <v>200231.97</v>
      </c>
    </row>
    <row r="232" spans="1:26" ht="12.75" hidden="1" outlineLevel="1">
      <c r="A232" s="132" t="s">
        <v>2347</v>
      </c>
      <c r="C232" s="171" t="s">
        <v>2348</v>
      </c>
      <c r="D232" s="171" t="s">
        <v>2349</v>
      </c>
      <c r="E232" s="132">
        <v>0</v>
      </c>
      <c r="F232" s="132">
        <v>28136.23</v>
      </c>
      <c r="G232" s="171">
        <f t="shared" si="37"/>
        <v>28136.23</v>
      </c>
      <c r="H232" s="132">
        <v>4589.2</v>
      </c>
      <c r="I232" s="132">
        <v>0</v>
      </c>
      <c r="J232" s="132">
        <v>0</v>
      </c>
      <c r="K232" s="132">
        <v>0</v>
      </c>
      <c r="L232" s="132">
        <f t="shared" si="38"/>
        <v>0</v>
      </c>
      <c r="M232" s="132">
        <v>0</v>
      </c>
      <c r="N232" s="132">
        <v>0</v>
      </c>
      <c r="O232" s="132">
        <v>0</v>
      </c>
      <c r="P232" s="132">
        <f t="shared" si="39"/>
        <v>0</v>
      </c>
      <c r="Q232" s="171">
        <v>0</v>
      </c>
      <c r="R232" s="171">
        <v>0</v>
      </c>
      <c r="S232" s="171">
        <v>0</v>
      </c>
      <c r="T232" s="171">
        <v>0</v>
      </c>
      <c r="U232" s="171">
        <f t="shared" si="40"/>
        <v>0</v>
      </c>
      <c r="V232" s="171">
        <f t="shared" si="41"/>
        <v>32725.43</v>
      </c>
      <c r="W232" s="132">
        <v>0</v>
      </c>
      <c r="X232" s="132">
        <f t="shared" si="42"/>
        <v>32725.43</v>
      </c>
      <c r="Y232" s="171">
        <v>0</v>
      </c>
      <c r="Z232" s="132">
        <f t="shared" si="43"/>
        <v>32725.43</v>
      </c>
    </row>
    <row r="233" spans="1:26" ht="12.75" hidden="1" outlineLevel="1">
      <c r="A233" s="132" t="s">
        <v>2350</v>
      </c>
      <c r="C233" s="171" t="s">
        <v>2351</v>
      </c>
      <c r="D233" s="171" t="s">
        <v>2352</v>
      </c>
      <c r="E233" s="132">
        <v>0</v>
      </c>
      <c r="F233" s="132">
        <v>466956.88</v>
      </c>
      <c r="G233" s="171">
        <f t="shared" si="37"/>
        <v>466956.88</v>
      </c>
      <c r="H233" s="132">
        <v>57517.51</v>
      </c>
      <c r="I233" s="132">
        <v>0</v>
      </c>
      <c r="J233" s="132">
        <v>0</v>
      </c>
      <c r="K233" s="132">
        <v>0</v>
      </c>
      <c r="L233" s="132">
        <f t="shared" si="38"/>
        <v>0</v>
      </c>
      <c r="M233" s="132">
        <v>0</v>
      </c>
      <c r="N233" s="132">
        <v>0</v>
      </c>
      <c r="O233" s="132">
        <v>0</v>
      </c>
      <c r="P233" s="132">
        <f t="shared" si="39"/>
        <v>0</v>
      </c>
      <c r="Q233" s="171">
        <v>379.95</v>
      </c>
      <c r="R233" s="171">
        <v>0</v>
      </c>
      <c r="S233" s="171">
        <v>0</v>
      </c>
      <c r="T233" s="171">
        <v>0</v>
      </c>
      <c r="U233" s="171">
        <f t="shared" si="40"/>
        <v>379.95</v>
      </c>
      <c r="V233" s="171">
        <f t="shared" si="41"/>
        <v>524854.34</v>
      </c>
      <c r="W233" s="132">
        <v>0</v>
      </c>
      <c r="X233" s="132">
        <f t="shared" si="42"/>
        <v>524854.34</v>
      </c>
      <c r="Y233" s="171">
        <v>12905.42</v>
      </c>
      <c r="Z233" s="132">
        <f t="shared" si="43"/>
        <v>537759.76</v>
      </c>
    </row>
    <row r="234" spans="1:26" ht="12.75" hidden="1" outlineLevel="1">
      <c r="A234" s="132" t="s">
        <v>2353</v>
      </c>
      <c r="C234" s="171" t="s">
        <v>2354</v>
      </c>
      <c r="D234" s="171" t="s">
        <v>2355</v>
      </c>
      <c r="E234" s="132">
        <v>0</v>
      </c>
      <c r="F234" s="132">
        <v>369817.86</v>
      </c>
      <c r="G234" s="171">
        <f t="shared" si="37"/>
        <v>369817.86</v>
      </c>
      <c r="H234" s="132">
        <v>37369.12</v>
      </c>
      <c r="I234" s="132">
        <v>0</v>
      </c>
      <c r="J234" s="132">
        <v>0</v>
      </c>
      <c r="K234" s="132">
        <v>0</v>
      </c>
      <c r="L234" s="132">
        <f t="shared" si="38"/>
        <v>0</v>
      </c>
      <c r="M234" s="132">
        <v>0</v>
      </c>
      <c r="N234" s="132">
        <v>0</v>
      </c>
      <c r="O234" s="132">
        <v>0</v>
      </c>
      <c r="P234" s="132">
        <f t="shared" si="39"/>
        <v>0</v>
      </c>
      <c r="Q234" s="171">
        <v>0</v>
      </c>
      <c r="R234" s="171">
        <v>0</v>
      </c>
      <c r="S234" s="171">
        <v>0</v>
      </c>
      <c r="T234" s="171">
        <v>0</v>
      </c>
      <c r="U234" s="171">
        <f t="shared" si="40"/>
        <v>0</v>
      </c>
      <c r="V234" s="171">
        <f t="shared" si="41"/>
        <v>407186.98</v>
      </c>
      <c r="W234" s="132">
        <v>0</v>
      </c>
      <c r="X234" s="132">
        <f t="shared" si="42"/>
        <v>407186.98</v>
      </c>
      <c r="Y234" s="171">
        <v>1375.11</v>
      </c>
      <c r="Z234" s="132">
        <f t="shared" si="43"/>
        <v>408562.08999999997</v>
      </c>
    </row>
    <row r="235" spans="1:26" ht="12.75" hidden="1" outlineLevel="1">
      <c r="A235" s="132" t="s">
        <v>2356</v>
      </c>
      <c r="C235" s="171" t="s">
        <v>2357</v>
      </c>
      <c r="D235" s="171" t="s">
        <v>2358</v>
      </c>
      <c r="E235" s="132">
        <v>0</v>
      </c>
      <c r="F235" s="132">
        <v>77818.61</v>
      </c>
      <c r="G235" s="171">
        <f t="shared" si="37"/>
        <v>77818.61</v>
      </c>
      <c r="H235" s="132">
        <v>13031.3</v>
      </c>
      <c r="I235" s="132">
        <v>0</v>
      </c>
      <c r="J235" s="132">
        <v>0</v>
      </c>
      <c r="K235" s="132">
        <v>0</v>
      </c>
      <c r="L235" s="132">
        <f t="shared" si="38"/>
        <v>0</v>
      </c>
      <c r="M235" s="132">
        <v>0</v>
      </c>
      <c r="N235" s="132">
        <v>0</v>
      </c>
      <c r="O235" s="132">
        <v>0</v>
      </c>
      <c r="P235" s="132">
        <f t="shared" si="39"/>
        <v>0</v>
      </c>
      <c r="Q235" s="171">
        <v>0</v>
      </c>
      <c r="R235" s="171">
        <v>0</v>
      </c>
      <c r="S235" s="171">
        <v>0</v>
      </c>
      <c r="T235" s="171">
        <v>0</v>
      </c>
      <c r="U235" s="171">
        <f t="shared" si="40"/>
        <v>0</v>
      </c>
      <c r="V235" s="171">
        <f t="shared" si="41"/>
        <v>90849.91</v>
      </c>
      <c r="W235" s="132">
        <v>0</v>
      </c>
      <c r="X235" s="132">
        <f t="shared" si="42"/>
        <v>90849.91</v>
      </c>
      <c r="Y235" s="171">
        <v>0</v>
      </c>
      <c r="Z235" s="132">
        <f t="shared" si="43"/>
        <v>90849.91</v>
      </c>
    </row>
    <row r="236" spans="1:26" ht="12.75" hidden="1" outlineLevel="1">
      <c r="A236" s="132" t="s">
        <v>2359</v>
      </c>
      <c r="C236" s="171" t="s">
        <v>2360</v>
      </c>
      <c r="D236" s="171" t="s">
        <v>2361</v>
      </c>
      <c r="E236" s="132">
        <v>0</v>
      </c>
      <c r="F236" s="132">
        <v>41.95</v>
      </c>
      <c r="G236" s="171">
        <f t="shared" si="37"/>
        <v>41.95</v>
      </c>
      <c r="H236" s="132">
        <v>0</v>
      </c>
      <c r="I236" s="132">
        <v>0</v>
      </c>
      <c r="J236" s="132">
        <v>0</v>
      </c>
      <c r="K236" s="132">
        <v>0</v>
      </c>
      <c r="L236" s="132">
        <f t="shared" si="38"/>
        <v>0</v>
      </c>
      <c r="M236" s="132">
        <v>0</v>
      </c>
      <c r="N236" s="132">
        <v>0</v>
      </c>
      <c r="O236" s="132">
        <v>0</v>
      </c>
      <c r="P236" s="132">
        <f t="shared" si="39"/>
        <v>0</v>
      </c>
      <c r="Q236" s="171">
        <v>0</v>
      </c>
      <c r="R236" s="171">
        <v>0</v>
      </c>
      <c r="S236" s="171">
        <v>0</v>
      </c>
      <c r="T236" s="171">
        <v>0</v>
      </c>
      <c r="U236" s="171">
        <f t="shared" si="40"/>
        <v>0</v>
      </c>
      <c r="V236" s="171">
        <f t="shared" si="41"/>
        <v>41.95</v>
      </c>
      <c r="W236" s="132">
        <v>0</v>
      </c>
      <c r="X236" s="132">
        <f t="shared" si="42"/>
        <v>41.95</v>
      </c>
      <c r="Y236" s="171">
        <v>0</v>
      </c>
      <c r="Z236" s="132">
        <f t="shared" si="43"/>
        <v>41.95</v>
      </c>
    </row>
    <row r="237" spans="1:26" ht="12.75" hidden="1" outlineLevel="1">
      <c r="A237" s="132" t="s">
        <v>2362</v>
      </c>
      <c r="C237" s="171" t="s">
        <v>2363</v>
      </c>
      <c r="D237" s="171" t="s">
        <v>2364</v>
      </c>
      <c r="E237" s="132">
        <v>0</v>
      </c>
      <c r="F237" s="132">
        <v>264736.78</v>
      </c>
      <c r="G237" s="171">
        <f t="shared" si="37"/>
        <v>264736.78</v>
      </c>
      <c r="H237" s="132">
        <v>1100</v>
      </c>
      <c r="I237" s="132">
        <v>0</v>
      </c>
      <c r="J237" s="132">
        <v>0</v>
      </c>
      <c r="K237" s="132">
        <v>0</v>
      </c>
      <c r="L237" s="132">
        <f t="shared" si="38"/>
        <v>0</v>
      </c>
      <c r="M237" s="132">
        <v>0</v>
      </c>
      <c r="N237" s="132">
        <v>0</v>
      </c>
      <c r="O237" s="132">
        <v>0</v>
      </c>
      <c r="P237" s="132">
        <f t="shared" si="39"/>
        <v>0</v>
      </c>
      <c r="Q237" s="171">
        <v>0</v>
      </c>
      <c r="R237" s="171">
        <v>0</v>
      </c>
      <c r="S237" s="171">
        <v>0</v>
      </c>
      <c r="T237" s="171">
        <v>0</v>
      </c>
      <c r="U237" s="171">
        <f t="shared" si="40"/>
        <v>0</v>
      </c>
      <c r="V237" s="171">
        <f t="shared" si="41"/>
        <v>265836.78</v>
      </c>
      <c r="W237" s="132">
        <v>0</v>
      </c>
      <c r="X237" s="132">
        <f t="shared" si="42"/>
        <v>265836.78</v>
      </c>
      <c r="Y237" s="171">
        <v>0</v>
      </c>
      <c r="Z237" s="132">
        <f t="shared" si="43"/>
        <v>265836.78</v>
      </c>
    </row>
    <row r="238" spans="1:26" ht="12.75" hidden="1" outlineLevel="1">
      <c r="A238" s="132" t="s">
        <v>2365</v>
      </c>
      <c r="C238" s="171" t="s">
        <v>2366</v>
      </c>
      <c r="D238" s="171" t="s">
        <v>2367</v>
      </c>
      <c r="E238" s="132">
        <v>0</v>
      </c>
      <c r="F238" s="132">
        <v>394990.91</v>
      </c>
      <c r="G238" s="171">
        <f t="shared" si="37"/>
        <v>394990.91</v>
      </c>
      <c r="H238" s="132">
        <v>39018.49</v>
      </c>
      <c r="I238" s="132">
        <v>0</v>
      </c>
      <c r="J238" s="132">
        <v>0</v>
      </c>
      <c r="K238" s="132">
        <v>0</v>
      </c>
      <c r="L238" s="132">
        <f t="shared" si="38"/>
        <v>0</v>
      </c>
      <c r="M238" s="132">
        <v>0</v>
      </c>
      <c r="N238" s="132">
        <v>0</v>
      </c>
      <c r="O238" s="132">
        <v>0</v>
      </c>
      <c r="P238" s="132">
        <f t="shared" si="39"/>
        <v>0</v>
      </c>
      <c r="Q238" s="171">
        <v>3678</v>
      </c>
      <c r="R238" s="171">
        <v>0</v>
      </c>
      <c r="S238" s="171">
        <v>0</v>
      </c>
      <c r="T238" s="171">
        <v>0</v>
      </c>
      <c r="U238" s="171">
        <f t="shared" si="40"/>
        <v>3678</v>
      </c>
      <c r="V238" s="171">
        <f t="shared" si="41"/>
        <v>437687.39999999997</v>
      </c>
      <c r="W238" s="132">
        <v>0</v>
      </c>
      <c r="X238" s="132">
        <f t="shared" si="42"/>
        <v>437687.39999999997</v>
      </c>
      <c r="Y238" s="171">
        <v>0</v>
      </c>
      <c r="Z238" s="132">
        <f t="shared" si="43"/>
        <v>437687.39999999997</v>
      </c>
    </row>
    <row r="239" spans="1:26" ht="12.75" hidden="1" outlineLevel="1">
      <c r="A239" s="132" t="s">
        <v>2368</v>
      </c>
      <c r="C239" s="171" t="s">
        <v>2369</v>
      </c>
      <c r="D239" s="171" t="s">
        <v>2370</v>
      </c>
      <c r="E239" s="132">
        <v>0</v>
      </c>
      <c r="F239" s="132">
        <v>1655164.67</v>
      </c>
      <c r="G239" s="171">
        <f t="shared" si="37"/>
        <v>1655164.67</v>
      </c>
      <c r="H239" s="132">
        <v>184031.59</v>
      </c>
      <c r="I239" s="132">
        <v>0</v>
      </c>
      <c r="J239" s="132">
        <v>0</v>
      </c>
      <c r="K239" s="132">
        <v>0</v>
      </c>
      <c r="L239" s="132">
        <f t="shared" si="38"/>
        <v>0</v>
      </c>
      <c r="M239" s="132">
        <v>0</v>
      </c>
      <c r="N239" s="132">
        <v>0</v>
      </c>
      <c r="O239" s="132">
        <v>0</v>
      </c>
      <c r="P239" s="132">
        <f t="shared" si="39"/>
        <v>0</v>
      </c>
      <c r="Q239" s="171">
        <v>11044.85</v>
      </c>
      <c r="R239" s="171">
        <v>68740</v>
      </c>
      <c r="S239" s="171">
        <v>0</v>
      </c>
      <c r="T239" s="171">
        <v>0</v>
      </c>
      <c r="U239" s="171">
        <f t="shared" si="40"/>
        <v>79784.85</v>
      </c>
      <c r="V239" s="171">
        <f t="shared" si="41"/>
        <v>1918981.11</v>
      </c>
      <c r="W239" s="132">
        <v>0</v>
      </c>
      <c r="X239" s="132">
        <f t="shared" si="42"/>
        <v>1918981.11</v>
      </c>
      <c r="Y239" s="171">
        <v>7261</v>
      </c>
      <c r="Z239" s="132">
        <f t="shared" si="43"/>
        <v>1926242.11</v>
      </c>
    </row>
    <row r="240" spans="1:26" ht="12.75" hidden="1" outlineLevel="1">
      <c r="A240" s="132" t="s">
        <v>2371</v>
      </c>
      <c r="C240" s="171" t="s">
        <v>2372</v>
      </c>
      <c r="D240" s="171" t="s">
        <v>2373</v>
      </c>
      <c r="E240" s="132">
        <v>0</v>
      </c>
      <c r="F240" s="132">
        <v>234446.07</v>
      </c>
      <c r="G240" s="171">
        <f t="shared" si="37"/>
        <v>234446.07</v>
      </c>
      <c r="H240" s="132">
        <v>0</v>
      </c>
      <c r="I240" s="132">
        <v>0</v>
      </c>
      <c r="J240" s="132">
        <v>0</v>
      </c>
      <c r="K240" s="132">
        <v>0</v>
      </c>
      <c r="L240" s="132">
        <f t="shared" si="38"/>
        <v>0</v>
      </c>
      <c r="M240" s="132">
        <v>0</v>
      </c>
      <c r="N240" s="132">
        <v>0</v>
      </c>
      <c r="O240" s="132">
        <v>0</v>
      </c>
      <c r="P240" s="132">
        <f t="shared" si="39"/>
        <v>0</v>
      </c>
      <c r="Q240" s="171">
        <v>0</v>
      </c>
      <c r="R240" s="171">
        <v>0</v>
      </c>
      <c r="S240" s="171">
        <v>0</v>
      </c>
      <c r="T240" s="171">
        <v>0</v>
      </c>
      <c r="U240" s="171">
        <f t="shared" si="40"/>
        <v>0</v>
      </c>
      <c r="V240" s="171">
        <f t="shared" si="41"/>
        <v>234446.07</v>
      </c>
      <c r="W240" s="132">
        <v>0</v>
      </c>
      <c r="X240" s="132">
        <f t="shared" si="42"/>
        <v>234446.07</v>
      </c>
      <c r="Y240" s="171">
        <v>0</v>
      </c>
      <c r="Z240" s="132">
        <f t="shared" si="43"/>
        <v>234446.07</v>
      </c>
    </row>
    <row r="241" spans="1:26" ht="12.75" hidden="1" outlineLevel="1">
      <c r="A241" s="132" t="s">
        <v>2374</v>
      </c>
      <c r="C241" s="171" t="s">
        <v>2375</v>
      </c>
      <c r="D241" s="171" t="s">
        <v>2376</v>
      </c>
      <c r="E241" s="132">
        <v>0</v>
      </c>
      <c r="F241" s="132">
        <v>163703.02</v>
      </c>
      <c r="G241" s="171">
        <f t="shared" si="37"/>
        <v>163703.02</v>
      </c>
      <c r="H241" s="132">
        <v>18119.13</v>
      </c>
      <c r="I241" s="132">
        <v>0</v>
      </c>
      <c r="J241" s="132">
        <v>0</v>
      </c>
      <c r="K241" s="132">
        <v>0</v>
      </c>
      <c r="L241" s="132">
        <f t="shared" si="38"/>
        <v>0</v>
      </c>
      <c r="M241" s="132">
        <v>0</v>
      </c>
      <c r="N241" s="132">
        <v>0</v>
      </c>
      <c r="O241" s="132">
        <v>0</v>
      </c>
      <c r="P241" s="132">
        <f t="shared" si="39"/>
        <v>0</v>
      </c>
      <c r="Q241" s="171">
        <v>0</v>
      </c>
      <c r="R241" s="171">
        <v>0</v>
      </c>
      <c r="S241" s="171">
        <v>0</v>
      </c>
      <c r="T241" s="171">
        <v>0</v>
      </c>
      <c r="U241" s="171">
        <f t="shared" si="40"/>
        <v>0</v>
      </c>
      <c r="V241" s="171">
        <f t="shared" si="41"/>
        <v>181822.15</v>
      </c>
      <c r="W241" s="132">
        <v>0</v>
      </c>
      <c r="X241" s="132">
        <f t="shared" si="42"/>
        <v>181822.15</v>
      </c>
      <c r="Y241" s="171">
        <v>0</v>
      </c>
      <c r="Z241" s="132">
        <f t="shared" si="43"/>
        <v>181822.15</v>
      </c>
    </row>
    <row r="242" spans="1:26" ht="12.75" hidden="1" outlineLevel="1">
      <c r="A242" s="132" t="s">
        <v>2377</v>
      </c>
      <c r="C242" s="171" t="s">
        <v>2378</v>
      </c>
      <c r="D242" s="171" t="s">
        <v>2379</v>
      </c>
      <c r="E242" s="132">
        <v>0</v>
      </c>
      <c r="F242" s="132">
        <v>909257.28</v>
      </c>
      <c r="G242" s="171">
        <f t="shared" si="37"/>
        <v>909257.28</v>
      </c>
      <c r="H242" s="132">
        <v>10847.43</v>
      </c>
      <c r="I242" s="132">
        <v>0</v>
      </c>
      <c r="J242" s="132">
        <v>0</v>
      </c>
      <c r="K242" s="132">
        <v>0</v>
      </c>
      <c r="L242" s="132">
        <f t="shared" si="38"/>
        <v>0</v>
      </c>
      <c r="M242" s="132">
        <v>0</v>
      </c>
      <c r="N242" s="132">
        <v>0</v>
      </c>
      <c r="O242" s="132">
        <v>0</v>
      </c>
      <c r="P242" s="132">
        <f t="shared" si="39"/>
        <v>0</v>
      </c>
      <c r="Q242" s="171">
        <v>70908.02</v>
      </c>
      <c r="R242" s="171">
        <v>61542</v>
      </c>
      <c r="S242" s="171">
        <v>0</v>
      </c>
      <c r="T242" s="171">
        <v>0</v>
      </c>
      <c r="U242" s="171">
        <f t="shared" si="40"/>
        <v>132450.02000000002</v>
      </c>
      <c r="V242" s="171">
        <f t="shared" si="41"/>
        <v>1052554.73</v>
      </c>
      <c r="W242" s="132">
        <v>0</v>
      </c>
      <c r="X242" s="132">
        <f t="shared" si="42"/>
        <v>1052554.73</v>
      </c>
      <c r="Y242" s="171">
        <v>0</v>
      </c>
      <c r="Z242" s="132">
        <f t="shared" si="43"/>
        <v>1052554.73</v>
      </c>
    </row>
    <row r="243" spans="1:26" ht="12.75" hidden="1" outlineLevel="1">
      <c r="A243" s="132" t="s">
        <v>2380</v>
      </c>
      <c r="C243" s="171" t="s">
        <v>2381</v>
      </c>
      <c r="D243" s="171" t="s">
        <v>2382</v>
      </c>
      <c r="E243" s="132">
        <v>0</v>
      </c>
      <c r="F243" s="132">
        <v>228121.08</v>
      </c>
      <c r="G243" s="171">
        <f t="shared" si="37"/>
        <v>228121.08</v>
      </c>
      <c r="H243" s="132">
        <v>1100.9</v>
      </c>
      <c r="I243" s="132">
        <v>0</v>
      </c>
      <c r="J243" s="132">
        <v>0</v>
      </c>
      <c r="K243" s="132">
        <v>0</v>
      </c>
      <c r="L243" s="132">
        <f t="shared" si="38"/>
        <v>0</v>
      </c>
      <c r="M243" s="132">
        <v>0</v>
      </c>
      <c r="N243" s="132">
        <v>0</v>
      </c>
      <c r="O243" s="132">
        <v>0</v>
      </c>
      <c r="P243" s="132">
        <f t="shared" si="39"/>
        <v>0</v>
      </c>
      <c r="Q243" s="171">
        <v>0</v>
      </c>
      <c r="R243" s="171">
        <v>0</v>
      </c>
      <c r="S243" s="171">
        <v>0</v>
      </c>
      <c r="T243" s="171">
        <v>0</v>
      </c>
      <c r="U243" s="171">
        <f t="shared" si="40"/>
        <v>0</v>
      </c>
      <c r="V243" s="171">
        <f t="shared" si="41"/>
        <v>229221.97999999998</v>
      </c>
      <c r="W243" s="132">
        <v>0</v>
      </c>
      <c r="X243" s="132">
        <f t="shared" si="42"/>
        <v>229221.97999999998</v>
      </c>
      <c r="Y243" s="171">
        <v>0</v>
      </c>
      <c r="Z243" s="132">
        <f t="shared" si="43"/>
        <v>229221.97999999998</v>
      </c>
    </row>
    <row r="244" spans="1:26" ht="12.75" hidden="1" outlineLevel="1">
      <c r="A244" s="132" t="s">
        <v>2383</v>
      </c>
      <c r="C244" s="171" t="s">
        <v>2384</v>
      </c>
      <c r="D244" s="171" t="s">
        <v>2385</v>
      </c>
      <c r="E244" s="132">
        <v>0</v>
      </c>
      <c r="F244" s="132">
        <v>74511.16</v>
      </c>
      <c r="G244" s="171">
        <f t="shared" si="37"/>
        <v>74511.16</v>
      </c>
      <c r="H244" s="132">
        <v>32669.7</v>
      </c>
      <c r="I244" s="132">
        <v>0</v>
      </c>
      <c r="J244" s="132">
        <v>0</v>
      </c>
      <c r="K244" s="132">
        <v>0</v>
      </c>
      <c r="L244" s="132">
        <f t="shared" si="38"/>
        <v>0</v>
      </c>
      <c r="M244" s="132">
        <v>0</v>
      </c>
      <c r="N244" s="132">
        <v>0</v>
      </c>
      <c r="O244" s="132">
        <v>0</v>
      </c>
      <c r="P244" s="132">
        <f t="shared" si="39"/>
        <v>0</v>
      </c>
      <c r="Q244" s="171">
        <v>0</v>
      </c>
      <c r="R244" s="171">
        <v>24760</v>
      </c>
      <c r="S244" s="171">
        <v>0</v>
      </c>
      <c r="T244" s="171">
        <v>0</v>
      </c>
      <c r="U244" s="171">
        <f t="shared" si="40"/>
        <v>24760</v>
      </c>
      <c r="V244" s="171">
        <f t="shared" si="41"/>
        <v>131940.86</v>
      </c>
      <c r="W244" s="132">
        <v>0</v>
      </c>
      <c r="X244" s="132">
        <f t="shared" si="42"/>
        <v>131940.86</v>
      </c>
      <c r="Y244" s="171">
        <v>0</v>
      </c>
      <c r="Z244" s="132">
        <f t="shared" si="43"/>
        <v>131940.86</v>
      </c>
    </row>
    <row r="245" spans="1:26" ht="12.75" hidden="1" outlineLevel="1">
      <c r="A245" s="132" t="s">
        <v>2386</v>
      </c>
      <c r="C245" s="171" t="s">
        <v>2387</v>
      </c>
      <c r="D245" s="171" t="s">
        <v>2388</v>
      </c>
      <c r="E245" s="132">
        <v>0</v>
      </c>
      <c r="F245" s="132">
        <v>111376.2</v>
      </c>
      <c r="G245" s="171">
        <f t="shared" si="37"/>
        <v>111376.2</v>
      </c>
      <c r="H245" s="132">
        <v>23011.88</v>
      </c>
      <c r="I245" s="132">
        <v>0</v>
      </c>
      <c r="J245" s="132">
        <v>0</v>
      </c>
      <c r="K245" s="132">
        <v>0</v>
      </c>
      <c r="L245" s="132">
        <f t="shared" si="38"/>
        <v>0</v>
      </c>
      <c r="M245" s="132">
        <v>0</v>
      </c>
      <c r="N245" s="132">
        <v>0</v>
      </c>
      <c r="O245" s="132">
        <v>0</v>
      </c>
      <c r="P245" s="132">
        <f t="shared" si="39"/>
        <v>0</v>
      </c>
      <c r="Q245" s="171">
        <v>153350</v>
      </c>
      <c r="R245" s="171">
        <v>0</v>
      </c>
      <c r="S245" s="171">
        <v>0</v>
      </c>
      <c r="T245" s="171">
        <v>0</v>
      </c>
      <c r="U245" s="171">
        <f t="shared" si="40"/>
        <v>153350</v>
      </c>
      <c r="V245" s="171">
        <f t="shared" si="41"/>
        <v>287738.07999999996</v>
      </c>
      <c r="W245" s="132">
        <v>0</v>
      </c>
      <c r="X245" s="132">
        <f t="shared" si="42"/>
        <v>287738.07999999996</v>
      </c>
      <c r="Y245" s="171">
        <v>0</v>
      </c>
      <c r="Z245" s="132">
        <f t="shared" si="43"/>
        <v>287738.07999999996</v>
      </c>
    </row>
    <row r="246" spans="1:26" ht="12.75" hidden="1" outlineLevel="1">
      <c r="A246" s="132" t="s">
        <v>2389</v>
      </c>
      <c r="C246" s="171" t="s">
        <v>2390</v>
      </c>
      <c r="D246" s="171" t="s">
        <v>2391</v>
      </c>
      <c r="E246" s="132">
        <v>0</v>
      </c>
      <c r="F246" s="132">
        <v>644.86</v>
      </c>
      <c r="G246" s="171">
        <f t="shared" si="37"/>
        <v>644.86</v>
      </c>
      <c r="H246" s="132">
        <v>0</v>
      </c>
      <c r="I246" s="132">
        <v>0</v>
      </c>
      <c r="J246" s="132">
        <v>0</v>
      </c>
      <c r="K246" s="132">
        <v>0</v>
      </c>
      <c r="L246" s="132">
        <f t="shared" si="38"/>
        <v>0</v>
      </c>
      <c r="M246" s="132">
        <v>0</v>
      </c>
      <c r="N246" s="132">
        <v>0</v>
      </c>
      <c r="O246" s="132">
        <v>0</v>
      </c>
      <c r="P246" s="132">
        <f t="shared" si="39"/>
        <v>0</v>
      </c>
      <c r="Q246" s="171">
        <v>0</v>
      </c>
      <c r="R246" s="171">
        <v>0</v>
      </c>
      <c r="S246" s="171">
        <v>0</v>
      </c>
      <c r="T246" s="171">
        <v>0</v>
      </c>
      <c r="U246" s="171">
        <f t="shared" si="40"/>
        <v>0</v>
      </c>
      <c r="V246" s="171">
        <f t="shared" si="41"/>
        <v>644.86</v>
      </c>
      <c r="W246" s="132">
        <v>0</v>
      </c>
      <c r="X246" s="132">
        <f t="shared" si="42"/>
        <v>644.86</v>
      </c>
      <c r="Y246" s="171">
        <v>0</v>
      </c>
      <c r="Z246" s="132">
        <f t="shared" si="43"/>
        <v>644.86</v>
      </c>
    </row>
    <row r="247" spans="1:26" ht="12.75" hidden="1" outlineLevel="1">
      <c r="A247" s="132" t="s">
        <v>2392</v>
      </c>
      <c r="C247" s="171" t="s">
        <v>2393</v>
      </c>
      <c r="D247" s="171" t="s">
        <v>2394</v>
      </c>
      <c r="E247" s="132">
        <v>0</v>
      </c>
      <c r="F247" s="132">
        <v>68338.43</v>
      </c>
      <c r="G247" s="171">
        <f t="shared" si="37"/>
        <v>68338.43</v>
      </c>
      <c r="H247" s="132">
        <v>0</v>
      </c>
      <c r="I247" s="132">
        <v>0</v>
      </c>
      <c r="J247" s="132">
        <v>0</v>
      </c>
      <c r="K247" s="132">
        <v>0</v>
      </c>
      <c r="L247" s="132">
        <f t="shared" si="38"/>
        <v>0</v>
      </c>
      <c r="M247" s="132">
        <v>0</v>
      </c>
      <c r="N247" s="132">
        <v>0</v>
      </c>
      <c r="O247" s="132">
        <v>0</v>
      </c>
      <c r="P247" s="132">
        <f t="shared" si="39"/>
        <v>0</v>
      </c>
      <c r="Q247" s="171">
        <v>0</v>
      </c>
      <c r="R247" s="171">
        <v>0</v>
      </c>
      <c r="S247" s="171">
        <v>0</v>
      </c>
      <c r="T247" s="171">
        <v>0</v>
      </c>
      <c r="U247" s="171">
        <f t="shared" si="40"/>
        <v>0</v>
      </c>
      <c r="V247" s="171">
        <f t="shared" si="41"/>
        <v>68338.43</v>
      </c>
      <c r="W247" s="132">
        <v>0</v>
      </c>
      <c r="X247" s="132">
        <f t="shared" si="42"/>
        <v>68338.43</v>
      </c>
      <c r="Y247" s="171">
        <v>0</v>
      </c>
      <c r="Z247" s="132">
        <f t="shared" si="43"/>
        <v>68338.43</v>
      </c>
    </row>
    <row r="248" spans="1:26" ht="12.75" hidden="1" outlineLevel="1">
      <c r="A248" s="132" t="s">
        <v>2395</v>
      </c>
      <c r="C248" s="171" t="s">
        <v>2396</v>
      </c>
      <c r="D248" s="171" t="s">
        <v>2397</v>
      </c>
      <c r="E248" s="132">
        <v>0</v>
      </c>
      <c r="F248" s="132">
        <v>336.5</v>
      </c>
      <c r="G248" s="171">
        <f t="shared" si="37"/>
        <v>336.5</v>
      </c>
      <c r="H248" s="132">
        <v>4266</v>
      </c>
      <c r="I248" s="132">
        <v>0</v>
      </c>
      <c r="J248" s="132">
        <v>0</v>
      </c>
      <c r="K248" s="132">
        <v>0</v>
      </c>
      <c r="L248" s="132">
        <f t="shared" si="38"/>
        <v>0</v>
      </c>
      <c r="M248" s="132">
        <v>0</v>
      </c>
      <c r="N248" s="132">
        <v>0</v>
      </c>
      <c r="O248" s="132">
        <v>0</v>
      </c>
      <c r="P248" s="132">
        <f t="shared" si="39"/>
        <v>0</v>
      </c>
      <c r="Q248" s="171">
        <v>0</v>
      </c>
      <c r="R248" s="171">
        <v>0</v>
      </c>
      <c r="S248" s="171">
        <v>0</v>
      </c>
      <c r="T248" s="171">
        <v>0</v>
      </c>
      <c r="U248" s="171">
        <f t="shared" si="40"/>
        <v>0</v>
      </c>
      <c r="V248" s="171">
        <f t="shared" si="41"/>
        <v>4602.5</v>
      </c>
      <c r="W248" s="132">
        <v>0</v>
      </c>
      <c r="X248" s="132">
        <f t="shared" si="42"/>
        <v>4602.5</v>
      </c>
      <c r="Y248" s="171">
        <v>0</v>
      </c>
      <c r="Z248" s="132">
        <f t="shared" si="43"/>
        <v>4602.5</v>
      </c>
    </row>
    <row r="249" spans="1:26" ht="12.75" hidden="1" outlineLevel="1">
      <c r="A249" s="132" t="s">
        <v>2398</v>
      </c>
      <c r="C249" s="171" t="s">
        <v>2399</v>
      </c>
      <c r="D249" s="171" t="s">
        <v>2400</v>
      </c>
      <c r="E249" s="132">
        <v>0</v>
      </c>
      <c r="F249" s="132">
        <v>271712.4</v>
      </c>
      <c r="G249" s="171">
        <f t="shared" si="37"/>
        <v>271712.4</v>
      </c>
      <c r="H249" s="132">
        <v>17286.7</v>
      </c>
      <c r="I249" s="132">
        <v>0</v>
      </c>
      <c r="J249" s="132">
        <v>0</v>
      </c>
      <c r="K249" s="132">
        <v>0</v>
      </c>
      <c r="L249" s="132">
        <f t="shared" si="38"/>
        <v>0</v>
      </c>
      <c r="M249" s="132">
        <v>0</v>
      </c>
      <c r="N249" s="132">
        <v>0</v>
      </c>
      <c r="O249" s="132">
        <v>0</v>
      </c>
      <c r="P249" s="132">
        <f t="shared" si="39"/>
        <v>0</v>
      </c>
      <c r="Q249" s="171">
        <v>0</v>
      </c>
      <c r="R249" s="171">
        <v>6337.11</v>
      </c>
      <c r="S249" s="171">
        <v>0</v>
      </c>
      <c r="T249" s="171">
        <v>0</v>
      </c>
      <c r="U249" s="171">
        <f t="shared" si="40"/>
        <v>6337.11</v>
      </c>
      <c r="V249" s="171">
        <f t="shared" si="41"/>
        <v>295336.21</v>
      </c>
      <c r="W249" s="132">
        <v>0</v>
      </c>
      <c r="X249" s="132">
        <f t="shared" si="42"/>
        <v>295336.21</v>
      </c>
      <c r="Y249" s="171">
        <v>2810.14</v>
      </c>
      <c r="Z249" s="132">
        <f t="shared" si="43"/>
        <v>298146.35000000003</v>
      </c>
    </row>
    <row r="250" spans="1:26" ht="12.75" hidden="1" outlineLevel="1">
      <c r="A250" s="132" t="s">
        <v>2401</v>
      </c>
      <c r="C250" s="171" t="s">
        <v>2402</v>
      </c>
      <c r="D250" s="171" t="s">
        <v>2403</v>
      </c>
      <c r="E250" s="132">
        <v>0</v>
      </c>
      <c r="F250" s="132">
        <v>15.93</v>
      </c>
      <c r="G250" s="171">
        <f t="shared" si="37"/>
        <v>15.93</v>
      </c>
      <c r="H250" s="132">
        <v>0</v>
      </c>
      <c r="I250" s="132">
        <v>0</v>
      </c>
      <c r="J250" s="132">
        <v>0</v>
      </c>
      <c r="K250" s="132">
        <v>0</v>
      </c>
      <c r="L250" s="132">
        <f t="shared" si="38"/>
        <v>0</v>
      </c>
      <c r="M250" s="132">
        <v>0</v>
      </c>
      <c r="N250" s="132">
        <v>0</v>
      </c>
      <c r="O250" s="132">
        <v>0</v>
      </c>
      <c r="P250" s="132">
        <f t="shared" si="39"/>
        <v>0</v>
      </c>
      <c r="Q250" s="171">
        <v>0</v>
      </c>
      <c r="R250" s="171">
        <v>0</v>
      </c>
      <c r="S250" s="171">
        <v>0</v>
      </c>
      <c r="T250" s="171">
        <v>0</v>
      </c>
      <c r="U250" s="171">
        <f t="shared" si="40"/>
        <v>0</v>
      </c>
      <c r="V250" s="171">
        <f t="shared" si="41"/>
        <v>15.93</v>
      </c>
      <c r="W250" s="132">
        <v>0</v>
      </c>
      <c r="X250" s="132">
        <f t="shared" si="42"/>
        <v>15.93</v>
      </c>
      <c r="Y250" s="171">
        <v>0</v>
      </c>
      <c r="Z250" s="132">
        <f t="shared" si="43"/>
        <v>15.93</v>
      </c>
    </row>
    <row r="251" spans="1:26" ht="12.75" hidden="1" outlineLevel="1">
      <c r="A251" s="132" t="s">
        <v>259</v>
      </c>
      <c r="C251" s="171" t="s">
        <v>260</v>
      </c>
      <c r="D251" s="171" t="s">
        <v>261</v>
      </c>
      <c r="E251" s="132">
        <v>0</v>
      </c>
      <c r="F251" s="132">
        <v>784.85</v>
      </c>
      <c r="G251" s="171">
        <f t="shared" si="37"/>
        <v>784.85</v>
      </c>
      <c r="H251" s="132">
        <v>0</v>
      </c>
      <c r="I251" s="132">
        <v>0</v>
      </c>
      <c r="J251" s="132">
        <v>0</v>
      </c>
      <c r="K251" s="132">
        <v>0</v>
      </c>
      <c r="L251" s="132">
        <f t="shared" si="38"/>
        <v>0</v>
      </c>
      <c r="M251" s="132">
        <v>0</v>
      </c>
      <c r="N251" s="132">
        <v>0</v>
      </c>
      <c r="O251" s="132">
        <v>0</v>
      </c>
      <c r="P251" s="132">
        <f t="shared" si="39"/>
        <v>0</v>
      </c>
      <c r="Q251" s="171">
        <v>0</v>
      </c>
      <c r="R251" s="171">
        <v>0</v>
      </c>
      <c r="S251" s="171">
        <v>0</v>
      </c>
      <c r="T251" s="171">
        <v>0</v>
      </c>
      <c r="U251" s="171">
        <f t="shared" si="40"/>
        <v>0</v>
      </c>
      <c r="V251" s="171">
        <f t="shared" si="41"/>
        <v>784.85</v>
      </c>
      <c r="W251" s="132">
        <v>0</v>
      </c>
      <c r="X251" s="132">
        <f t="shared" si="42"/>
        <v>784.85</v>
      </c>
      <c r="Y251" s="171">
        <v>69.95</v>
      </c>
      <c r="Z251" s="132">
        <f t="shared" si="43"/>
        <v>854.8000000000001</v>
      </c>
    </row>
    <row r="252" spans="1:26" ht="12.75" hidden="1" outlineLevel="1">
      <c r="A252" s="132" t="s">
        <v>2404</v>
      </c>
      <c r="C252" s="171" t="s">
        <v>2405</v>
      </c>
      <c r="D252" s="171" t="s">
        <v>2406</v>
      </c>
      <c r="E252" s="132">
        <v>0</v>
      </c>
      <c r="F252" s="132">
        <v>42340.09</v>
      </c>
      <c r="G252" s="171">
        <f t="shared" si="37"/>
        <v>42340.09</v>
      </c>
      <c r="H252" s="132">
        <v>23968.95</v>
      </c>
      <c r="I252" s="132">
        <v>0</v>
      </c>
      <c r="J252" s="132">
        <v>0</v>
      </c>
      <c r="K252" s="132">
        <v>0</v>
      </c>
      <c r="L252" s="132">
        <f t="shared" si="38"/>
        <v>0</v>
      </c>
      <c r="M252" s="132">
        <v>0</v>
      </c>
      <c r="N252" s="132">
        <v>0</v>
      </c>
      <c r="O252" s="132">
        <v>0</v>
      </c>
      <c r="P252" s="132">
        <f t="shared" si="39"/>
        <v>0</v>
      </c>
      <c r="Q252" s="171">
        <v>0</v>
      </c>
      <c r="R252" s="171">
        <v>0</v>
      </c>
      <c r="S252" s="171">
        <v>0</v>
      </c>
      <c r="T252" s="171">
        <v>0</v>
      </c>
      <c r="U252" s="171">
        <f t="shared" si="40"/>
        <v>0</v>
      </c>
      <c r="V252" s="171">
        <f t="shared" si="41"/>
        <v>66309.04</v>
      </c>
      <c r="W252" s="132">
        <v>0</v>
      </c>
      <c r="X252" s="132">
        <f t="shared" si="42"/>
        <v>66309.04</v>
      </c>
      <c r="Y252" s="171">
        <v>0</v>
      </c>
      <c r="Z252" s="132">
        <f t="shared" si="43"/>
        <v>66309.04</v>
      </c>
    </row>
    <row r="253" spans="1:26" ht="12.75" hidden="1" outlineLevel="1">
      <c r="A253" s="132" t="s">
        <v>2407</v>
      </c>
      <c r="C253" s="171" t="s">
        <v>2408</v>
      </c>
      <c r="D253" s="171" t="s">
        <v>2409</v>
      </c>
      <c r="E253" s="132">
        <v>0</v>
      </c>
      <c r="F253" s="132">
        <v>22755.23</v>
      </c>
      <c r="G253" s="171">
        <f t="shared" si="37"/>
        <v>22755.23</v>
      </c>
      <c r="H253" s="132">
        <v>445</v>
      </c>
      <c r="I253" s="132">
        <v>0</v>
      </c>
      <c r="J253" s="132">
        <v>0</v>
      </c>
      <c r="K253" s="132">
        <v>0</v>
      </c>
      <c r="L253" s="132">
        <f t="shared" si="38"/>
        <v>0</v>
      </c>
      <c r="M253" s="132">
        <v>0</v>
      </c>
      <c r="N253" s="132">
        <v>0</v>
      </c>
      <c r="O253" s="132">
        <v>0</v>
      </c>
      <c r="P253" s="132">
        <f t="shared" si="39"/>
        <v>0</v>
      </c>
      <c r="Q253" s="171">
        <v>0</v>
      </c>
      <c r="R253" s="171">
        <v>0</v>
      </c>
      <c r="S253" s="171">
        <v>0</v>
      </c>
      <c r="T253" s="171">
        <v>0</v>
      </c>
      <c r="U253" s="171">
        <f t="shared" si="40"/>
        <v>0</v>
      </c>
      <c r="V253" s="171">
        <f t="shared" si="41"/>
        <v>23200.23</v>
      </c>
      <c r="W253" s="132">
        <v>0</v>
      </c>
      <c r="X253" s="132">
        <f t="shared" si="42"/>
        <v>23200.23</v>
      </c>
      <c r="Y253" s="171">
        <v>0</v>
      </c>
      <c r="Z253" s="132">
        <f t="shared" si="43"/>
        <v>23200.23</v>
      </c>
    </row>
    <row r="254" spans="1:26" ht="12.75" hidden="1" outlineLevel="1">
      <c r="A254" s="132" t="s">
        <v>2410</v>
      </c>
      <c r="C254" s="171" t="s">
        <v>2411</v>
      </c>
      <c r="D254" s="171" t="s">
        <v>2412</v>
      </c>
      <c r="E254" s="132">
        <v>7984.15</v>
      </c>
      <c r="F254" s="132">
        <v>3121566.7</v>
      </c>
      <c r="G254" s="171">
        <f t="shared" si="37"/>
        <v>3129550.85</v>
      </c>
      <c r="H254" s="132">
        <v>2009567.47</v>
      </c>
      <c r="I254" s="132">
        <v>0</v>
      </c>
      <c r="J254" s="132">
        <v>0</v>
      </c>
      <c r="K254" s="132">
        <v>34265</v>
      </c>
      <c r="L254" s="132">
        <f t="shared" si="38"/>
        <v>34265</v>
      </c>
      <c r="M254" s="132">
        <v>0</v>
      </c>
      <c r="N254" s="132">
        <v>31620.99</v>
      </c>
      <c r="O254" s="132">
        <v>2521.02</v>
      </c>
      <c r="P254" s="132">
        <f t="shared" si="39"/>
        <v>34142.01</v>
      </c>
      <c r="Q254" s="171">
        <v>12675</v>
      </c>
      <c r="R254" s="171">
        <v>-85401.28</v>
      </c>
      <c r="S254" s="171">
        <v>0</v>
      </c>
      <c r="T254" s="171">
        <v>0</v>
      </c>
      <c r="U254" s="171">
        <f t="shared" si="40"/>
        <v>-72726.28</v>
      </c>
      <c r="V254" s="171">
        <f t="shared" si="41"/>
        <v>5134799.05</v>
      </c>
      <c r="W254" s="132">
        <v>0</v>
      </c>
      <c r="X254" s="132">
        <f t="shared" si="42"/>
        <v>5134799.05</v>
      </c>
      <c r="Y254" s="171">
        <v>1880539.34</v>
      </c>
      <c r="Z254" s="132">
        <f t="shared" si="43"/>
        <v>7015338.39</v>
      </c>
    </row>
    <row r="255" spans="1:26" ht="12.75" hidden="1" outlineLevel="1">
      <c r="A255" s="132" t="s">
        <v>2413</v>
      </c>
      <c r="C255" s="171" t="s">
        <v>2414</v>
      </c>
      <c r="D255" s="171" t="s">
        <v>2415</v>
      </c>
      <c r="E255" s="132">
        <v>0</v>
      </c>
      <c r="F255" s="132">
        <v>-56.36</v>
      </c>
      <c r="G255" s="171">
        <f t="shared" si="37"/>
        <v>-56.36</v>
      </c>
      <c r="H255" s="132">
        <v>0</v>
      </c>
      <c r="I255" s="132">
        <v>0</v>
      </c>
      <c r="J255" s="132">
        <v>0</v>
      </c>
      <c r="K255" s="132">
        <v>0</v>
      </c>
      <c r="L255" s="132">
        <f t="shared" si="38"/>
        <v>0</v>
      </c>
      <c r="M255" s="132">
        <v>0</v>
      </c>
      <c r="N255" s="132">
        <v>0</v>
      </c>
      <c r="O255" s="132">
        <v>0</v>
      </c>
      <c r="P255" s="132">
        <f t="shared" si="39"/>
        <v>0</v>
      </c>
      <c r="Q255" s="171">
        <v>0</v>
      </c>
      <c r="R255" s="171">
        <v>0</v>
      </c>
      <c r="S255" s="171">
        <v>0</v>
      </c>
      <c r="T255" s="171">
        <v>0</v>
      </c>
      <c r="U255" s="171">
        <f t="shared" si="40"/>
        <v>0</v>
      </c>
      <c r="V255" s="171">
        <f t="shared" si="41"/>
        <v>-56.36</v>
      </c>
      <c r="W255" s="132">
        <v>0</v>
      </c>
      <c r="X255" s="132">
        <f t="shared" si="42"/>
        <v>-56.36</v>
      </c>
      <c r="Y255" s="171">
        <v>0</v>
      </c>
      <c r="Z255" s="132">
        <f t="shared" si="43"/>
        <v>-56.36</v>
      </c>
    </row>
    <row r="256" spans="1:26" ht="12.75" hidden="1" outlineLevel="1">
      <c r="A256" s="132" t="s">
        <v>262</v>
      </c>
      <c r="C256" s="171" t="s">
        <v>263</v>
      </c>
      <c r="D256" s="171" t="s">
        <v>264</v>
      </c>
      <c r="E256" s="132">
        <v>0</v>
      </c>
      <c r="F256" s="132">
        <v>-549.56</v>
      </c>
      <c r="G256" s="171">
        <f t="shared" si="37"/>
        <v>-549.56</v>
      </c>
      <c r="H256" s="132">
        <v>0</v>
      </c>
      <c r="I256" s="132">
        <v>0</v>
      </c>
      <c r="J256" s="132">
        <v>0</v>
      </c>
      <c r="K256" s="132">
        <v>0</v>
      </c>
      <c r="L256" s="132">
        <f t="shared" si="38"/>
        <v>0</v>
      </c>
      <c r="M256" s="132">
        <v>0</v>
      </c>
      <c r="N256" s="132">
        <v>0</v>
      </c>
      <c r="O256" s="132">
        <v>0</v>
      </c>
      <c r="P256" s="132">
        <f t="shared" si="39"/>
        <v>0</v>
      </c>
      <c r="Q256" s="171">
        <v>0</v>
      </c>
      <c r="R256" s="171">
        <v>0</v>
      </c>
      <c r="S256" s="171">
        <v>0</v>
      </c>
      <c r="T256" s="171">
        <v>0</v>
      </c>
      <c r="U256" s="171">
        <f t="shared" si="40"/>
        <v>0</v>
      </c>
      <c r="V256" s="171">
        <f t="shared" si="41"/>
        <v>-549.56</v>
      </c>
      <c r="W256" s="132">
        <v>0</v>
      </c>
      <c r="X256" s="132">
        <f t="shared" si="42"/>
        <v>-549.56</v>
      </c>
      <c r="Y256" s="171">
        <v>36457.7</v>
      </c>
      <c r="Z256" s="132">
        <f t="shared" si="43"/>
        <v>35908.14</v>
      </c>
    </row>
    <row r="257" spans="1:26" ht="12.75" hidden="1" outlineLevel="1">
      <c r="A257" s="132" t="s">
        <v>2416</v>
      </c>
      <c r="C257" s="171" t="s">
        <v>2417</v>
      </c>
      <c r="D257" s="171" t="s">
        <v>2418</v>
      </c>
      <c r="E257" s="132">
        <v>0</v>
      </c>
      <c r="F257" s="132">
        <v>15171.5</v>
      </c>
      <c r="G257" s="171">
        <f t="shared" si="37"/>
        <v>15171.5</v>
      </c>
      <c r="H257" s="132">
        <v>0</v>
      </c>
      <c r="I257" s="132">
        <v>0</v>
      </c>
      <c r="J257" s="132">
        <v>0</v>
      </c>
      <c r="K257" s="132">
        <v>0</v>
      </c>
      <c r="L257" s="132">
        <f t="shared" si="38"/>
        <v>0</v>
      </c>
      <c r="M257" s="132">
        <v>0</v>
      </c>
      <c r="N257" s="132">
        <v>0</v>
      </c>
      <c r="O257" s="132">
        <v>0</v>
      </c>
      <c r="P257" s="132">
        <f t="shared" si="39"/>
        <v>0</v>
      </c>
      <c r="Q257" s="171">
        <v>0</v>
      </c>
      <c r="R257" s="171">
        <v>0</v>
      </c>
      <c r="S257" s="171">
        <v>0</v>
      </c>
      <c r="T257" s="171">
        <v>0</v>
      </c>
      <c r="U257" s="171">
        <f t="shared" si="40"/>
        <v>0</v>
      </c>
      <c r="V257" s="171">
        <f t="shared" si="41"/>
        <v>15171.5</v>
      </c>
      <c r="W257" s="132">
        <v>0</v>
      </c>
      <c r="X257" s="132">
        <f t="shared" si="42"/>
        <v>15171.5</v>
      </c>
      <c r="Y257" s="171">
        <v>0</v>
      </c>
      <c r="Z257" s="132">
        <f t="shared" si="43"/>
        <v>15171.5</v>
      </c>
    </row>
    <row r="258" spans="1:26" ht="12.75" hidden="1" outlineLevel="1">
      <c r="A258" s="132" t="s">
        <v>2419</v>
      </c>
      <c r="C258" s="171" t="s">
        <v>2420</v>
      </c>
      <c r="D258" s="171" t="s">
        <v>2421</v>
      </c>
      <c r="E258" s="132">
        <v>0</v>
      </c>
      <c r="F258" s="132">
        <v>233833.35</v>
      </c>
      <c r="G258" s="171">
        <f t="shared" si="37"/>
        <v>233833.35</v>
      </c>
      <c r="H258" s="132">
        <v>2155</v>
      </c>
      <c r="I258" s="132">
        <v>0</v>
      </c>
      <c r="J258" s="132">
        <v>0</v>
      </c>
      <c r="K258" s="132">
        <v>0</v>
      </c>
      <c r="L258" s="132">
        <f t="shared" si="38"/>
        <v>0</v>
      </c>
      <c r="M258" s="132">
        <v>0</v>
      </c>
      <c r="N258" s="132">
        <v>0</v>
      </c>
      <c r="O258" s="132">
        <v>0</v>
      </c>
      <c r="P258" s="132">
        <f t="shared" si="39"/>
        <v>0</v>
      </c>
      <c r="Q258" s="171">
        <v>0</v>
      </c>
      <c r="R258" s="171">
        <v>0</v>
      </c>
      <c r="S258" s="171">
        <v>0</v>
      </c>
      <c r="T258" s="171">
        <v>0</v>
      </c>
      <c r="U258" s="171">
        <f t="shared" si="40"/>
        <v>0</v>
      </c>
      <c r="V258" s="171">
        <f t="shared" si="41"/>
        <v>235988.35</v>
      </c>
      <c r="W258" s="132">
        <v>0</v>
      </c>
      <c r="X258" s="132">
        <f t="shared" si="42"/>
        <v>235988.35</v>
      </c>
      <c r="Y258" s="171">
        <v>-396049.74</v>
      </c>
      <c r="Z258" s="132">
        <f t="shared" si="43"/>
        <v>-160061.38999999998</v>
      </c>
    </row>
    <row r="259" spans="1:26" ht="12.75" hidden="1" outlineLevel="1">
      <c r="A259" s="132" t="s">
        <v>265</v>
      </c>
      <c r="C259" s="171" t="s">
        <v>266</v>
      </c>
      <c r="D259" s="171" t="s">
        <v>267</v>
      </c>
      <c r="E259" s="132">
        <v>0</v>
      </c>
      <c r="F259" s="132">
        <v>3768.03</v>
      </c>
      <c r="G259" s="171">
        <f t="shared" si="37"/>
        <v>3768.03</v>
      </c>
      <c r="H259" s="132">
        <v>0</v>
      </c>
      <c r="I259" s="132">
        <v>0</v>
      </c>
      <c r="J259" s="132">
        <v>0</v>
      </c>
      <c r="K259" s="132">
        <v>0</v>
      </c>
      <c r="L259" s="132">
        <f t="shared" si="38"/>
        <v>0</v>
      </c>
      <c r="M259" s="132">
        <v>0</v>
      </c>
      <c r="N259" s="132">
        <v>0</v>
      </c>
      <c r="O259" s="132">
        <v>0</v>
      </c>
      <c r="P259" s="132">
        <f t="shared" si="39"/>
        <v>0</v>
      </c>
      <c r="Q259" s="171">
        <v>0</v>
      </c>
      <c r="R259" s="171">
        <v>0</v>
      </c>
      <c r="S259" s="171">
        <v>0</v>
      </c>
      <c r="T259" s="171">
        <v>0</v>
      </c>
      <c r="U259" s="171">
        <f t="shared" si="40"/>
        <v>0</v>
      </c>
      <c r="V259" s="171">
        <f t="shared" si="41"/>
        <v>3768.03</v>
      </c>
      <c r="W259" s="132">
        <v>0</v>
      </c>
      <c r="X259" s="132">
        <f t="shared" si="42"/>
        <v>3768.03</v>
      </c>
      <c r="Y259" s="171">
        <v>0</v>
      </c>
      <c r="Z259" s="132">
        <f t="shared" si="43"/>
        <v>3768.03</v>
      </c>
    </row>
    <row r="260" spans="1:26" ht="12.75" hidden="1" outlineLevel="1">
      <c r="A260" s="132" t="s">
        <v>2422</v>
      </c>
      <c r="C260" s="171" t="s">
        <v>2423</v>
      </c>
      <c r="D260" s="171" t="s">
        <v>2424</v>
      </c>
      <c r="E260" s="132">
        <v>0</v>
      </c>
      <c r="F260" s="132">
        <v>47460.73</v>
      </c>
      <c r="G260" s="171">
        <f t="shared" si="37"/>
        <v>47460.73</v>
      </c>
      <c r="H260" s="132">
        <v>15</v>
      </c>
      <c r="I260" s="132">
        <v>0</v>
      </c>
      <c r="J260" s="132">
        <v>0</v>
      </c>
      <c r="K260" s="132">
        <v>0</v>
      </c>
      <c r="L260" s="132">
        <f t="shared" si="38"/>
        <v>0</v>
      </c>
      <c r="M260" s="132">
        <v>0</v>
      </c>
      <c r="N260" s="132">
        <v>0</v>
      </c>
      <c r="O260" s="132">
        <v>0</v>
      </c>
      <c r="P260" s="132">
        <f t="shared" si="39"/>
        <v>0</v>
      </c>
      <c r="Q260" s="171">
        <v>0</v>
      </c>
      <c r="R260" s="171">
        <v>0</v>
      </c>
      <c r="S260" s="171">
        <v>0</v>
      </c>
      <c r="T260" s="171">
        <v>0</v>
      </c>
      <c r="U260" s="171">
        <f t="shared" si="40"/>
        <v>0</v>
      </c>
      <c r="V260" s="171">
        <f t="shared" si="41"/>
        <v>47475.73</v>
      </c>
      <c r="W260" s="132">
        <v>0</v>
      </c>
      <c r="X260" s="132">
        <f t="shared" si="42"/>
        <v>47475.73</v>
      </c>
      <c r="Y260" s="171">
        <v>0</v>
      </c>
      <c r="Z260" s="132">
        <f t="shared" si="43"/>
        <v>47475.73</v>
      </c>
    </row>
    <row r="261" spans="1:26" ht="12.75" hidden="1" outlineLevel="1">
      <c r="A261" s="132" t="s">
        <v>268</v>
      </c>
      <c r="C261" s="171" t="s">
        <v>269</v>
      </c>
      <c r="D261" s="171" t="s">
        <v>270</v>
      </c>
      <c r="E261" s="132">
        <v>0</v>
      </c>
      <c r="F261" s="132">
        <v>313.87</v>
      </c>
      <c r="G261" s="171">
        <f t="shared" si="37"/>
        <v>313.87</v>
      </c>
      <c r="H261" s="132">
        <v>0</v>
      </c>
      <c r="I261" s="132">
        <v>0</v>
      </c>
      <c r="J261" s="132">
        <v>0</v>
      </c>
      <c r="K261" s="132">
        <v>0</v>
      </c>
      <c r="L261" s="132">
        <f t="shared" si="38"/>
        <v>0</v>
      </c>
      <c r="M261" s="132">
        <v>0</v>
      </c>
      <c r="N261" s="132">
        <v>0</v>
      </c>
      <c r="O261" s="132">
        <v>0</v>
      </c>
      <c r="P261" s="132">
        <f t="shared" si="39"/>
        <v>0</v>
      </c>
      <c r="Q261" s="171">
        <v>0</v>
      </c>
      <c r="R261" s="171">
        <v>0</v>
      </c>
      <c r="S261" s="171">
        <v>0</v>
      </c>
      <c r="T261" s="171">
        <v>0</v>
      </c>
      <c r="U261" s="171">
        <f t="shared" si="40"/>
        <v>0</v>
      </c>
      <c r="V261" s="171">
        <f t="shared" si="41"/>
        <v>313.87</v>
      </c>
      <c r="W261" s="132">
        <v>0</v>
      </c>
      <c r="X261" s="132">
        <f t="shared" si="42"/>
        <v>313.87</v>
      </c>
      <c r="Y261" s="171">
        <v>0</v>
      </c>
      <c r="Z261" s="132">
        <f t="shared" si="43"/>
        <v>313.87</v>
      </c>
    </row>
    <row r="262" spans="1:26" ht="12.75" hidden="1" outlineLevel="1">
      <c r="A262" s="132" t="s">
        <v>2425</v>
      </c>
      <c r="C262" s="171" t="s">
        <v>2426</v>
      </c>
      <c r="D262" s="171" t="s">
        <v>2427</v>
      </c>
      <c r="E262" s="132">
        <v>0</v>
      </c>
      <c r="F262" s="132">
        <v>4862095.97</v>
      </c>
      <c r="G262" s="171">
        <f t="shared" si="37"/>
        <v>4862095.97</v>
      </c>
      <c r="H262" s="132">
        <v>-614843.09</v>
      </c>
      <c r="I262" s="132">
        <v>16411.79</v>
      </c>
      <c r="J262" s="132">
        <v>0</v>
      </c>
      <c r="K262" s="132">
        <v>-324450.44</v>
      </c>
      <c r="L262" s="132">
        <f t="shared" si="38"/>
        <v>-308038.65</v>
      </c>
      <c r="M262" s="132">
        <v>0</v>
      </c>
      <c r="N262" s="132">
        <v>0</v>
      </c>
      <c r="O262" s="132">
        <v>0</v>
      </c>
      <c r="P262" s="132">
        <f t="shared" si="39"/>
        <v>0</v>
      </c>
      <c r="Q262" s="171">
        <v>0</v>
      </c>
      <c r="R262" s="171">
        <v>0</v>
      </c>
      <c r="S262" s="171">
        <v>0</v>
      </c>
      <c r="T262" s="171">
        <v>0</v>
      </c>
      <c r="U262" s="171">
        <f t="shared" si="40"/>
        <v>0</v>
      </c>
      <c r="V262" s="171">
        <f t="shared" si="41"/>
        <v>3939214.23</v>
      </c>
      <c r="W262" s="132">
        <v>0</v>
      </c>
      <c r="X262" s="132">
        <f t="shared" si="42"/>
        <v>3939214.23</v>
      </c>
      <c r="Y262" s="171">
        <v>0</v>
      </c>
      <c r="Z262" s="132">
        <f t="shared" si="43"/>
        <v>3939214.23</v>
      </c>
    </row>
    <row r="263" spans="1:26" ht="12.75" hidden="1" outlineLevel="1">
      <c r="A263" s="132" t="s">
        <v>271</v>
      </c>
      <c r="C263" s="171" t="s">
        <v>272</v>
      </c>
      <c r="D263" s="171" t="s">
        <v>273</v>
      </c>
      <c r="E263" s="132">
        <v>0</v>
      </c>
      <c r="F263" s="132">
        <v>1176.81</v>
      </c>
      <c r="G263" s="171">
        <f t="shared" si="37"/>
        <v>1176.81</v>
      </c>
      <c r="H263" s="132">
        <v>0</v>
      </c>
      <c r="I263" s="132">
        <v>0</v>
      </c>
      <c r="J263" s="132">
        <v>0</v>
      </c>
      <c r="K263" s="132">
        <v>0</v>
      </c>
      <c r="L263" s="132">
        <f t="shared" si="38"/>
        <v>0</v>
      </c>
      <c r="M263" s="132">
        <v>0</v>
      </c>
      <c r="N263" s="132">
        <v>0</v>
      </c>
      <c r="O263" s="132">
        <v>0</v>
      </c>
      <c r="P263" s="132">
        <f t="shared" si="39"/>
        <v>0</v>
      </c>
      <c r="Q263" s="171">
        <v>0</v>
      </c>
      <c r="R263" s="171">
        <v>0</v>
      </c>
      <c r="S263" s="171">
        <v>0</v>
      </c>
      <c r="T263" s="171">
        <v>0</v>
      </c>
      <c r="U263" s="171">
        <f t="shared" si="40"/>
        <v>0</v>
      </c>
      <c r="V263" s="171">
        <f t="shared" si="41"/>
        <v>1176.81</v>
      </c>
      <c r="W263" s="132">
        <v>0</v>
      </c>
      <c r="X263" s="132">
        <f t="shared" si="42"/>
        <v>1176.81</v>
      </c>
      <c r="Y263" s="171">
        <v>0</v>
      </c>
      <c r="Z263" s="132">
        <f t="shared" si="43"/>
        <v>1176.81</v>
      </c>
    </row>
    <row r="264" spans="1:26" ht="12.75" hidden="1" outlineLevel="1">
      <c r="A264" s="132" t="s">
        <v>2428</v>
      </c>
      <c r="C264" s="171" t="s">
        <v>2429</v>
      </c>
      <c r="D264" s="171" t="s">
        <v>2430</v>
      </c>
      <c r="E264" s="132">
        <v>0</v>
      </c>
      <c r="F264" s="132">
        <v>12400.7</v>
      </c>
      <c r="G264" s="171">
        <f t="shared" si="37"/>
        <v>12400.7</v>
      </c>
      <c r="H264" s="132">
        <v>153333.38</v>
      </c>
      <c r="I264" s="132">
        <v>0</v>
      </c>
      <c r="J264" s="132">
        <v>0</v>
      </c>
      <c r="K264" s="132">
        <v>0</v>
      </c>
      <c r="L264" s="132">
        <f t="shared" si="38"/>
        <v>0</v>
      </c>
      <c r="M264" s="132">
        <v>0</v>
      </c>
      <c r="N264" s="132">
        <v>0</v>
      </c>
      <c r="O264" s="132">
        <v>0</v>
      </c>
      <c r="P264" s="132">
        <f t="shared" si="39"/>
        <v>0</v>
      </c>
      <c r="Q264" s="171">
        <v>0</v>
      </c>
      <c r="R264" s="171">
        <v>0</v>
      </c>
      <c r="S264" s="171">
        <v>0</v>
      </c>
      <c r="T264" s="171">
        <v>0</v>
      </c>
      <c r="U264" s="171">
        <f t="shared" si="40"/>
        <v>0</v>
      </c>
      <c r="V264" s="171">
        <f t="shared" si="41"/>
        <v>165734.08000000002</v>
      </c>
      <c r="W264" s="132">
        <v>0</v>
      </c>
      <c r="X264" s="132">
        <f t="shared" si="42"/>
        <v>165734.08000000002</v>
      </c>
      <c r="Y264" s="171">
        <v>0</v>
      </c>
      <c r="Z264" s="132">
        <f t="shared" si="43"/>
        <v>165734.08000000002</v>
      </c>
    </row>
    <row r="265" spans="1:26" ht="12.75" hidden="1" outlineLevel="1">
      <c r="A265" s="132" t="s">
        <v>2431</v>
      </c>
      <c r="C265" s="171" t="s">
        <v>2432</v>
      </c>
      <c r="D265" s="171" t="s">
        <v>2433</v>
      </c>
      <c r="E265" s="132">
        <v>0</v>
      </c>
      <c r="F265" s="132">
        <v>250.02</v>
      </c>
      <c r="G265" s="171">
        <f aca="true" t="shared" si="44" ref="G265:G328">E265+F265</f>
        <v>250.02</v>
      </c>
      <c r="H265" s="132">
        <v>0</v>
      </c>
      <c r="I265" s="132">
        <v>0</v>
      </c>
      <c r="J265" s="132">
        <v>0</v>
      </c>
      <c r="K265" s="132">
        <v>0</v>
      </c>
      <c r="L265" s="132">
        <f aca="true" t="shared" si="45" ref="L265:L328">J265+I265+K265</f>
        <v>0</v>
      </c>
      <c r="M265" s="132">
        <v>0</v>
      </c>
      <c r="N265" s="132">
        <v>0</v>
      </c>
      <c r="O265" s="132">
        <v>0</v>
      </c>
      <c r="P265" s="132">
        <f aca="true" t="shared" si="46" ref="P265:P328">M265+N265+O265</f>
        <v>0</v>
      </c>
      <c r="Q265" s="171">
        <v>0</v>
      </c>
      <c r="R265" s="171">
        <v>0</v>
      </c>
      <c r="S265" s="171">
        <v>0</v>
      </c>
      <c r="T265" s="171">
        <v>0</v>
      </c>
      <c r="U265" s="171">
        <f aca="true" t="shared" si="47" ref="U265:U328">Q265+R265+S265+T265</f>
        <v>0</v>
      </c>
      <c r="V265" s="171">
        <f aca="true" t="shared" si="48" ref="V265:V328">G265+H265+L265+P265+U265</f>
        <v>250.02</v>
      </c>
      <c r="W265" s="132">
        <v>0</v>
      </c>
      <c r="X265" s="132">
        <f aca="true" t="shared" si="49" ref="X265:X328">V265+W265</f>
        <v>250.02</v>
      </c>
      <c r="Y265" s="171">
        <v>0</v>
      </c>
      <c r="Z265" s="132">
        <f aca="true" t="shared" si="50" ref="Z265:Z328">X265+Y265</f>
        <v>250.02</v>
      </c>
    </row>
    <row r="266" spans="1:26" ht="12.75" hidden="1" outlineLevel="1">
      <c r="A266" s="132" t="s">
        <v>274</v>
      </c>
      <c r="C266" s="171" t="s">
        <v>275</v>
      </c>
      <c r="D266" s="171" t="s">
        <v>276</v>
      </c>
      <c r="E266" s="132">
        <v>0</v>
      </c>
      <c r="F266" s="132">
        <v>7068.18</v>
      </c>
      <c r="G266" s="171">
        <f t="shared" si="44"/>
        <v>7068.18</v>
      </c>
      <c r="H266" s="132">
        <v>0</v>
      </c>
      <c r="I266" s="132">
        <v>0</v>
      </c>
      <c r="J266" s="132">
        <v>0</v>
      </c>
      <c r="K266" s="132">
        <v>0</v>
      </c>
      <c r="L266" s="132">
        <f t="shared" si="45"/>
        <v>0</v>
      </c>
      <c r="M266" s="132">
        <v>0</v>
      </c>
      <c r="N266" s="132">
        <v>0</v>
      </c>
      <c r="O266" s="132">
        <v>0</v>
      </c>
      <c r="P266" s="132">
        <f t="shared" si="46"/>
        <v>0</v>
      </c>
      <c r="Q266" s="171">
        <v>0</v>
      </c>
      <c r="R266" s="171">
        <v>0</v>
      </c>
      <c r="S266" s="171">
        <v>0</v>
      </c>
      <c r="T266" s="171">
        <v>0</v>
      </c>
      <c r="U266" s="171">
        <f t="shared" si="47"/>
        <v>0</v>
      </c>
      <c r="V266" s="171">
        <f t="shared" si="48"/>
        <v>7068.18</v>
      </c>
      <c r="W266" s="132">
        <v>0</v>
      </c>
      <c r="X266" s="132">
        <f t="shared" si="49"/>
        <v>7068.18</v>
      </c>
      <c r="Y266" s="171">
        <v>0</v>
      </c>
      <c r="Z266" s="132">
        <f t="shared" si="50"/>
        <v>7068.18</v>
      </c>
    </row>
    <row r="267" spans="1:26" ht="12.75" hidden="1" outlineLevel="1">
      <c r="A267" s="132" t="s">
        <v>2434</v>
      </c>
      <c r="C267" s="171" t="s">
        <v>2435</v>
      </c>
      <c r="D267" s="171" t="s">
        <v>2436</v>
      </c>
      <c r="E267" s="132">
        <v>0</v>
      </c>
      <c r="F267" s="132">
        <v>8835.950000000008</v>
      </c>
      <c r="G267" s="171">
        <f t="shared" si="44"/>
        <v>8835.950000000008</v>
      </c>
      <c r="H267" s="132">
        <v>7477.38</v>
      </c>
      <c r="I267" s="132">
        <v>0</v>
      </c>
      <c r="J267" s="132">
        <v>0</v>
      </c>
      <c r="K267" s="132">
        <v>0</v>
      </c>
      <c r="L267" s="132">
        <f t="shared" si="45"/>
        <v>0</v>
      </c>
      <c r="M267" s="132">
        <v>0</v>
      </c>
      <c r="N267" s="132">
        <v>0</v>
      </c>
      <c r="O267" s="132">
        <v>0</v>
      </c>
      <c r="P267" s="132">
        <f t="shared" si="46"/>
        <v>0</v>
      </c>
      <c r="Q267" s="171">
        <v>0</v>
      </c>
      <c r="R267" s="171">
        <v>0</v>
      </c>
      <c r="S267" s="171">
        <v>0</v>
      </c>
      <c r="T267" s="171">
        <v>0</v>
      </c>
      <c r="U267" s="171">
        <f t="shared" si="47"/>
        <v>0</v>
      </c>
      <c r="V267" s="171">
        <f t="shared" si="48"/>
        <v>16313.330000000009</v>
      </c>
      <c r="W267" s="132">
        <v>0</v>
      </c>
      <c r="X267" s="132">
        <f t="shared" si="49"/>
        <v>16313.330000000009</v>
      </c>
      <c r="Y267" s="171">
        <v>0</v>
      </c>
      <c r="Z267" s="132">
        <f t="shared" si="50"/>
        <v>16313.330000000009</v>
      </c>
    </row>
    <row r="268" spans="1:26" ht="12.75" hidden="1" outlineLevel="1">
      <c r="A268" s="132" t="s">
        <v>2437</v>
      </c>
      <c r="C268" s="171" t="s">
        <v>2438</v>
      </c>
      <c r="D268" s="171" t="s">
        <v>2439</v>
      </c>
      <c r="E268" s="132">
        <v>0</v>
      </c>
      <c r="F268" s="132">
        <v>2322.24</v>
      </c>
      <c r="G268" s="171">
        <f t="shared" si="44"/>
        <v>2322.24</v>
      </c>
      <c r="H268" s="132">
        <v>175.06</v>
      </c>
      <c r="I268" s="132">
        <v>0</v>
      </c>
      <c r="J268" s="132">
        <v>0</v>
      </c>
      <c r="K268" s="132">
        <v>0</v>
      </c>
      <c r="L268" s="132">
        <f t="shared" si="45"/>
        <v>0</v>
      </c>
      <c r="M268" s="132">
        <v>0</v>
      </c>
      <c r="N268" s="132">
        <v>0</v>
      </c>
      <c r="O268" s="132">
        <v>0</v>
      </c>
      <c r="P268" s="132">
        <f t="shared" si="46"/>
        <v>0</v>
      </c>
      <c r="Q268" s="171">
        <v>0</v>
      </c>
      <c r="R268" s="171">
        <v>0</v>
      </c>
      <c r="S268" s="171">
        <v>0</v>
      </c>
      <c r="T268" s="171">
        <v>0</v>
      </c>
      <c r="U268" s="171">
        <f t="shared" si="47"/>
        <v>0</v>
      </c>
      <c r="V268" s="171">
        <f t="shared" si="48"/>
        <v>2497.2999999999997</v>
      </c>
      <c r="W268" s="132">
        <v>0</v>
      </c>
      <c r="X268" s="132">
        <f t="shared" si="49"/>
        <v>2497.2999999999997</v>
      </c>
      <c r="Y268" s="171">
        <v>0</v>
      </c>
      <c r="Z268" s="132">
        <f t="shared" si="50"/>
        <v>2497.2999999999997</v>
      </c>
    </row>
    <row r="269" spans="1:26" ht="12.75" hidden="1" outlineLevel="1">
      <c r="A269" s="132" t="s">
        <v>2440</v>
      </c>
      <c r="C269" s="171" t="s">
        <v>2441</v>
      </c>
      <c r="D269" s="171" t="s">
        <v>2442</v>
      </c>
      <c r="E269" s="132">
        <v>0</v>
      </c>
      <c r="F269" s="132">
        <v>54277.7</v>
      </c>
      <c r="G269" s="171">
        <f t="shared" si="44"/>
        <v>54277.7</v>
      </c>
      <c r="H269" s="132">
        <v>0</v>
      </c>
      <c r="I269" s="132">
        <v>0</v>
      </c>
      <c r="J269" s="132">
        <v>0</v>
      </c>
      <c r="K269" s="132">
        <v>0</v>
      </c>
      <c r="L269" s="132">
        <f t="shared" si="45"/>
        <v>0</v>
      </c>
      <c r="M269" s="132">
        <v>0</v>
      </c>
      <c r="N269" s="132">
        <v>0</v>
      </c>
      <c r="O269" s="132">
        <v>0</v>
      </c>
      <c r="P269" s="132">
        <f t="shared" si="46"/>
        <v>0</v>
      </c>
      <c r="Q269" s="171">
        <v>0</v>
      </c>
      <c r="R269" s="171">
        <v>0</v>
      </c>
      <c r="S269" s="171">
        <v>0</v>
      </c>
      <c r="T269" s="171">
        <v>0</v>
      </c>
      <c r="U269" s="171">
        <f t="shared" si="47"/>
        <v>0</v>
      </c>
      <c r="V269" s="171">
        <f t="shared" si="48"/>
        <v>54277.7</v>
      </c>
      <c r="W269" s="132">
        <v>0</v>
      </c>
      <c r="X269" s="132">
        <f t="shared" si="49"/>
        <v>54277.7</v>
      </c>
      <c r="Y269" s="171">
        <v>0</v>
      </c>
      <c r="Z269" s="132">
        <f t="shared" si="50"/>
        <v>54277.7</v>
      </c>
    </row>
    <row r="270" spans="1:26" ht="12.75" hidden="1" outlineLevel="1">
      <c r="A270" s="132" t="s">
        <v>2443</v>
      </c>
      <c r="C270" s="171" t="s">
        <v>2444</v>
      </c>
      <c r="D270" s="171" t="s">
        <v>2445</v>
      </c>
      <c r="E270" s="132">
        <v>0</v>
      </c>
      <c r="F270" s="132">
        <v>1791768.88</v>
      </c>
      <c r="G270" s="171">
        <f t="shared" si="44"/>
        <v>1791768.88</v>
      </c>
      <c r="H270" s="132">
        <v>610815.9</v>
      </c>
      <c r="I270" s="132">
        <v>0</v>
      </c>
      <c r="J270" s="132">
        <v>0</v>
      </c>
      <c r="K270" s="132">
        <v>0</v>
      </c>
      <c r="L270" s="132">
        <f t="shared" si="45"/>
        <v>0</v>
      </c>
      <c r="M270" s="132">
        <v>0</v>
      </c>
      <c r="N270" s="132">
        <v>0</v>
      </c>
      <c r="O270" s="132">
        <v>0</v>
      </c>
      <c r="P270" s="132">
        <f t="shared" si="46"/>
        <v>0</v>
      </c>
      <c r="Q270" s="171">
        <v>25211.15</v>
      </c>
      <c r="R270" s="171">
        <v>0</v>
      </c>
      <c r="S270" s="171">
        <v>0</v>
      </c>
      <c r="T270" s="171">
        <v>0</v>
      </c>
      <c r="U270" s="171">
        <f t="shared" si="47"/>
        <v>25211.15</v>
      </c>
      <c r="V270" s="171">
        <f t="shared" si="48"/>
        <v>2427795.9299999997</v>
      </c>
      <c r="W270" s="132">
        <v>0</v>
      </c>
      <c r="X270" s="132">
        <f t="shared" si="49"/>
        <v>2427795.9299999997</v>
      </c>
      <c r="Y270" s="171">
        <v>36213.5</v>
      </c>
      <c r="Z270" s="132">
        <f t="shared" si="50"/>
        <v>2464009.4299999997</v>
      </c>
    </row>
    <row r="271" spans="1:26" ht="12.75" hidden="1" outlineLevel="1">
      <c r="A271" s="132" t="s">
        <v>2446</v>
      </c>
      <c r="C271" s="171" t="s">
        <v>2447</v>
      </c>
      <c r="D271" s="171" t="s">
        <v>2448</v>
      </c>
      <c r="E271" s="132">
        <v>0</v>
      </c>
      <c r="F271" s="132">
        <v>1093381.23</v>
      </c>
      <c r="G271" s="171">
        <f t="shared" si="44"/>
        <v>1093381.23</v>
      </c>
      <c r="H271" s="132">
        <v>845319.05</v>
      </c>
      <c r="I271" s="132">
        <v>0</v>
      </c>
      <c r="J271" s="132">
        <v>0</v>
      </c>
      <c r="K271" s="132">
        <v>0</v>
      </c>
      <c r="L271" s="132">
        <f t="shared" si="45"/>
        <v>0</v>
      </c>
      <c r="M271" s="132">
        <v>0</v>
      </c>
      <c r="N271" s="132">
        <v>62.5</v>
      </c>
      <c r="O271" s="132">
        <v>0</v>
      </c>
      <c r="P271" s="132">
        <f t="shared" si="46"/>
        <v>62.5</v>
      </c>
      <c r="Q271" s="171">
        <v>731007.96</v>
      </c>
      <c r="R271" s="171">
        <v>-94.73</v>
      </c>
      <c r="S271" s="171">
        <v>0</v>
      </c>
      <c r="T271" s="171">
        <v>0</v>
      </c>
      <c r="U271" s="171">
        <f t="shared" si="47"/>
        <v>730913.23</v>
      </c>
      <c r="V271" s="171">
        <f t="shared" si="48"/>
        <v>2669676.01</v>
      </c>
      <c r="W271" s="132">
        <v>0</v>
      </c>
      <c r="X271" s="132">
        <f t="shared" si="49"/>
        <v>2669676.01</v>
      </c>
      <c r="Y271" s="171">
        <v>0</v>
      </c>
      <c r="Z271" s="132">
        <f t="shared" si="50"/>
        <v>2669676.01</v>
      </c>
    </row>
    <row r="272" spans="1:26" ht="12.75" hidden="1" outlineLevel="1">
      <c r="A272" s="132" t="s">
        <v>2449</v>
      </c>
      <c r="C272" s="171" t="s">
        <v>2450</v>
      </c>
      <c r="D272" s="171" t="s">
        <v>2451</v>
      </c>
      <c r="E272" s="132">
        <v>0</v>
      </c>
      <c r="F272" s="132">
        <v>17090.17</v>
      </c>
      <c r="G272" s="171">
        <f t="shared" si="44"/>
        <v>17090.17</v>
      </c>
      <c r="H272" s="132">
        <v>9886.65</v>
      </c>
      <c r="I272" s="132">
        <v>0</v>
      </c>
      <c r="J272" s="132">
        <v>0</v>
      </c>
      <c r="K272" s="132">
        <v>0</v>
      </c>
      <c r="L272" s="132">
        <f t="shared" si="45"/>
        <v>0</v>
      </c>
      <c r="M272" s="132">
        <v>0</v>
      </c>
      <c r="N272" s="132">
        <v>0</v>
      </c>
      <c r="O272" s="132">
        <v>0</v>
      </c>
      <c r="P272" s="132">
        <f t="shared" si="46"/>
        <v>0</v>
      </c>
      <c r="Q272" s="171">
        <v>0</v>
      </c>
      <c r="R272" s="171">
        <v>0</v>
      </c>
      <c r="S272" s="171">
        <v>0</v>
      </c>
      <c r="T272" s="171">
        <v>0</v>
      </c>
      <c r="U272" s="171">
        <f t="shared" si="47"/>
        <v>0</v>
      </c>
      <c r="V272" s="171">
        <f t="shared" si="48"/>
        <v>26976.82</v>
      </c>
      <c r="W272" s="132">
        <v>0</v>
      </c>
      <c r="X272" s="132">
        <f t="shared" si="49"/>
        <v>26976.82</v>
      </c>
      <c r="Y272" s="171">
        <v>0</v>
      </c>
      <c r="Z272" s="132">
        <f t="shared" si="50"/>
        <v>26976.82</v>
      </c>
    </row>
    <row r="273" spans="1:26" ht="12.75" hidden="1" outlineLevel="1">
      <c r="A273" s="132" t="s">
        <v>2452</v>
      </c>
      <c r="C273" s="171" t="s">
        <v>2453</v>
      </c>
      <c r="D273" s="171" t="s">
        <v>2454</v>
      </c>
      <c r="E273" s="132">
        <v>0</v>
      </c>
      <c r="F273" s="132">
        <v>2025</v>
      </c>
      <c r="G273" s="171">
        <f t="shared" si="44"/>
        <v>2025</v>
      </c>
      <c r="H273" s="132">
        <v>20951.32</v>
      </c>
      <c r="I273" s="132">
        <v>0</v>
      </c>
      <c r="J273" s="132">
        <v>0</v>
      </c>
      <c r="K273" s="132">
        <v>0</v>
      </c>
      <c r="L273" s="132">
        <f t="shared" si="45"/>
        <v>0</v>
      </c>
      <c r="M273" s="132">
        <v>0</v>
      </c>
      <c r="N273" s="132">
        <v>0</v>
      </c>
      <c r="O273" s="132">
        <v>0</v>
      </c>
      <c r="P273" s="132">
        <f t="shared" si="46"/>
        <v>0</v>
      </c>
      <c r="Q273" s="171">
        <v>0</v>
      </c>
      <c r="R273" s="171">
        <v>0</v>
      </c>
      <c r="S273" s="171">
        <v>0</v>
      </c>
      <c r="T273" s="171">
        <v>0</v>
      </c>
      <c r="U273" s="171">
        <f t="shared" si="47"/>
        <v>0</v>
      </c>
      <c r="V273" s="171">
        <f t="shared" si="48"/>
        <v>22976.32</v>
      </c>
      <c r="W273" s="132">
        <v>0</v>
      </c>
      <c r="X273" s="132">
        <f t="shared" si="49"/>
        <v>22976.32</v>
      </c>
      <c r="Y273" s="171">
        <v>0</v>
      </c>
      <c r="Z273" s="132">
        <f t="shared" si="50"/>
        <v>22976.32</v>
      </c>
    </row>
    <row r="274" spans="1:26" ht="12.75" hidden="1" outlineLevel="1">
      <c r="A274" s="132" t="s">
        <v>2455</v>
      </c>
      <c r="C274" s="171" t="s">
        <v>2456</v>
      </c>
      <c r="D274" s="171" t="s">
        <v>2457</v>
      </c>
      <c r="E274" s="132">
        <v>0</v>
      </c>
      <c r="F274" s="132">
        <v>11964.81</v>
      </c>
      <c r="G274" s="171">
        <f t="shared" si="44"/>
        <v>11964.81</v>
      </c>
      <c r="H274" s="132">
        <v>35164.5</v>
      </c>
      <c r="I274" s="132">
        <v>0</v>
      </c>
      <c r="J274" s="132">
        <v>0</v>
      </c>
      <c r="K274" s="132">
        <v>0</v>
      </c>
      <c r="L274" s="132">
        <f t="shared" si="45"/>
        <v>0</v>
      </c>
      <c r="M274" s="132">
        <v>0</v>
      </c>
      <c r="N274" s="132">
        <v>0</v>
      </c>
      <c r="O274" s="132">
        <v>0</v>
      </c>
      <c r="P274" s="132">
        <f t="shared" si="46"/>
        <v>0</v>
      </c>
      <c r="Q274" s="171">
        <v>0</v>
      </c>
      <c r="R274" s="171">
        <v>0</v>
      </c>
      <c r="S274" s="171">
        <v>0</v>
      </c>
      <c r="T274" s="171">
        <v>0</v>
      </c>
      <c r="U274" s="171">
        <f t="shared" si="47"/>
        <v>0</v>
      </c>
      <c r="V274" s="171">
        <f t="shared" si="48"/>
        <v>47129.31</v>
      </c>
      <c r="W274" s="132">
        <v>0</v>
      </c>
      <c r="X274" s="132">
        <f t="shared" si="49"/>
        <v>47129.31</v>
      </c>
      <c r="Y274" s="171">
        <v>0</v>
      </c>
      <c r="Z274" s="132">
        <f t="shared" si="50"/>
        <v>47129.31</v>
      </c>
    </row>
    <row r="275" spans="1:26" ht="12.75" hidden="1" outlineLevel="1">
      <c r="A275" s="132" t="s">
        <v>2458</v>
      </c>
      <c r="C275" s="171" t="s">
        <v>2459</v>
      </c>
      <c r="D275" s="171" t="s">
        <v>2460</v>
      </c>
      <c r="E275" s="132">
        <v>0</v>
      </c>
      <c r="F275" s="132">
        <v>87738.54</v>
      </c>
      <c r="G275" s="171">
        <f t="shared" si="44"/>
        <v>87738.54</v>
      </c>
      <c r="H275" s="132">
        <v>26108.14</v>
      </c>
      <c r="I275" s="132">
        <v>0</v>
      </c>
      <c r="J275" s="132">
        <v>0</v>
      </c>
      <c r="K275" s="132">
        <v>0</v>
      </c>
      <c r="L275" s="132">
        <f t="shared" si="45"/>
        <v>0</v>
      </c>
      <c r="M275" s="132">
        <v>0</v>
      </c>
      <c r="N275" s="132">
        <v>0</v>
      </c>
      <c r="O275" s="132">
        <v>0</v>
      </c>
      <c r="P275" s="132">
        <f t="shared" si="46"/>
        <v>0</v>
      </c>
      <c r="Q275" s="171">
        <v>0</v>
      </c>
      <c r="R275" s="171">
        <v>0</v>
      </c>
      <c r="S275" s="171">
        <v>0</v>
      </c>
      <c r="T275" s="171">
        <v>0</v>
      </c>
      <c r="U275" s="171">
        <f t="shared" si="47"/>
        <v>0</v>
      </c>
      <c r="V275" s="171">
        <f t="shared" si="48"/>
        <v>113846.68</v>
      </c>
      <c r="W275" s="132">
        <v>0</v>
      </c>
      <c r="X275" s="132">
        <f t="shared" si="49"/>
        <v>113846.68</v>
      </c>
      <c r="Y275" s="171">
        <v>47.85</v>
      </c>
      <c r="Z275" s="132">
        <f t="shared" si="50"/>
        <v>113894.53</v>
      </c>
    </row>
    <row r="276" spans="1:26" ht="12.75" hidden="1" outlineLevel="1">
      <c r="A276" s="132" t="s">
        <v>2461</v>
      </c>
      <c r="C276" s="171" t="s">
        <v>2462</v>
      </c>
      <c r="D276" s="171" t="s">
        <v>2463</v>
      </c>
      <c r="E276" s="132">
        <v>0</v>
      </c>
      <c r="F276" s="132">
        <v>429.77</v>
      </c>
      <c r="G276" s="171">
        <f t="shared" si="44"/>
        <v>429.77</v>
      </c>
      <c r="H276" s="132">
        <v>0</v>
      </c>
      <c r="I276" s="132">
        <v>0</v>
      </c>
      <c r="J276" s="132">
        <v>0</v>
      </c>
      <c r="K276" s="132">
        <v>0</v>
      </c>
      <c r="L276" s="132">
        <f t="shared" si="45"/>
        <v>0</v>
      </c>
      <c r="M276" s="132">
        <v>0</v>
      </c>
      <c r="N276" s="132">
        <v>0</v>
      </c>
      <c r="O276" s="132">
        <v>0</v>
      </c>
      <c r="P276" s="132">
        <f t="shared" si="46"/>
        <v>0</v>
      </c>
      <c r="Q276" s="171">
        <v>0</v>
      </c>
      <c r="R276" s="171">
        <v>0</v>
      </c>
      <c r="S276" s="171">
        <v>0</v>
      </c>
      <c r="T276" s="171">
        <v>0</v>
      </c>
      <c r="U276" s="171">
        <f t="shared" si="47"/>
        <v>0</v>
      </c>
      <c r="V276" s="171">
        <f t="shared" si="48"/>
        <v>429.77</v>
      </c>
      <c r="W276" s="132">
        <v>0</v>
      </c>
      <c r="X276" s="132">
        <f t="shared" si="49"/>
        <v>429.77</v>
      </c>
      <c r="Y276" s="171">
        <v>101.15</v>
      </c>
      <c r="Z276" s="132">
        <f t="shared" si="50"/>
        <v>530.92</v>
      </c>
    </row>
    <row r="277" spans="1:26" ht="12.75" hidden="1" outlineLevel="1">
      <c r="A277" s="132" t="s">
        <v>2464</v>
      </c>
      <c r="C277" s="171" t="s">
        <v>2465</v>
      </c>
      <c r="D277" s="171" t="s">
        <v>2466</v>
      </c>
      <c r="E277" s="132">
        <v>0</v>
      </c>
      <c r="F277" s="132">
        <v>6040.84</v>
      </c>
      <c r="G277" s="171">
        <f t="shared" si="44"/>
        <v>6040.84</v>
      </c>
      <c r="H277" s="132">
        <v>7.75</v>
      </c>
      <c r="I277" s="132">
        <v>0</v>
      </c>
      <c r="J277" s="132">
        <v>0</v>
      </c>
      <c r="K277" s="132">
        <v>0</v>
      </c>
      <c r="L277" s="132">
        <f t="shared" si="45"/>
        <v>0</v>
      </c>
      <c r="M277" s="132">
        <v>0</v>
      </c>
      <c r="N277" s="132">
        <v>0</v>
      </c>
      <c r="O277" s="132">
        <v>0</v>
      </c>
      <c r="P277" s="132">
        <f t="shared" si="46"/>
        <v>0</v>
      </c>
      <c r="Q277" s="171">
        <v>0</v>
      </c>
      <c r="R277" s="171">
        <v>0</v>
      </c>
      <c r="S277" s="171">
        <v>0</v>
      </c>
      <c r="T277" s="171">
        <v>0</v>
      </c>
      <c r="U277" s="171">
        <f t="shared" si="47"/>
        <v>0</v>
      </c>
      <c r="V277" s="171">
        <f t="shared" si="48"/>
        <v>6048.59</v>
      </c>
      <c r="W277" s="132">
        <v>0</v>
      </c>
      <c r="X277" s="132">
        <f t="shared" si="49"/>
        <v>6048.59</v>
      </c>
      <c r="Y277" s="171">
        <v>0</v>
      </c>
      <c r="Z277" s="132">
        <f t="shared" si="50"/>
        <v>6048.59</v>
      </c>
    </row>
    <row r="278" spans="1:26" ht="12.75" hidden="1" outlineLevel="1">
      <c r="A278" s="132" t="s">
        <v>2467</v>
      </c>
      <c r="C278" s="171" t="s">
        <v>2468</v>
      </c>
      <c r="D278" s="171" t="s">
        <v>2469</v>
      </c>
      <c r="E278" s="132">
        <v>0</v>
      </c>
      <c r="F278" s="132">
        <v>17213.87</v>
      </c>
      <c r="G278" s="171">
        <f t="shared" si="44"/>
        <v>17213.87</v>
      </c>
      <c r="H278" s="132">
        <v>0</v>
      </c>
      <c r="I278" s="132">
        <v>0</v>
      </c>
      <c r="J278" s="132">
        <v>0</v>
      </c>
      <c r="K278" s="132">
        <v>0</v>
      </c>
      <c r="L278" s="132">
        <f t="shared" si="45"/>
        <v>0</v>
      </c>
      <c r="M278" s="132">
        <v>0</v>
      </c>
      <c r="N278" s="132">
        <v>0</v>
      </c>
      <c r="O278" s="132">
        <v>0</v>
      </c>
      <c r="P278" s="132">
        <f t="shared" si="46"/>
        <v>0</v>
      </c>
      <c r="Q278" s="171">
        <v>0</v>
      </c>
      <c r="R278" s="171">
        <v>0</v>
      </c>
      <c r="S278" s="171">
        <v>0</v>
      </c>
      <c r="T278" s="171">
        <v>0</v>
      </c>
      <c r="U278" s="171">
        <f t="shared" si="47"/>
        <v>0</v>
      </c>
      <c r="V278" s="171">
        <f t="shared" si="48"/>
        <v>17213.87</v>
      </c>
      <c r="W278" s="132">
        <v>0</v>
      </c>
      <c r="X278" s="132">
        <f t="shared" si="49"/>
        <v>17213.87</v>
      </c>
      <c r="Y278" s="171">
        <v>0</v>
      </c>
      <c r="Z278" s="132">
        <f t="shared" si="50"/>
        <v>17213.87</v>
      </c>
    </row>
    <row r="279" spans="1:26" ht="12.75" hidden="1" outlineLevel="1">
      <c r="A279" s="132" t="s">
        <v>277</v>
      </c>
      <c r="C279" s="171" t="s">
        <v>278</v>
      </c>
      <c r="D279" s="171" t="s">
        <v>279</v>
      </c>
      <c r="E279" s="132">
        <v>0</v>
      </c>
      <c r="F279" s="132">
        <v>24418</v>
      </c>
      <c r="G279" s="171">
        <f t="shared" si="44"/>
        <v>24418</v>
      </c>
      <c r="H279" s="132">
        <v>0</v>
      </c>
      <c r="I279" s="132">
        <v>0</v>
      </c>
      <c r="J279" s="132">
        <v>0</v>
      </c>
      <c r="K279" s="132">
        <v>0</v>
      </c>
      <c r="L279" s="132">
        <f t="shared" si="45"/>
        <v>0</v>
      </c>
      <c r="M279" s="132">
        <v>0</v>
      </c>
      <c r="N279" s="132">
        <v>0</v>
      </c>
      <c r="O279" s="132">
        <v>0</v>
      </c>
      <c r="P279" s="132">
        <f t="shared" si="46"/>
        <v>0</v>
      </c>
      <c r="Q279" s="171">
        <v>0</v>
      </c>
      <c r="R279" s="171">
        <v>0</v>
      </c>
      <c r="S279" s="171">
        <v>0</v>
      </c>
      <c r="T279" s="171">
        <v>0</v>
      </c>
      <c r="U279" s="171">
        <f t="shared" si="47"/>
        <v>0</v>
      </c>
      <c r="V279" s="171">
        <f t="shared" si="48"/>
        <v>24418</v>
      </c>
      <c r="W279" s="132">
        <v>0</v>
      </c>
      <c r="X279" s="132">
        <f t="shared" si="49"/>
        <v>24418</v>
      </c>
      <c r="Y279" s="171">
        <v>31349.5</v>
      </c>
      <c r="Z279" s="132">
        <f t="shared" si="50"/>
        <v>55767.5</v>
      </c>
    </row>
    <row r="280" spans="1:26" ht="12.75" hidden="1" outlineLevel="1">
      <c r="A280" s="132" t="s">
        <v>2470</v>
      </c>
      <c r="C280" s="171" t="s">
        <v>2471</v>
      </c>
      <c r="D280" s="171" t="s">
        <v>2472</v>
      </c>
      <c r="E280" s="132">
        <v>0</v>
      </c>
      <c r="F280" s="132">
        <v>245655.31</v>
      </c>
      <c r="G280" s="171">
        <f t="shared" si="44"/>
        <v>245655.31</v>
      </c>
      <c r="H280" s="132">
        <v>1127.6</v>
      </c>
      <c r="I280" s="132">
        <v>0</v>
      </c>
      <c r="J280" s="132">
        <v>0</v>
      </c>
      <c r="K280" s="132">
        <v>0</v>
      </c>
      <c r="L280" s="132">
        <f t="shared" si="45"/>
        <v>0</v>
      </c>
      <c r="M280" s="132">
        <v>0</v>
      </c>
      <c r="N280" s="132">
        <v>0</v>
      </c>
      <c r="O280" s="132">
        <v>0</v>
      </c>
      <c r="P280" s="132">
        <f t="shared" si="46"/>
        <v>0</v>
      </c>
      <c r="Q280" s="171">
        <v>0</v>
      </c>
      <c r="R280" s="171">
        <v>0</v>
      </c>
      <c r="S280" s="171">
        <v>0</v>
      </c>
      <c r="T280" s="171">
        <v>0</v>
      </c>
      <c r="U280" s="171">
        <f t="shared" si="47"/>
        <v>0</v>
      </c>
      <c r="V280" s="171">
        <f t="shared" si="48"/>
        <v>246782.91</v>
      </c>
      <c r="W280" s="132">
        <v>0</v>
      </c>
      <c r="X280" s="132">
        <f t="shared" si="49"/>
        <v>246782.91</v>
      </c>
      <c r="Y280" s="171">
        <v>8275</v>
      </c>
      <c r="Z280" s="132">
        <f t="shared" si="50"/>
        <v>255057.91</v>
      </c>
    </row>
    <row r="281" spans="1:26" ht="12.75" hidden="1" outlineLevel="1">
      <c r="A281" s="132" t="s">
        <v>2473</v>
      </c>
      <c r="C281" s="171" t="s">
        <v>2474</v>
      </c>
      <c r="D281" s="171" t="s">
        <v>2475</v>
      </c>
      <c r="E281" s="132">
        <v>0</v>
      </c>
      <c r="F281" s="132">
        <v>257127.74</v>
      </c>
      <c r="G281" s="171">
        <f t="shared" si="44"/>
        <v>257127.74</v>
      </c>
      <c r="H281" s="132">
        <v>83175.75</v>
      </c>
      <c r="I281" s="132">
        <v>0</v>
      </c>
      <c r="J281" s="132">
        <v>0</v>
      </c>
      <c r="K281" s="132">
        <v>0</v>
      </c>
      <c r="L281" s="132">
        <f t="shared" si="45"/>
        <v>0</v>
      </c>
      <c r="M281" s="132">
        <v>0</v>
      </c>
      <c r="N281" s="132">
        <v>0</v>
      </c>
      <c r="O281" s="132">
        <v>0</v>
      </c>
      <c r="P281" s="132">
        <f t="shared" si="46"/>
        <v>0</v>
      </c>
      <c r="Q281" s="171">
        <v>0</v>
      </c>
      <c r="R281" s="171">
        <v>0</v>
      </c>
      <c r="S281" s="171">
        <v>0</v>
      </c>
      <c r="T281" s="171">
        <v>0</v>
      </c>
      <c r="U281" s="171">
        <f t="shared" si="47"/>
        <v>0</v>
      </c>
      <c r="V281" s="171">
        <f t="shared" si="48"/>
        <v>340303.49</v>
      </c>
      <c r="W281" s="132">
        <v>0</v>
      </c>
      <c r="X281" s="132">
        <f t="shared" si="49"/>
        <v>340303.49</v>
      </c>
      <c r="Y281" s="171">
        <v>0</v>
      </c>
      <c r="Z281" s="132">
        <f t="shared" si="50"/>
        <v>340303.49</v>
      </c>
    </row>
    <row r="282" spans="1:26" ht="12.75" hidden="1" outlineLevel="1">
      <c r="A282" s="132" t="s">
        <v>2476</v>
      </c>
      <c r="C282" s="171" t="s">
        <v>2477</v>
      </c>
      <c r="D282" s="171" t="s">
        <v>2478</v>
      </c>
      <c r="E282" s="132">
        <v>0</v>
      </c>
      <c r="F282" s="132">
        <v>296119.59</v>
      </c>
      <c r="G282" s="171">
        <f t="shared" si="44"/>
        <v>296119.59</v>
      </c>
      <c r="H282" s="132">
        <v>12410.6</v>
      </c>
      <c r="I282" s="132">
        <v>0</v>
      </c>
      <c r="J282" s="132">
        <v>0</v>
      </c>
      <c r="K282" s="132">
        <v>0</v>
      </c>
      <c r="L282" s="132">
        <f t="shared" si="45"/>
        <v>0</v>
      </c>
      <c r="M282" s="132">
        <v>0</v>
      </c>
      <c r="N282" s="132">
        <v>0</v>
      </c>
      <c r="O282" s="132">
        <v>0</v>
      </c>
      <c r="P282" s="132">
        <f t="shared" si="46"/>
        <v>0</v>
      </c>
      <c r="Q282" s="171">
        <v>0</v>
      </c>
      <c r="R282" s="171">
        <v>0</v>
      </c>
      <c r="S282" s="171">
        <v>0</v>
      </c>
      <c r="T282" s="171">
        <v>0</v>
      </c>
      <c r="U282" s="171">
        <f t="shared" si="47"/>
        <v>0</v>
      </c>
      <c r="V282" s="171">
        <f t="shared" si="48"/>
        <v>308530.19</v>
      </c>
      <c r="W282" s="132">
        <v>0</v>
      </c>
      <c r="X282" s="132">
        <f t="shared" si="49"/>
        <v>308530.19</v>
      </c>
      <c r="Y282" s="171">
        <v>0</v>
      </c>
      <c r="Z282" s="132">
        <f t="shared" si="50"/>
        <v>308530.19</v>
      </c>
    </row>
    <row r="283" spans="1:26" ht="12.75" hidden="1" outlineLevel="1">
      <c r="A283" s="132" t="s">
        <v>2479</v>
      </c>
      <c r="C283" s="171" t="s">
        <v>2480</v>
      </c>
      <c r="D283" s="171" t="s">
        <v>2481</v>
      </c>
      <c r="E283" s="132">
        <v>0</v>
      </c>
      <c r="F283" s="132">
        <v>14408.3</v>
      </c>
      <c r="G283" s="171">
        <f t="shared" si="44"/>
        <v>14408.3</v>
      </c>
      <c r="H283" s="132">
        <v>1039.73</v>
      </c>
      <c r="I283" s="132">
        <v>0</v>
      </c>
      <c r="J283" s="132">
        <v>0</v>
      </c>
      <c r="K283" s="132">
        <v>0</v>
      </c>
      <c r="L283" s="132">
        <f t="shared" si="45"/>
        <v>0</v>
      </c>
      <c r="M283" s="132">
        <v>0</v>
      </c>
      <c r="N283" s="132">
        <v>0</v>
      </c>
      <c r="O283" s="132">
        <v>0</v>
      </c>
      <c r="P283" s="132">
        <f t="shared" si="46"/>
        <v>0</v>
      </c>
      <c r="Q283" s="171">
        <v>5317.08</v>
      </c>
      <c r="R283" s="171">
        <v>0</v>
      </c>
      <c r="S283" s="171">
        <v>0</v>
      </c>
      <c r="T283" s="171">
        <v>0</v>
      </c>
      <c r="U283" s="171">
        <f t="shared" si="47"/>
        <v>5317.08</v>
      </c>
      <c r="V283" s="171">
        <f t="shared" si="48"/>
        <v>20765.11</v>
      </c>
      <c r="W283" s="132">
        <v>0</v>
      </c>
      <c r="X283" s="132">
        <f t="shared" si="49"/>
        <v>20765.11</v>
      </c>
      <c r="Y283" s="171">
        <v>20</v>
      </c>
      <c r="Z283" s="132">
        <f t="shared" si="50"/>
        <v>20785.11</v>
      </c>
    </row>
    <row r="284" spans="1:26" ht="12.75" hidden="1" outlineLevel="1">
      <c r="A284" s="132" t="s">
        <v>2482</v>
      </c>
      <c r="C284" s="171" t="s">
        <v>2483</v>
      </c>
      <c r="D284" s="171" t="s">
        <v>2484</v>
      </c>
      <c r="E284" s="132">
        <v>0</v>
      </c>
      <c r="F284" s="132">
        <v>1025.6</v>
      </c>
      <c r="G284" s="171">
        <f t="shared" si="44"/>
        <v>1025.6</v>
      </c>
      <c r="H284" s="132">
        <v>0</v>
      </c>
      <c r="I284" s="132">
        <v>0</v>
      </c>
      <c r="J284" s="132">
        <v>0</v>
      </c>
      <c r="K284" s="132">
        <v>0</v>
      </c>
      <c r="L284" s="132">
        <f t="shared" si="45"/>
        <v>0</v>
      </c>
      <c r="M284" s="132">
        <v>0</v>
      </c>
      <c r="N284" s="132">
        <v>0</v>
      </c>
      <c r="O284" s="132">
        <v>0</v>
      </c>
      <c r="P284" s="132">
        <f t="shared" si="46"/>
        <v>0</v>
      </c>
      <c r="Q284" s="171">
        <v>0</v>
      </c>
      <c r="R284" s="171">
        <v>0</v>
      </c>
      <c r="S284" s="171">
        <v>0</v>
      </c>
      <c r="T284" s="171">
        <v>0</v>
      </c>
      <c r="U284" s="171">
        <f t="shared" si="47"/>
        <v>0</v>
      </c>
      <c r="V284" s="171">
        <f t="shared" si="48"/>
        <v>1025.6</v>
      </c>
      <c r="W284" s="132">
        <v>0</v>
      </c>
      <c r="X284" s="132">
        <f t="shared" si="49"/>
        <v>1025.6</v>
      </c>
      <c r="Y284" s="171">
        <v>0</v>
      </c>
      <c r="Z284" s="132">
        <f t="shared" si="50"/>
        <v>1025.6</v>
      </c>
    </row>
    <row r="285" spans="1:26" ht="12.75" hidden="1" outlineLevel="1">
      <c r="A285" s="132" t="s">
        <v>2485</v>
      </c>
      <c r="C285" s="171" t="s">
        <v>2486</v>
      </c>
      <c r="D285" s="171" t="s">
        <v>2487</v>
      </c>
      <c r="E285" s="132">
        <v>0</v>
      </c>
      <c r="F285" s="132">
        <v>224615.31</v>
      </c>
      <c r="G285" s="171">
        <f t="shared" si="44"/>
        <v>224615.31</v>
      </c>
      <c r="H285" s="132">
        <v>183691.34</v>
      </c>
      <c r="I285" s="132">
        <v>0</v>
      </c>
      <c r="J285" s="132">
        <v>0</v>
      </c>
      <c r="K285" s="132">
        <v>0</v>
      </c>
      <c r="L285" s="132">
        <f t="shared" si="45"/>
        <v>0</v>
      </c>
      <c r="M285" s="132">
        <v>0</v>
      </c>
      <c r="N285" s="132">
        <v>0</v>
      </c>
      <c r="O285" s="132">
        <v>0</v>
      </c>
      <c r="P285" s="132">
        <f t="shared" si="46"/>
        <v>0</v>
      </c>
      <c r="Q285" s="171">
        <v>0</v>
      </c>
      <c r="R285" s="171">
        <v>0</v>
      </c>
      <c r="S285" s="171">
        <v>0</v>
      </c>
      <c r="T285" s="171">
        <v>0</v>
      </c>
      <c r="U285" s="171">
        <f t="shared" si="47"/>
        <v>0</v>
      </c>
      <c r="V285" s="171">
        <f t="shared" si="48"/>
        <v>408306.65</v>
      </c>
      <c r="W285" s="132">
        <v>0</v>
      </c>
      <c r="X285" s="132">
        <f t="shared" si="49"/>
        <v>408306.65</v>
      </c>
      <c r="Y285" s="171">
        <v>0</v>
      </c>
      <c r="Z285" s="132">
        <f t="shared" si="50"/>
        <v>408306.65</v>
      </c>
    </row>
    <row r="286" spans="1:26" ht="12.75" hidden="1" outlineLevel="1">
      <c r="A286" s="132" t="s">
        <v>2488</v>
      </c>
      <c r="C286" s="171" t="s">
        <v>2489</v>
      </c>
      <c r="D286" s="171" t="s">
        <v>2490</v>
      </c>
      <c r="E286" s="132">
        <v>0</v>
      </c>
      <c r="F286" s="132">
        <v>4750</v>
      </c>
      <c r="G286" s="171">
        <f t="shared" si="44"/>
        <v>4750</v>
      </c>
      <c r="H286" s="132">
        <v>0</v>
      </c>
      <c r="I286" s="132">
        <v>0</v>
      </c>
      <c r="J286" s="132">
        <v>0</v>
      </c>
      <c r="K286" s="132">
        <v>0</v>
      </c>
      <c r="L286" s="132">
        <f t="shared" si="45"/>
        <v>0</v>
      </c>
      <c r="M286" s="132">
        <v>0</v>
      </c>
      <c r="N286" s="132">
        <v>0</v>
      </c>
      <c r="O286" s="132">
        <v>0</v>
      </c>
      <c r="P286" s="132">
        <f t="shared" si="46"/>
        <v>0</v>
      </c>
      <c r="Q286" s="171">
        <v>0</v>
      </c>
      <c r="R286" s="171">
        <v>0</v>
      </c>
      <c r="S286" s="171">
        <v>0</v>
      </c>
      <c r="T286" s="171">
        <v>0</v>
      </c>
      <c r="U286" s="171">
        <f t="shared" si="47"/>
        <v>0</v>
      </c>
      <c r="V286" s="171">
        <f t="shared" si="48"/>
        <v>4750</v>
      </c>
      <c r="W286" s="132">
        <v>0</v>
      </c>
      <c r="X286" s="132">
        <f t="shared" si="49"/>
        <v>4750</v>
      </c>
      <c r="Y286" s="171">
        <v>0</v>
      </c>
      <c r="Z286" s="132">
        <f t="shared" si="50"/>
        <v>4750</v>
      </c>
    </row>
    <row r="287" spans="1:26" ht="12.75" hidden="1" outlineLevel="1">
      <c r="A287" s="132" t="s">
        <v>280</v>
      </c>
      <c r="C287" s="171" t="s">
        <v>281</v>
      </c>
      <c r="D287" s="171" t="s">
        <v>282</v>
      </c>
      <c r="E287" s="132">
        <v>0</v>
      </c>
      <c r="F287" s="132">
        <v>1636.72</v>
      </c>
      <c r="G287" s="171">
        <f t="shared" si="44"/>
        <v>1636.72</v>
      </c>
      <c r="H287" s="132">
        <v>630.73</v>
      </c>
      <c r="I287" s="132">
        <v>0</v>
      </c>
      <c r="J287" s="132">
        <v>0</v>
      </c>
      <c r="K287" s="132">
        <v>0</v>
      </c>
      <c r="L287" s="132">
        <f t="shared" si="45"/>
        <v>0</v>
      </c>
      <c r="M287" s="132">
        <v>0</v>
      </c>
      <c r="N287" s="132">
        <v>0</v>
      </c>
      <c r="O287" s="132">
        <v>0</v>
      </c>
      <c r="P287" s="132">
        <f t="shared" si="46"/>
        <v>0</v>
      </c>
      <c r="Q287" s="171">
        <v>0</v>
      </c>
      <c r="R287" s="171">
        <v>0</v>
      </c>
      <c r="S287" s="171">
        <v>0</v>
      </c>
      <c r="T287" s="171">
        <v>0</v>
      </c>
      <c r="U287" s="171">
        <f t="shared" si="47"/>
        <v>0</v>
      </c>
      <c r="V287" s="171">
        <f t="shared" si="48"/>
        <v>2267.45</v>
      </c>
      <c r="W287" s="132">
        <v>0</v>
      </c>
      <c r="X287" s="132">
        <f t="shared" si="49"/>
        <v>2267.45</v>
      </c>
      <c r="Y287" s="171">
        <v>0</v>
      </c>
      <c r="Z287" s="132">
        <f t="shared" si="50"/>
        <v>2267.45</v>
      </c>
    </row>
    <row r="288" spans="1:26" ht="12.75" hidden="1" outlineLevel="1">
      <c r="A288" s="132" t="s">
        <v>283</v>
      </c>
      <c r="C288" s="171" t="s">
        <v>284</v>
      </c>
      <c r="D288" s="171" t="s">
        <v>285</v>
      </c>
      <c r="E288" s="132">
        <v>0</v>
      </c>
      <c r="F288" s="132">
        <v>0</v>
      </c>
      <c r="G288" s="171">
        <f t="shared" si="44"/>
        <v>0</v>
      </c>
      <c r="H288" s="132">
        <v>3714</v>
      </c>
      <c r="I288" s="132">
        <v>0</v>
      </c>
      <c r="J288" s="132">
        <v>0</v>
      </c>
      <c r="K288" s="132">
        <v>0</v>
      </c>
      <c r="L288" s="132">
        <f t="shared" si="45"/>
        <v>0</v>
      </c>
      <c r="M288" s="132">
        <v>0</v>
      </c>
      <c r="N288" s="132">
        <v>0</v>
      </c>
      <c r="O288" s="132">
        <v>0</v>
      </c>
      <c r="P288" s="132">
        <f t="shared" si="46"/>
        <v>0</v>
      </c>
      <c r="Q288" s="171">
        <v>0</v>
      </c>
      <c r="R288" s="171">
        <v>0</v>
      </c>
      <c r="S288" s="171">
        <v>0</v>
      </c>
      <c r="T288" s="171">
        <v>0</v>
      </c>
      <c r="U288" s="171">
        <f t="shared" si="47"/>
        <v>0</v>
      </c>
      <c r="V288" s="171">
        <f t="shared" si="48"/>
        <v>3714</v>
      </c>
      <c r="W288" s="132">
        <v>0</v>
      </c>
      <c r="X288" s="132">
        <f t="shared" si="49"/>
        <v>3714</v>
      </c>
      <c r="Y288" s="171">
        <v>0</v>
      </c>
      <c r="Z288" s="132">
        <f t="shared" si="50"/>
        <v>3714</v>
      </c>
    </row>
    <row r="289" spans="1:26" ht="12.75" hidden="1" outlineLevel="1">
      <c r="A289" s="132" t="s">
        <v>2491</v>
      </c>
      <c r="C289" s="171" t="s">
        <v>2492</v>
      </c>
      <c r="D289" s="171" t="s">
        <v>2493</v>
      </c>
      <c r="E289" s="132">
        <v>0</v>
      </c>
      <c r="F289" s="132">
        <v>77536.09</v>
      </c>
      <c r="G289" s="171">
        <f t="shared" si="44"/>
        <v>77536.09</v>
      </c>
      <c r="H289" s="132">
        <v>23259.03</v>
      </c>
      <c r="I289" s="132">
        <v>0</v>
      </c>
      <c r="J289" s="132">
        <v>0</v>
      </c>
      <c r="K289" s="132">
        <v>0</v>
      </c>
      <c r="L289" s="132">
        <f t="shared" si="45"/>
        <v>0</v>
      </c>
      <c r="M289" s="132">
        <v>0</v>
      </c>
      <c r="N289" s="132">
        <v>0</v>
      </c>
      <c r="O289" s="132">
        <v>0</v>
      </c>
      <c r="P289" s="132">
        <f t="shared" si="46"/>
        <v>0</v>
      </c>
      <c r="Q289" s="171">
        <v>0</v>
      </c>
      <c r="R289" s="171">
        <v>0</v>
      </c>
      <c r="S289" s="171">
        <v>0</v>
      </c>
      <c r="T289" s="171">
        <v>0</v>
      </c>
      <c r="U289" s="171">
        <f t="shared" si="47"/>
        <v>0</v>
      </c>
      <c r="V289" s="171">
        <f t="shared" si="48"/>
        <v>100795.12</v>
      </c>
      <c r="W289" s="132">
        <v>0</v>
      </c>
      <c r="X289" s="132">
        <f t="shared" si="49"/>
        <v>100795.12</v>
      </c>
      <c r="Y289" s="171">
        <v>1907860.17</v>
      </c>
      <c r="Z289" s="132">
        <f t="shared" si="50"/>
        <v>2008655.29</v>
      </c>
    </row>
    <row r="290" spans="1:26" ht="12.75" hidden="1" outlineLevel="1">
      <c r="A290" s="132" t="s">
        <v>286</v>
      </c>
      <c r="C290" s="171" t="s">
        <v>287</v>
      </c>
      <c r="D290" s="171" t="s">
        <v>288</v>
      </c>
      <c r="E290" s="132">
        <v>0</v>
      </c>
      <c r="F290" s="132">
        <v>0</v>
      </c>
      <c r="G290" s="171">
        <f t="shared" si="44"/>
        <v>0</v>
      </c>
      <c r="H290" s="132">
        <v>1418011.62</v>
      </c>
      <c r="I290" s="132">
        <v>0</v>
      </c>
      <c r="J290" s="132">
        <v>0</v>
      </c>
      <c r="K290" s="132">
        <v>0</v>
      </c>
      <c r="L290" s="132">
        <f t="shared" si="45"/>
        <v>0</v>
      </c>
      <c r="M290" s="132">
        <v>0</v>
      </c>
      <c r="N290" s="132">
        <v>0</v>
      </c>
      <c r="O290" s="132">
        <v>0</v>
      </c>
      <c r="P290" s="132">
        <f t="shared" si="46"/>
        <v>0</v>
      </c>
      <c r="Q290" s="171">
        <v>0</v>
      </c>
      <c r="R290" s="171">
        <v>0</v>
      </c>
      <c r="S290" s="171">
        <v>0</v>
      </c>
      <c r="T290" s="171">
        <v>0</v>
      </c>
      <c r="U290" s="171">
        <f t="shared" si="47"/>
        <v>0</v>
      </c>
      <c r="V290" s="171">
        <f t="shared" si="48"/>
        <v>1418011.62</v>
      </c>
      <c r="W290" s="132">
        <v>0</v>
      </c>
      <c r="X290" s="132">
        <f t="shared" si="49"/>
        <v>1418011.62</v>
      </c>
      <c r="Y290" s="171">
        <v>0</v>
      </c>
      <c r="Z290" s="132">
        <f t="shared" si="50"/>
        <v>1418011.62</v>
      </c>
    </row>
    <row r="291" spans="1:26" ht="12.75" hidden="1" outlineLevel="1">
      <c r="A291" s="132" t="s">
        <v>289</v>
      </c>
      <c r="C291" s="171" t="s">
        <v>290</v>
      </c>
      <c r="D291" s="171" t="s">
        <v>291</v>
      </c>
      <c r="E291" s="132">
        <v>0</v>
      </c>
      <c r="F291" s="132">
        <v>0</v>
      </c>
      <c r="G291" s="171">
        <f t="shared" si="44"/>
        <v>0</v>
      </c>
      <c r="H291" s="132">
        <v>2352602.4</v>
      </c>
      <c r="I291" s="132">
        <v>0</v>
      </c>
      <c r="J291" s="132">
        <v>0</v>
      </c>
      <c r="K291" s="132">
        <v>0</v>
      </c>
      <c r="L291" s="132">
        <f t="shared" si="45"/>
        <v>0</v>
      </c>
      <c r="M291" s="132">
        <v>0</v>
      </c>
      <c r="N291" s="132">
        <v>0</v>
      </c>
      <c r="O291" s="132">
        <v>0</v>
      </c>
      <c r="P291" s="132">
        <f t="shared" si="46"/>
        <v>0</v>
      </c>
      <c r="Q291" s="171">
        <v>0</v>
      </c>
      <c r="R291" s="171">
        <v>0</v>
      </c>
      <c r="S291" s="171">
        <v>0</v>
      </c>
      <c r="T291" s="171">
        <v>0</v>
      </c>
      <c r="U291" s="171">
        <f t="shared" si="47"/>
        <v>0</v>
      </c>
      <c r="V291" s="171">
        <f t="shared" si="48"/>
        <v>2352602.4</v>
      </c>
      <c r="W291" s="132">
        <v>0</v>
      </c>
      <c r="X291" s="132">
        <f t="shared" si="49"/>
        <v>2352602.4</v>
      </c>
      <c r="Y291" s="171">
        <v>0</v>
      </c>
      <c r="Z291" s="132">
        <f t="shared" si="50"/>
        <v>2352602.4</v>
      </c>
    </row>
    <row r="292" spans="1:26" ht="12.75" hidden="1" outlineLevel="1">
      <c r="A292" s="132" t="s">
        <v>2494</v>
      </c>
      <c r="C292" s="171" t="s">
        <v>2495</v>
      </c>
      <c r="D292" s="171" t="s">
        <v>2496</v>
      </c>
      <c r="E292" s="132">
        <v>0</v>
      </c>
      <c r="F292" s="132">
        <v>542.51</v>
      </c>
      <c r="G292" s="171">
        <f t="shared" si="44"/>
        <v>542.51</v>
      </c>
      <c r="H292" s="132">
        <v>0</v>
      </c>
      <c r="I292" s="132">
        <v>0</v>
      </c>
      <c r="J292" s="132">
        <v>0</v>
      </c>
      <c r="K292" s="132">
        <v>0</v>
      </c>
      <c r="L292" s="132">
        <f t="shared" si="45"/>
        <v>0</v>
      </c>
      <c r="M292" s="132">
        <v>0</v>
      </c>
      <c r="N292" s="132">
        <v>0</v>
      </c>
      <c r="O292" s="132">
        <v>0</v>
      </c>
      <c r="P292" s="132">
        <f t="shared" si="46"/>
        <v>0</v>
      </c>
      <c r="Q292" s="171">
        <v>0</v>
      </c>
      <c r="R292" s="171">
        <v>0</v>
      </c>
      <c r="S292" s="171">
        <v>0</v>
      </c>
      <c r="T292" s="171">
        <v>0</v>
      </c>
      <c r="U292" s="171">
        <f t="shared" si="47"/>
        <v>0</v>
      </c>
      <c r="V292" s="171">
        <f t="shared" si="48"/>
        <v>542.51</v>
      </c>
      <c r="W292" s="132">
        <v>0</v>
      </c>
      <c r="X292" s="132">
        <f t="shared" si="49"/>
        <v>542.51</v>
      </c>
      <c r="Y292" s="171">
        <v>0</v>
      </c>
      <c r="Z292" s="132">
        <f t="shared" si="50"/>
        <v>542.51</v>
      </c>
    </row>
    <row r="293" spans="1:26" ht="12.75" hidden="1" outlineLevel="1">
      <c r="A293" s="132" t="s">
        <v>2497</v>
      </c>
      <c r="C293" s="171" t="s">
        <v>2498</v>
      </c>
      <c r="D293" s="171" t="s">
        <v>2499</v>
      </c>
      <c r="E293" s="132">
        <v>0</v>
      </c>
      <c r="F293" s="132">
        <v>777051.46</v>
      </c>
      <c r="G293" s="171">
        <f t="shared" si="44"/>
        <v>777051.46</v>
      </c>
      <c r="H293" s="132">
        <v>54439.67</v>
      </c>
      <c r="I293" s="132">
        <v>0</v>
      </c>
      <c r="J293" s="132">
        <v>0</v>
      </c>
      <c r="K293" s="132">
        <v>0</v>
      </c>
      <c r="L293" s="132">
        <f t="shared" si="45"/>
        <v>0</v>
      </c>
      <c r="M293" s="132">
        <v>0</v>
      </c>
      <c r="N293" s="132">
        <v>0</v>
      </c>
      <c r="O293" s="132">
        <v>0</v>
      </c>
      <c r="P293" s="132">
        <f t="shared" si="46"/>
        <v>0</v>
      </c>
      <c r="Q293" s="171">
        <v>0</v>
      </c>
      <c r="R293" s="171">
        <v>0</v>
      </c>
      <c r="S293" s="171">
        <v>0</v>
      </c>
      <c r="T293" s="171">
        <v>0</v>
      </c>
      <c r="U293" s="171">
        <f t="shared" si="47"/>
        <v>0</v>
      </c>
      <c r="V293" s="171">
        <f t="shared" si="48"/>
        <v>831491.13</v>
      </c>
      <c r="W293" s="132">
        <v>0</v>
      </c>
      <c r="X293" s="132">
        <f t="shared" si="49"/>
        <v>831491.13</v>
      </c>
      <c r="Y293" s="171">
        <v>0</v>
      </c>
      <c r="Z293" s="132">
        <f t="shared" si="50"/>
        <v>831491.13</v>
      </c>
    </row>
    <row r="294" spans="1:26" ht="12.75" hidden="1" outlineLevel="1">
      <c r="A294" s="132" t="s">
        <v>2500</v>
      </c>
      <c r="C294" s="171" t="s">
        <v>2501</v>
      </c>
      <c r="D294" s="171" t="s">
        <v>2502</v>
      </c>
      <c r="E294" s="132">
        <v>0</v>
      </c>
      <c r="F294" s="132">
        <v>717824.79</v>
      </c>
      <c r="G294" s="171">
        <f t="shared" si="44"/>
        <v>717824.79</v>
      </c>
      <c r="H294" s="132">
        <v>93176.09</v>
      </c>
      <c r="I294" s="132">
        <v>0</v>
      </c>
      <c r="J294" s="132">
        <v>0</v>
      </c>
      <c r="K294" s="132">
        <v>0</v>
      </c>
      <c r="L294" s="132">
        <f t="shared" si="45"/>
        <v>0</v>
      </c>
      <c r="M294" s="132">
        <v>0</v>
      </c>
      <c r="N294" s="132">
        <v>0</v>
      </c>
      <c r="O294" s="132">
        <v>0</v>
      </c>
      <c r="P294" s="132">
        <f t="shared" si="46"/>
        <v>0</v>
      </c>
      <c r="Q294" s="171">
        <v>16765.9</v>
      </c>
      <c r="R294" s="171">
        <v>0</v>
      </c>
      <c r="S294" s="171">
        <v>0</v>
      </c>
      <c r="T294" s="171">
        <v>0</v>
      </c>
      <c r="U294" s="171">
        <f t="shared" si="47"/>
        <v>16765.9</v>
      </c>
      <c r="V294" s="171">
        <f t="shared" si="48"/>
        <v>827766.78</v>
      </c>
      <c r="W294" s="132">
        <v>0</v>
      </c>
      <c r="X294" s="132">
        <f t="shared" si="49"/>
        <v>827766.78</v>
      </c>
      <c r="Y294" s="171">
        <v>0</v>
      </c>
      <c r="Z294" s="132">
        <f t="shared" si="50"/>
        <v>827766.78</v>
      </c>
    </row>
    <row r="295" spans="1:26" ht="12.75" hidden="1" outlineLevel="1">
      <c r="A295" s="132" t="s">
        <v>2503</v>
      </c>
      <c r="C295" s="171" t="s">
        <v>2504</v>
      </c>
      <c r="D295" s="171" t="s">
        <v>2505</v>
      </c>
      <c r="E295" s="132">
        <v>0</v>
      </c>
      <c r="F295" s="132">
        <v>150958.33</v>
      </c>
      <c r="G295" s="171">
        <f t="shared" si="44"/>
        <v>150958.33</v>
      </c>
      <c r="H295" s="132">
        <v>237.21</v>
      </c>
      <c r="I295" s="132">
        <v>0</v>
      </c>
      <c r="J295" s="132">
        <v>0</v>
      </c>
      <c r="K295" s="132">
        <v>0</v>
      </c>
      <c r="L295" s="132">
        <f t="shared" si="45"/>
        <v>0</v>
      </c>
      <c r="M295" s="132">
        <v>0</v>
      </c>
      <c r="N295" s="132">
        <v>0</v>
      </c>
      <c r="O295" s="132">
        <v>0</v>
      </c>
      <c r="P295" s="132">
        <f t="shared" si="46"/>
        <v>0</v>
      </c>
      <c r="Q295" s="171">
        <v>0</v>
      </c>
      <c r="R295" s="171">
        <v>0</v>
      </c>
      <c r="S295" s="171">
        <v>0</v>
      </c>
      <c r="T295" s="171">
        <v>0</v>
      </c>
      <c r="U295" s="171">
        <f t="shared" si="47"/>
        <v>0</v>
      </c>
      <c r="V295" s="171">
        <f t="shared" si="48"/>
        <v>151195.53999999998</v>
      </c>
      <c r="W295" s="132">
        <v>0</v>
      </c>
      <c r="X295" s="132">
        <f t="shared" si="49"/>
        <v>151195.53999999998</v>
      </c>
      <c r="Y295" s="171">
        <v>0</v>
      </c>
      <c r="Z295" s="132">
        <f t="shared" si="50"/>
        <v>151195.53999999998</v>
      </c>
    </row>
    <row r="296" spans="1:26" ht="12.75" hidden="1" outlineLevel="1">
      <c r="A296" s="132" t="s">
        <v>2506</v>
      </c>
      <c r="C296" s="171" t="s">
        <v>2507</v>
      </c>
      <c r="D296" s="171" t="s">
        <v>2508</v>
      </c>
      <c r="E296" s="132">
        <v>0</v>
      </c>
      <c r="F296" s="132">
        <v>2050.69</v>
      </c>
      <c r="G296" s="171">
        <f t="shared" si="44"/>
        <v>2050.69</v>
      </c>
      <c r="H296" s="132">
        <v>0</v>
      </c>
      <c r="I296" s="132">
        <v>0</v>
      </c>
      <c r="J296" s="132">
        <v>0</v>
      </c>
      <c r="K296" s="132">
        <v>0</v>
      </c>
      <c r="L296" s="132">
        <f t="shared" si="45"/>
        <v>0</v>
      </c>
      <c r="M296" s="132">
        <v>0</v>
      </c>
      <c r="N296" s="132">
        <v>0</v>
      </c>
      <c r="O296" s="132">
        <v>0</v>
      </c>
      <c r="P296" s="132">
        <f t="shared" si="46"/>
        <v>0</v>
      </c>
      <c r="Q296" s="171">
        <v>0</v>
      </c>
      <c r="R296" s="171">
        <v>0</v>
      </c>
      <c r="S296" s="171">
        <v>0</v>
      </c>
      <c r="T296" s="171">
        <v>0</v>
      </c>
      <c r="U296" s="171">
        <f t="shared" si="47"/>
        <v>0</v>
      </c>
      <c r="V296" s="171">
        <f t="shared" si="48"/>
        <v>2050.69</v>
      </c>
      <c r="W296" s="132">
        <v>0</v>
      </c>
      <c r="X296" s="132">
        <f t="shared" si="49"/>
        <v>2050.69</v>
      </c>
      <c r="Y296" s="171">
        <v>3725</v>
      </c>
      <c r="Z296" s="132">
        <f t="shared" si="50"/>
        <v>5775.6900000000005</v>
      </c>
    </row>
    <row r="297" spans="1:26" ht="12.75" hidden="1" outlineLevel="1">
      <c r="A297" s="132" t="s">
        <v>2509</v>
      </c>
      <c r="C297" s="171" t="s">
        <v>2510</v>
      </c>
      <c r="D297" s="171" t="s">
        <v>2511</v>
      </c>
      <c r="E297" s="132">
        <v>0</v>
      </c>
      <c r="F297" s="132">
        <v>190048.56</v>
      </c>
      <c r="G297" s="171">
        <f t="shared" si="44"/>
        <v>190048.56</v>
      </c>
      <c r="H297" s="132">
        <v>13785.67</v>
      </c>
      <c r="I297" s="132">
        <v>0</v>
      </c>
      <c r="J297" s="132">
        <v>0</v>
      </c>
      <c r="K297" s="132">
        <v>0</v>
      </c>
      <c r="L297" s="132">
        <f t="shared" si="45"/>
        <v>0</v>
      </c>
      <c r="M297" s="132">
        <v>0</v>
      </c>
      <c r="N297" s="132">
        <v>0</v>
      </c>
      <c r="O297" s="132">
        <v>0</v>
      </c>
      <c r="P297" s="132">
        <f t="shared" si="46"/>
        <v>0</v>
      </c>
      <c r="Q297" s="171">
        <v>0</v>
      </c>
      <c r="R297" s="171">
        <v>0</v>
      </c>
      <c r="S297" s="171">
        <v>0</v>
      </c>
      <c r="T297" s="171">
        <v>0</v>
      </c>
      <c r="U297" s="171">
        <f t="shared" si="47"/>
        <v>0</v>
      </c>
      <c r="V297" s="171">
        <f t="shared" si="48"/>
        <v>203834.23</v>
      </c>
      <c r="W297" s="132">
        <v>0</v>
      </c>
      <c r="X297" s="132">
        <f t="shared" si="49"/>
        <v>203834.23</v>
      </c>
      <c r="Y297" s="171">
        <v>0</v>
      </c>
      <c r="Z297" s="132">
        <f t="shared" si="50"/>
        <v>203834.23</v>
      </c>
    </row>
    <row r="298" spans="1:26" ht="12.75" hidden="1" outlineLevel="1">
      <c r="A298" s="132" t="s">
        <v>2512</v>
      </c>
      <c r="C298" s="171" t="s">
        <v>2513</v>
      </c>
      <c r="D298" s="171" t="s">
        <v>2514</v>
      </c>
      <c r="E298" s="132">
        <v>0</v>
      </c>
      <c r="F298" s="132">
        <v>24715.57</v>
      </c>
      <c r="G298" s="171">
        <f t="shared" si="44"/>
        <v>24715.57</v>
      </c>
      <c r="H298" s="132">
        <v>2500</v>
      </c>
      <c r="I298" s="132">
        <v>0</v>
      </c>
      <c r="J298" s="132">
        <v>0</v>
      </c>
      <c r="K298" s="132">
        <v>0</v>
      </c>
      <c r="L298" s="132">
        <f t="shared" si="45"/>
        <v>0</v>
      </c>
      <c r="M298" s="132">
        <v>0</v>
      </c>
      <c r="N298" s="132">
        <v>0</v>
      </c>
      <c r="O298" s="132">
        <v>0</v>
      </c>
      <c r="P298" s="132">
        <f t="shared" si="46"/>
        <v>0</v>
      </c>
      <c r="Q298" s="171">
        <v>0</v>
      </c>
      <c r="R298" s="171">
        <v>0</v>
      </c>
      <c r="S298" s="171">
        <v>0</v>
      </c>
      <c r="T298" s="171">
        <v>0</v>
      </c>
      <c r="U298" s="171">
        <f t="shared" si="47"/>
        <v>0</v>
      </c>
      <c r="V298" s="171">
        <f t="shared" si="48"/>
        <v>27215.57</v>
      </c>
      <c r="W298" s="132">
        <v>0</v>
      </c>
      <c r="X298" s="132">
        <f t="shared" si="49"/>
        <v>27215.57</v>
      </c>
      <c r="Y298" s="171">
        <v>16098.68</v>
      </c>
      <c r="Z298" s="132">
        <f t="shared" si="50"/>
        <v>43314.25</v>
      </c>
    </row>
    <row r="299" spans="1:26" ht="12.75" hidden="1" outlineLevel="1">
      <c r="A299" s="132" t="s">
        <v>2515</v>
      </c>
      <c r="C299" s="171" t="s">
        <v>2516</v>
      </c>
      <c r="D299" s="171" t="s">
        <v>2517</v>
      </c>
      <c r="E299" s="132">
        <v>0</v>
      </c>
      <c r="F299" s="132">
        <v>143620.45</v>
      </c>
      <c r="G299" s="171">
        <f t="shared" si="44"/>
        <v>143620.45</v>
      </c>
      <c r="H299" s="132">
        <v>7266</v>
      </c>
      <c r="I299" s="132">
        <v>0</v>
      </c>
      <c r="J299" s="132">
        <v>0</v>
      </c>
      <c r="K299" s="132">
        <v>0</v>
      </c>
      <c r="L299" s="132">
        <f t="shared" si="45"/>
        <v>0</v>
      </c>
      <c r="M299" s="132">
        <v>0</v>
      </c>
      <c r="N299" s="132">
        <v>0</v>
      </c>
      <c r="O299" s="132">
        <v>0</v>
      </c>
      <c r="P299" s="132">
        <f t="shared" si="46"/>
        <v>0</v>
      </c>
      <c r="Q299" s="171">
        <v>0</v>
      </c>
      <c r="R299" s="171">
        <v>0</v>
      </c>
      <c r="S299" s="171">
        <v>0</v>
      </c>
      <c r="T299" s="171">
        <v>0</v>
      </c>
      <c r="U299" s="171">
        <f t="shared" si="47"/>
        <v>0</v>
      </c>
      <c r="V299" s="171">
        <f t="shared" si="48"/>
        <v>150886.45</v>
      </c>
      <c r="W299" s="132">
        <v>0</v>
      </c>
      <c r="X299" s="132">
        <f t="shared" si="49"/>
        <v>150886.45</v>
      </c>
      <c r="Y299" s="171">
        <v>0</v>
      </c>
      <c r="Z299" s="132">
        <f t="shared" si="50"/>
        <v>150886.45</v>
      </c>
    </row>
    <row r="300" spans="1:26" ht="12.75" hidden="1" outlineLevel="1">
      <c r="A300" s="132" t="s">
        <v>2518</v>
      </c>
      <c r="C300" s="171" t="s">
        <v>2519</v>
      </c>
      <c r="D300" s="171" t="s">
        <v>2520</v>
      </c>
      <c r="E300" s="132">
        <v>0</v>
      </c>
      <c r="F300" s="132">
        <v>608326.45</v>
      </c>
      <c r="G300" s="171">
        <f t="shared" si="44"/>
        <v>608326.45</v>
      </c>
      <c r="H300" s="132">
        <v>91603.41</v>
      </c>
      <c r="I300" s="132">
        <v>0</v>
      </c>
      <c r="J300" s="132">
        <v>0</v>
      </c>
      <c r="K300" s="132">
        <v>0</v>
      </c>
      <c r="L300" s="132">
        <f t="shared" si="45"/>
        <v>0</v>
      </c>
      <c r="M300" s="132">
        <v>0</v>
      </c>
      <c r="N300" s="132">
        <v>0</v>
      </c>
      <c r="O300" s="132">
        <v>0</v>
      </c>
      <c r="P300" s="132">
        <f t="shared" si="46"/>
        <v>0</v>
      </c>
      <c r="Q300" s="171">
        <v>1836.21</v>
      </c>
      <c r="R300" s="171">
        <v>0</v>
      </c>
      <c r="S300" s="171">
        <v>0</v>
      </c>
      <c r="T300" s="171">
        <v>0</v>
      </c>
      <c r="U300" s="171">
        <f t="shared" si="47"/>
        <v>1836.21</v>
      </c>
      <c r="V300" s="171">
        <f t="shared" si="48"/>
        <v>701766.07</v>
      </c>
      <c r="W300" s="132">
        <v>0</v>
      </c>
      <c r="X300" s="132">
        <f t="shared" si="49"/>
        <v>701766.07</v>
      </c>
      <c r="Y300" s="171">
        <v>0</v>
      </c>
      <c r="Z300" s="132">
        <f t="shared" si="50"/>
        <v>701766.07</v>
      </c>
    </row>
    <row r="301" spans="1:26" ht="12.75" hidden="1" outlineLevel="1">
      <c r="A301" s="132" t="s">
        <v>2521</v>
      </c>
      <c r="C301" s="171" t="s">
        <v>2522</v>
      </c>
      <c r="D301" s="171" t="s">
        <v>2523</v>
      </c>
      <c r="E301" s="132">
        <v>0</v>
      </c>
      <c r="F301" s="132">
        <v>1053.96</v>
      </c>
      <c r="G301" s="171">
        <f t="shared" si="44"/>
        <v>1053.96</v>
      </c>
      <c r="H301" s="132">
        <v>11924.5</v>
      </c>
      <c r="I301" s="132">
        <v>0</v>
      </c>
      <c r="J301" s="132">
        <v>0</v>
      </c>
      <c r="K301" s="132">
        <v>0</v>
      </c>
      <c r="L301" s="132">
        <f t="shared" si="45"/>
        <v>0</v>
      </c>
      <c r="M301" s="132">
        <v>0</v>
      </c>
      <c r="N301" s="132">
        <v>0</v>
      </c>
      <c r="O301" s="132">
        <v>0</v>
      </c>
      <c r="P301" s="132">
        <f t="shared" si="46"/>
        <v>0</v>
      </c>
      <c r="Q301" s="171">
        <v>0</v>
      </c>
      <c r="R301" s="171">
        <v>0</v>
      </c>
      <c r="S301" s="171">
        <v>0</v>
      </c>
      <c r="T301" s="171">
        <v>0</v>
      </c>
      <c r="U301" s="171">
        <f t="shared" si="47"/>
        <v>0</v>
      </c>
      <c r="V301" s="171">
        <f t="shared" si="48"/>
        <v>12978.46</v>
      </c>
      <c r="W301" s="132">
        <v>0</v>
      </c>
      <c r="X301" s="132">
        <f t="shared" si="49"/>
        <v>12978.46</v>
      </c>
      <c r="Y301" s="171">
        <v>0</v>
      </c>
      <c r="Z301" s="132">
        <f t="shared" si="50"/>
        <v>12978.46</v>
      </c>
    </row>
    <row r="302" spans="1:26" ht="12.75" hidden="1" outlineLevel="1">
      <c r="A302" s="132" t="s">
        <v>2524</v>
      </c>
      <c r="C302" s="171" t="s">
        <v>2525</v>
      </c>
      <c r="D302" s="171" t="s">
        <v>2526</v>
      </c>
      <c r="E302" s="132">
        <v>0</v>
      </c>
      <c r="F302" s="132">
        <v>242041.85</v>
      </c>
      <c r="G302" s="171">
        <f t="shared" si="44"/>
        <v>242041.85</v>
      </c>
      <c r="H302" s="132">
        <v>3053.78</v>
      </c>
      <c r="I302" s="132">
        <v>0</v>
      </c>
      <c r="J302" s="132">
        <v>0</v>
      </c>
      <c r="K302" s="132">
        <v>0</v>
      </c>
      <c r="L302" s="132">
        <f t="shared" si="45"/>
        <v>0</v>
      </c>
      <c r="M302" s="132">
        <v>0</v>
      </c>
      <c r="N302" s="132">
        <v>0</v>
      </c>
      <c r="O302" s="132">
        <v>0</v>
      </c>
      <c r="P302" s="132">
        <f t="shared" si="46"/>
        <v>0</v>
      </c>
      <c r="Q302" s="171">
        <v>0</v>
      </c>
      <c r="R302" s="171">
        <v>0</v>
      </c>
      <c r="S302" s="171">
        <v>0</v>
      </c>
      <c r="T302" s="171">
        <v>0</v>
      </c>
      <c r="U302" s="171">
        <f t="shared" si="47"/>
        <v>0</v>
      </c>
      <c r="V302" s="171">
        <f t="shared" si="48"/>
        <v>245095.63</v>
      </c>
      <c r="W302" s="132">
        <v>0</v>
      </c>
      <c r="X302" s="132">
        <f t="shared" si="49"/>
        <v>245095.63</v>
      </c>
      <c r="Y302" s="171">
        <v>85908.9</v>
      </c>
      <c r="Z302" s="132">
        <f t="shared" si="50"/>
        <v>331004.53</v>
      </c>
    </row>
    <row r="303" spans="1:26" ht="12.75" hidden="1" outlineLevel="1">
      <c r="A303" s="132" t="s">
        <v>2527</v>
      </c>
      <c r="C303" s="171" t="s">
        <v>2528</v>
      </c>
      <c r="D303" s="171" t="s">
        <v>2529</v>
      </c>
      <c r="E303" s="132">
        <v>0</v>
      </c>
      <c r="F303" s="132">
        <v>281528.69</v>
      </c>
      <c r="G303" s="171">
        <f t="shared" si="44"/>
        <v>281528.69</v>
      </c>
      <c r="H303" s="132">
        <v>0</v>
      </c>
      <c r="I303" s="132">
        <v>0</v>
      </c>
      <c r="J303" s="132">
        <v>0</v>
      </c>
      <c r="K303" s="132">
        <v>0</v>
      </c>
      <c r="L303" s="132">
        <f t="shared" si="45"/>
        <v>0</v>
      </c>
      <c r="M303" s="132">
        <v>0</v>
      </c>
      <c r="N303" s="132">
        <v>0</v>
      </c>
      <c r="O303" s="132">
        <v>0</v>
      </c>
      <c r="P303" s="132">
        <f t="shared" si="46"/>
        <v>0</v>
      </c>
      <c r="Q303" s="171">
        <v>0</v>
      </c>
      <c r="R303" s="171">
        <v>-2501.97</v>
      </c>
      <c r="S303" s="171">
        <v>0</v>
      </c>
      <c r="T303" s="171">
        <v>0</v>
      </c>
      <c r="U303" s="171">
        <f t="shared" si="47"/>
        <v>-2501.97</v>
      </c>
      <c r="V303" s="171">
        <f t="shared" si="48"/>
        <v>279026.72000000003</v>
      </c>
      <c r="W303" s="132">
        <v>0</v>
      </c>
      <c r="X303" s="132">
        <f t="shared" si="49"/>
        <v>279026.72000000003</v>
      </c>
      <c r="Y303" s="171">
        <v>72730</v>
      </c>
      <c r="Z303" s="132">
        <f t="shared" si="50"/>
        <v>351756.72000000003</v>
      </c>
    </row>
    <row r="304" spans="1:26" ht="12.75" hidden="1" outlineLevel="1">
      <c r="A304" s="132" t="s">
        <v>2530</v>
      </c>
      <c r="C304" s="171" t="s">
        <v>2531</v>
      </c>
      <c r="D304" s="171" t="s">
        <v>2532</v>
      </c>
      <c r="E304" s="132">
        <v>0</v>
      </c>
      <c r="F304" s="132">
        <v>565282.43</v>
      </c>
      <c r="G304" s="171">
        <f t="shared" si="44"/>
        <v>565282.43</v>
      </c>
      <c r="H304" s="132">
        <v>1473.35</v>
      </c>
      <c r="I304" s="132">
        <v>0</v>
      </c>
      <c r="J304" s="132">
        <v>0</v>
      </c>
      <c r="K304" s="132">
        <v>0</v>
      </c>
      <c r="L304" s="132">
        <f t="shared" si="45"/>
        <v>0</v>
      </c>
      <c r="M304" s="132">
        <v>0</v>
      </c>
      <c r="N304" s="132">
        <v>0</v>
      </c>
      <c r="O304" s="132">
        <v>0</v>
      </c>
      <c r="P304" s="132">
        <f t="shared" si="46"/>
        <v>0</v>
      </c>
      <c r="Q304" s="171">
        <v>36301.47</v>
      </c>
      <c r="R304" s="171">
        <v>0</v>
      </c>
      <c r="S304" s="171">
        <v>0</v>
      </c>
      <c r="T304" s="171">
        <v>0</v>
      </c>
      <c r="U304" s="171">
        <f t="shared" si="47"/>
        <v>36301.47</v>
      </c>
      <c r="V304" s="171">
        <f t="shared" si="48"/>
        <v>603057.25</v>
      </c>
      <c r="W304" s="132">
        <v>0</v>
      </c>
      <c r="X304" s="132">
        <f t="shared" si="49"/>
        <v>603057.25</v>
      </c>
      <c r="Y304" s="171">
        <v>97458.44</v>
      </c>
      <c r="Z304" s="132">
        <f t="shared" si="50"/>
        <v>700515.69</v>
      </c>
    </row>
    <row r="305" spans="1:26" ht="12.75" hidden="1" outlineLevel="1">
      <c r="A305" s="132" t="s">
        <v>2533</v>
      </c>
      <c r="C305" s="171" t="s">
        <v>2534</v>
      </c>
      <c r="D305" s="171" t="s">
        <v>2535</v>
      </c>
      <c r="E305" s="132">
        <v>0</v>
      </c>
      <c r="F305" s="132">
        <v>2681458.18</v>
      </c>
      <c r="G305" s="171">
        <f t="shared" si="44"/>
        <v>2681458.18</v>
      </c>
      <c r="H305" s="132">
        <v>21656.3</v>
      </c>
      <c r="I305" s="132">
        <v>0</v>
      </c>
      <c r="J305" s="132">
        <v>0</v>
      </c>
      <c r="K305" s="132">
        <v>0</v>
      </c>
      <c r="L305" s="132">
        <f t="shared" si="45"/>
        <v>0</v>
      </c>
      <c r="M305" s="132">
        <v>0</v>
      </c>
      <c r="N305" s="132">
        <v>0</v>
      </c>
      <c r="O305" s="132">
        <v>0</v>
      </c>
      <c r="P305" s="132">
        <f t="shared" si="46"/>
        <v>0</v>
      </c>
      <c r="Q305" s="171">
        <v>38582.54</v>
      </c>
      <c r="R305" s="171">
        <v>0</v>
      </c>
      <c r="S305" s="171">
        <v>0</v>
      </c>
      <c r="T305" s="171">
        <v>0</v>
      </c>
      <c r="U305" s="171">
        <f t="shared" si="47"/>
        <v>38582.54</v>
      </c>
      <c r="V305" s="171">
        <f t="shared" si="48"/>
        <v>2741697.02</v>
      </c>
      <c r="W305" s="132">
        <v>0</v>
      </c>
      <c r="X305" s="132">
        <f t="shared" si="49"/>
        <v>2741697.02</v>
      </c>
      <c r="Y305" s="171">
        <v>89999.13</v>
      </c>
      <c r="Z305" s="132">
        <f t="shared" si="50"/>
        <v>2831696.15</v>
      </c>
    </row>
    <row r="306" spans="1:26" ht="12.75" hidden="1" outlineLevel="1">
      <c r="A306" s="132" t="s">
        <v>2536</v>
      </c>
      <c r="C306" s="171" t="s">
        <v>2537</v>
      </c>
      <c r="D306" s="171" t="s">
        <v>2538</v>
      </c>
      <c r="E306" s="132">
        <v>0</v>
      </c>
      <c r="F306" s="132">
        <v>350694.39</v>
      </c>
      <c r="G306" s="171">
        <f t="shared" si="44"/>
        <v>350694.39</v>
      </c>
      <c r="H306" s="132">
        <v>48506.94</v>
      </c>
      <c r="I306" s="132">
        <v>0</v>
      </c>
      <c r="J306" s="132">
        <v>0</v>
      </c>
      <c r="K306" s="132">
        <v>0</v>
      </c>
      <c r="L306" s="132">
        <f t="shared" si="45"/>
        <v>0</v>
      </c>
      <c r="M306" s="132">
        <v>0</v>
      </c>
      <c r="N306" s="132">
        <v>0</v>
      </c>
      <c r="O306" s="132">
        <v>0</v>
      </c>
      <c r="P306" s="132">
        <f t="shared" si="46"/>
        <v>0</v>
      </c>
      <c r="Q306" s="171">
        <v>55740.56</v>
      </c>
      <c r="R306" s="171">
        <v>-5677.53</v>
      </c>
      <c r="S306" s="171">
        <v>0</v>
      </c>
      <c r="T306" s="171">
        <v>0</v>
      </c>
      <c r="U306" s="171">
        <f t="shared" si="47"/>
        <v>50063.03</v>
      </c>
      <c r="V306" s="171">
        <f t="shared" si="48"/>
        <v>449264.36</v>
      </c>
      <c r="W306" s="132">
        <v>0</v>
      </c>
      <c r="X306" s="132">
        <f t="shared" si="49"/>
        <v>449264.36</v>
      </c>
      <c r="Y306" s="171">
        <v>23115.01</v>
      </c>
      <c r="Z306" s="132">
        <f t="shared" si="50"/>
        <v>472379.37</v>
      </c>
    </row>
    <row r="307" spans="1:26" ht="12.75" hidden="1" outlineLevel="1">
      <c r="A307" s="132" t="s">
        <v>292</v>
      </c>
      <c r="C307" s="171" t="s">
        <v>293</v>
      </c>
      <c r="D307" s="171" t="s">
        <v>294</v>
      </c>
      <c r="E307" s="132">
        <v>0</v>
      </c>
      <c r="F307" s="132">
        <v>11076.8</v>
      </c>
      <c r="G307" s="171">
        <f t="shared" si="44"/>
        <v>11076.8</v>
      </c>
      <c r="H307" s="132">
        <v>0</v>
      </c>
      <c r="I307" s="132">
        <v>0</v>
      </c>
      <c r="J307" s="132">
        <v>0</v>
      </c>
      <c r="K307" s="132">
        <v>0</v>
      </c>
      <c r="L307" s="132">
        <f t="shared" si="45"/>
        <v>0</v>
      </c>
      <c r="M307" s="132">
        <v>0</v>
      </c>
      <c r="N307" s="132">
        <v>0</v>
      </c>
      <c r="O307" s="132">
        <v>0</v>
      </c>
      <c r="P307" s="132">
        <f t="shared" si="46"/>
        <v>0</v>
      </c>
      <c r="Q307" s="171">
        <v>0</v>
      </c>
      <c r="R307" s="171">
        <v>0</v>
      </c>
      <c r="S307" s="171">
        <v>0</v>
      </c>
      <c r="T307" s="171">
        <v>0</v>
      </c>
      <c r="U307" s="171">
        <f t="shared" si="47"/>
        <v>0</v>
      </c>
      <c r="V307" s="171">
        <f t="shared" si="48"/>
        <v>11076.8</v>
      </c>
      <c r="W307" s="132">
        <v>0</v>
      </c>
      <c r="X307" s="132">
        <f t="shared" si="49"/>
        <v>11076.8</v>
      </c>
      <c r="Y307" s="171">
        <v>0</v>
      </c>
      <c r="Z307" s="132">
        <f t="shared" si="50"/>
        <v>11076.8</v>
      </c>
    </row>
    <row r="308" spans="1:26" ht="12.75" hidden="1" outlineLevel="1">
      <c r="A308" s="132" t="s">
        <v>295</v>
      </c>
      <c r="C308" s="171" t="s">
        <v>296</v>
      </c>
      <c r="D308" s="171" t="s">
        <v>297</v>
      </c>
      <c r="E308" s="132">
        <v>0</v>
      </c>
      <c r="F308" s="132">
        <v>107357.49</v>
      </c>
      <c r="G308" s="171">
        <f t="shared" si="44"/>
        <v>107357.49</v>
      </c>
      <c r="H308" s="132">
        <v>0</v>
      </c>
      <c r="I308" s="132">
        <v>0</v>
      </c>
      <c r="J308" s="132">
        <v>0</v>
      </c>
      <c r="K308" s="132">
        <v>0</v>
      </c>
      <c r="L308" s="132">
        <f t="shared" si="45"/>
        <v>0</v>
      </c>
      <c r="M308" s="132">
        <v>0</v>
      </c>
      <c r="N308" s="132">
        <v>0</v>
      </c>
      <c r="O308" s="132">
        <v>0</v>
      </c>
      <c r="P308" s="132">
        <f t="shared" si="46"/>
        <v>0</v>
      </c>
      <c r="Q308" s="171">
        <v>0</v>
      </c>
      <c r="R308" s="171">
        <v>0</v>
      </c>
      <c r="S308" s="171">
        <v>0</v>
      </c>
      <c r="T308" s="171">
        <v>0</v>
      </c>
      <c r="U308" s="171">
        <f t="shared" si="47"/>
        <v>0</v>
      </c>
      <c r="V308" s="171">
        <f t="shared" si="48"/>
        <v>107357.49</v>
      </c>
      <c r="W308" s="132">
        <v>0</v>
      </c>
      <c r="X308" s="132">
        <f t="shared" si="49"/>
        <v>107357.49</v>
      </c>
      <c r="Y308" s="171">
        <v>0</v>
      </c>
      <c r="Z308" s="132">
        <f t="shared" si="50"/>
        <v>107357.49</v>
      </c>
    </row>
    <row r="309" spans="1:26" ht="12.75" hidden="1" outlineLevel="1">
      <c r="A309" s="132" t="s">
        <v>298</v>
      </c>
      <c r="C309" s="171" t="s">
        <v>299</v>
      </c>
      <c r="D309" s="171" t="s">
        <v>300</v>
      </c>
      <c r="E309" s="132">
        <v>0</v>
      </c>
      <c r="F309" s="132">
        <v>82755.18</v>
      </c>
      <c r="G309" s="171">
        <f t="shared" si="44"/>
        <v>82755.18</v>
      </c>
      <c r="H309" s="132">
        <v>0</v>
      </c>
      <c r="I309" s="132">
        <v>0</v>
      </c>
      <c r="J309" s="132">
        <v>0</v>
      </c>
      <c r="K309" s="132">
        <v>0</v>
      </c>
      <c r="L309" s="132">
        <f t="shared" si="45"/>
        <v>0</v>
      </c>
      <c r="M309" s="132">
        <v>0</v>
      </c>
      <c r="N309" s="132">
        <v>0</v>
      </c>
      <c r="O309" s="132">
        <v>0</v>
      </c>
      <c r="P309" s="132">
        <f t="shared" si="46"/>
        <v>0</v>
      </c>
      <c r="Q309" s="171">
        <v>0</v>
      </c>
      <c r="R309" s="171">
        <v>0</v>
      </c>
      <c r="S309" s="171">
        <v>0</v>
      </c>
      <c r="T309" s="171">
        <v>0</v>
      </c>
      <c r="U309" s="171">
        <f t="shared" si="47"/>
        <v>0</v>
      </c>
      <c r="V309" s="171">
        <f t="shared" si="48"/>
        <v>82755.18</v>
      </c>
      <c r="W309" s="132">
        <v>0</v>
      </c>
      <c r="X309" s="132">
        <f t="shared" si="49"/>
        <v>82755.18</v>
      </c>
      <c r="Y309" s="171">
        <v>0</v>
      </c>
      <c r="Z309" s="132">
        <f t="shared" si="50"/>
        <v>82755.18</v>
      </c>
    </row>
    <row r="310" spans="1:26" ht="12.75" hidden="1" outlineLevel="1">
      <c r="A310" s="132" t="s">
        <v>301</v>
      </c>
      <c r="C310" s="171" t="s">
        <v>302</v>
      </c>
      <c r="D310" s="171" t="s">
        <v>303</v>
      </c>
      <c r="E310" s="132">
        <v>0</v>
      </c>
      <c r="F310" s="132">
        <v>206.57</v>
      </c>
      <c r="G310" s="171">
        <f t="shared" si="44"/>
        <v>206.57</v>
      </c>
      <c r="H310" s="132">
        <v>0</v>
      </c>
      <c r="I310" s="132">
        <v>0</v>
      </c>
      <c r="J310" s="132">
        <v>0</v>
      </c>
      <c r="K310" s="132">
        <v>0</v>
      </c>
      <c r="L310" s="132">
        <f t="shared" si="45"/>
        <v>0</v>
      </c>
      <c r="M310" s="132">
        <v>0</v>
      </c>
      <c r="N310" s="132">
        <v>0</v>
      </c>
      <c r="O310" s="132">
        <v>0</v>
      </c>
      <c r="P310" s="132">
        <f t="shared" si="46"/>
        <v>0</v>
      </c>
      <c r="Q310" s="171">
        <v>0</v>
      </c>
      <c r="R310" s="171">
        <v>0</v>
      </c>
      <c r="S310" s="171">
        <v>0</v>
      </c>
      <c r="T310" s="171">
        <v>0</v>
      </c>
      <c r="U310" s="171">
        <f t="shared" si="47"/>
        <v>0</v>
      </c>
      <c r="V310" s="171">
        <f t="shared" si="48"/>
        <v>206.57</v>
      </c>
      <c r="W310" s="132">
        <v>0</v>
      </c>
      <c r="X310" s="132">
        <f t="shared" si="49"/>
        <v>206.57</v>
      </c>
      <c r="Y310" s="171">
        <v>0</v>
      </c>
      <c r="Z310" s="132">
        <f t="shared" si="50"/>
        <v>206.57</v>
      </c>
    </row>
    <row r="311" spans="1:26" ht="12.75" hidden="1" outlineLevel="1">
      <c r="A311" s="132" t="s">
        <v>2539</v>
      </c>
      <c r="C311" s="171" t="s">
        <v>2540</v>
      </c>
      <c r="D311" s="171" t="s">
        <v>2541</v>
      </c>
      <c r="E311" s="132">
        <v>0</v>
      </c>
      <c r="F311" s="132">
        <v>3440754.65</v>
      </c>
      <c r="G311" s="171">
        <f t="shared" si="44"/>
        <v>3440754.65</v>
      </c>
      <c r="H311" s="132">
        <v>1653.98</v>
      </c>
      <c r="I311" s="132">
        <v>0</v>
      </c>
      <c r="J311" s="132">
        <v>0</v>
      </c>
      <c r="K311" s="132">
        <v>0</v>
      </c>
      <c r="L311" s="132">
        <f t="shared" si="45"/>
        <v>0</v>
      </c>
      <c r="M311" s="132">
        <v>0</v>
      </c>
      <c r="N311" s="132">
        <v>0</v>
      </c>
      <c r="O311" s="132">
        <v>0</v>
      </c>
      <c r="P311" s="132">
        <f t="shared" si="46"/>
        <v>0</v>
      </c>
      <c r="Q311" s="171">
        <v>0</v>
      </c>
      <c r="R311" s="171">
        <v>0</v>
      </c>
      <c r="S311" s="171">
        <v>0</v>
      </c>
      <c r="T311" s="171">
        <v>0</v>
      </c>
      <c r="U311" s="171">
        <f t="shared" si="47"/>
        <v>0</v>
      </c>
      <c r="V311" s="171">
        <f t="shared" si="48"/>
        <v>3442408.63</v>
      </c>
      <c r="W311" s="132">
        <v>0</v>
      </c>
      <c r="X311" s="132">
        <f t="shared" si="49"/>
        <v>3442408.63</v>
      </c>
      <c r="Y311" s="171">
        <v>9706.45</v>
      </c>
      <c r="Z311" s="132">
        <f t="shared" si="50"/>
        <v>3452115.08</v>
      </c>
    </row>
    <row r="312" spans="1:26" ht="12.75" hidden="1" outlineLevel="1">
      <c r="A312" s="132" t="s">
        <v>2542</v>
      </c>
      <c r="C312" s="171" t="s">
        <v>2543</v>
      </c>
      <c r="D312" s="171" t="s">
        <v>2544</v>
      </c>
      <c r="E312" s="132">
        <v>0</v>
      </c>
      <c r="F312" s="132">
        <v>479888.12</v>
      </c>
      <c r="G312" s="171">
        <f t="shared" si="44"/>
        <v>479888.12</v>
      </c>
      <c r="H312" s="132">
        <v>0</v>
      </c>
      <c r="I312" s="132">
        <v>0</v>
      </c>
      <c r="J312" s="132">
        <v>0</v>
      </c>
      <c r="K312" s="132">
        <v>0</v>
      </c>
      <c r="L312" s="132">
        <f t="shared" si="45"/>
        <v>0</v>
      </c>
      <c r="M312" s="132">
        <v>0</v>
      </c>
      <c r="N312" s="132">
        <v>0</v>
      </c>
      <c r="O312" s="132">
        <v>0</v>
      </c>
      <c r="P312" s="132">
        <f t="shared" si="46"/>
        <v>0</v>
      </c>
      <c r="Q312" s="171">
        <v>0</v>
      </c>
      <c r="R312" s="171">
        <v>0</v>
      </c>
      <c r="S312" s="171">
        <v>0</v>
      </c>
      <c r="T312" s="171">
        <v>0</v>
      </c>
      <c r="U312" s="171">
        <f t="shared" si="47"/>
        <v>0</v>
      </c>
      <c r="V312" s="171">
        <f t="shared" si="48"/>
        <v>479888.12</v>
      </c>
      <c r="W312" s="132">
        <v>0</v>
      </c>
      <c r="X312" s="132">
        <f t="shared" si="49"/>
        <v>479888.12</v>
      </c>
      <c r="Y312" s="171">
        <v>15411.46</v>
      </c>
      <c r="Z312" s="132">
        <f t="shared" si="50"/>
        <v>495299.58</v>
      </c>
    </row>
    <row r="313" spans="1:26" ht="12.75" hidden="1" outlineLevel="1">
      <c r="A313" s="132" t="s">
        <v>2545</v>
      </c>
      <c r="C313" s="171" t="s">
        <v>2546</v>
      </c>
      <c r="D313" s="171" t="s">
        <v>2547</v>
      </c>
      <c r="E313" s="132">
        <v>0</v>
      </c>
      <c r="F313" s="132">
        <v>2498153.44</v>
      </c>
      <c r="G313" s="171">
        <f t="shared" si="44"/>
        <v>2498153.44</v>
      </c>
      <c r="H313" s="132">
        <v>0</v>
      </c>
      <c r="I313" s="132">
        <v>0</v>
      </c>
      <c r="J313" s="132">
        <v>0</v>
      </c>
      <c r="K313" s="132">
        <v>0</v>
      </c>
      <c r="L313" s="132">
        <f t="shared" si="45"/>
        <v>0</v>
      </c>
      <c r="M313" s="132">
        <v>0</v>
      </c>
      <c r="N313" s="132">
        <v>0</v>
      </c>
      <c r="O313" s="132">
        <v>0</v>
      </c>
      <c r="P313" s="132">
        <f t="shared" si="46"/>
        <v>0</v>
      </c>
      <c r="Q313" s="171">
        <v>0</v>
      </c>
      <c r="R313" s="171">
        <v>0</v>
      </c>
      <c r="S313" s="171">
        <v>0</v>
      </c>
      <c r="T313" s="171">
        <v>0</v>
      </c>
      <c r="U313" s="171">
        <f t="shared" si="47"/>
        <v>0</v>
      </c>
      <c r="V313" s="171">
        <f t="shared" si="48"/>
        <v>2498153.44</v>
      </c>
      <c r="W313" s="132">
        <v>0</v>
      </c>
      <c r="X313" s="132">
        <f t="shared" si="49"/>
        <v>2498153.44</v>
      </c>
      <c r="Y313" s="171">
        <v>29603.54</v>
      </c>
      <c r="Z313" s="132">
        <f t="shared" si="50"/>
        <v>2527756.98</v>
      </c>
    </row>
    <row r="314" spans="1:26" ht="12.75" hidden="1" outlineLevel="1">
      <c r="A314" s="132" t="s">
        <v>2548</v>
      </c>
      <c r="C314" s="171" t="s">
        <v>2549</v>
      </c>
      <c r="D314" s="171" t="s">
        <v>2550</v>
      </c>
      <c r="E314" s="132">
        <v>0</v>
      </c>
      <c r="F314" s="132">
        <v>30889.76</v>
      </c>
      <c r="G314" s="171">
        <f t="shared" si="44"/>
        <v>30889.76</v>
      </c>
      <c r="H314" s="132">
        <v>0</v>
      </c>
      <c r="I314" s="132">
        <v>0</v>
      </c>
      <c r="J314" s="132">
        <v>0</v>
      </c>
      <c r="K314" s="132">
        <v>0</v>
      </c>
      <c r="L314" s="132">
        <f t="shared" si="45"/>
        <v>0</v>
      </c>
      <c r="M314" s="132">
        <v>0</v>
      </c>
      <c r="N314" s="132">
        <v>0</v>
      </c>
      <c r="O314" s="132">
        <v>0</v>
      </c>
      <c r="P314" s="132">
        <f t="shared" si="46"/>
        <v>0</v>
      </c>
      <c r="Q314" s="171">
        <v>0</v>
      </c>
      <c r="R314" s="171">
        <v>0</v>
      </c>
      <c r="S314" s="171">
        <v>0</v>
      </c>
      <c r="T314" s="171">
        <v>0</v>
      </c>
      <c r="U314" s="171">
        <f t="shared" si="47"/>
        <v>0</v>
      </c>
      <c r="V314" s="171">
        <f t="shared" si="48"/>
        <v>30889.76</v>
      </c>
      <c r="W314" s="132">
        <v>0</v>
      </c>
      <c r="X314" s="132">
        <f t="shared" si="49"/>
        <v>30889.76</v>
      </c>
      <c r="Y314" s="171">
        <v>0</v>
      </c>
      <c r="Z314" s="132">
        <f t="shared" si="50"/>
        <v>30889.76</v>
      </c>
    </row>
    <row r="315" spans="1:26" ht="12.75" hidden="1" outlineLevel="1">
      <c r="A315" s="132" t="s">
        <v>304</v>
      </c>
      <c r="C315" s="171" t="s">
        <v>305</v>
      </c>
      <c r="D315" s="171" t="s">
        <v>306</v>
      </c>
      <c r="E315" s="132">
        <v>0</v>
      </c>
      <c r="F315" s="132">
        <v>94545.92</v>
      </c>
      <c r="G315" s="171">
        <f t="shared" si="44"/>
        <v>94545.92</v>
      </c>
      <c r="H315" s="132">
        <v>0</v>
      </c>
      <c r="I315" s="132">
        <v>0</v>
      </c>
      <c r="J315" s="132">
        <v>0</v>
      </c>
      <c r="K315" s="132">
        <v>0</v>
      </c>
      <c r="L315" s="132">
        <f t="shared" si="45"/>
        <v>0</v>
      </c>
      <c r="M315" s="132">
        <v>0</v>
      </c>
      <c r="N315" s="132">
        <v>0</v>
      </c>
      <c r="O315" s="132">
        <v>0</v>
      </c>
      <c r="P315" s="132">
        <f t="shared" si="46"/>
        <v>0</v>
      </c>
      <c r="Q315" s="171">
        <v>0</v>
      </c>
      <c r="R315" s="171">
        <v>0</v>
      </c>
      <c r="S315" s="171">
        <v>0</v>
      </c>
      <c r="T315" s="171">
        <v>0</v>
      </c>
      <c r="U315" s="171">
        <f t="shared" si="47"/>
        <v>0</v>
      </c>
      <c r="V315" s="171">
        <f t="shared" si="48"/>
        <v>94545.92</v>
      </c>
      <c r="W315" s="132">
        <v>0</v>
      </c>
      <c r="X315" s="132">
        <f t="shared" si="49"/>
        <v>94545.92</v>
      </c>
      <c r="Y315" s="171">
        <v>0</v>
      </c>
      <c r="Z315" s="132">
        <f t="shared" si="50"/>
        <v>94545.92</v>
      </c>
    </row>
    <row r="316" spans="1:26" ht="12.75" hidden="1" outlineLevel="1">
      <c r="A316" s="132" t="s">
        <v>307</v>
      </c>
      <c r="C316" s="171" t="s">
        <v>308</v>
      </c>
      <c r="D316" s="171" t="s">
        <v>309</v>
      </c>
      <c r="E316" s="132">
        <v>0</v>
      </c>
      <c r="F316" s="132">
        <v>0</v>
      </c>
      <c r="G316" s="171">
        <f t="shared" si="44"/>
        <v>0</v>
      </c>
      <c r="H316" s="132">
        <v>0</v>
      </c>
      <c r="I316" s="132">
        <v>0</v>
      </c>
      <c r="J316" s="132">
        <v>0</v>
      </c>
      <c r="K316" s="132">
        <v>0</v>
      </c>
      <c r="L316" s="132">
        <f t="shared" si="45"/>
        <v>0</v>
      </c>
      <c r="M316" s="132">
        <v>0</v>
      </c>
      <c r="N316" s="132">
        <v>0</v>
      </c>
      <c r="O316" s="132">
        <v>0</v>
      </c>
      <c r="P316" s="132">
        <f t="shared" si="46"/>
        <v>0</v>
      </c>
      <c r="Q316" s="171">
        <v>0</v>
      </c>
      <c r="R316" s="171">
        <v>0</v>
      </c>
      <c r="S316" s="171">
        <v>0</v>
      </c>
      <c r="T316" s="171">
        <v>218520.39</v>
      </c>
      <c r="U316" s="171">
        <f t="shared" si="47"/>
        <v>218520.39</v>
      </c>
      <c r="V316" s="171">
        <f t="shared" si="48"/>
        <v>218520.39</v>
      </c>
      <c r="W316" s="132">
        <v>0</v>
      </c>
      <c r="X316" s="132">
        <f t="shared" si="49"/>
        <v>218520.39</v>
      </c>
      <c r="Y316" s="171">
        <v>0</v>
      </c>
      <c r="Z316" s="132">
        <f t="shared" si="50"/>
        <v>218520.39</v>
      </c>
    </row>
    <row r="317" spans="1:26" ht="12.75" hidden="1" outlineLevel="1">
      <c r="A317" s="132" t="s">
        <v>310</v>
      </c>
      <c r="C317" s="171" t="s">
        <v>311</v>
      </c>
      <c r="D317" s="171" t="s">
        <v>312</v>
      </c>
      <c r="E317" s="132">
        <v>0</v>
      </c>
      <c r="F317" s="132">
        <v>24000</v>
      </c>
      <c r="G317" s="171">
        <f t="shared" si="44"/>
        <v>24000</v>
      </c>
      <c r="H317" s="132">
        <v>0</v>
      </c>
      <c r="I317" s="132">
        <v>0</v>
      </c>
      <c r="J317" s="132">
        <v>0</v>
      </c>
      <c r="K317" s="132">
        <v>0</v>
      </c>
      <c r="L317" s="132">
        <f t="shared" si="45"/>
        <v>0</v>
      </c>
      <c r="M317" s="132">
        <v>0</v>
      </c>
      <c r="N317" s="132">
        <v>0</v>
      </c>
      <c r="O317" s="132">
        <v>0</v>
      </c>
      <c r="P317" s="132">
        <f t="shared" si="46"/>
        <v>0</v>
      </c>
      <c r="Q317" s="171">
        <v>0</v>
      </c>
      <c r="R317" s="171">
        <v>0</v>
      </c>
      <c r="S317" s="171">
        <v>0</v>
      </c>
      <c r="T317" s="171">
        <v>0</v>
      </c>
      <c r="U317" s="171">
        <f t="shared" si="47"/>
        <v>0</v>
      </c>
      <c r="V317" s="171">
        <f t="shared" si="48"/>
        <v>24000</v>
      </c>
      <c r="W317" s="132">
        <v>0</v>
      </c>
      <c r="X317" s="132">
        <f t="shared" si="49"/>
        <v>24000</v>
      </c>
      <c r="Y317" s="171">
        <v>0</v>
      </c>
      <c r="Z317" s="132">
        <f t="shared" si="50"/>
        <v>24000</v>
      </c>
    </row>
    <row r="318" spans="1:26" ht="12.75" hidden="1" outlineLevel="1">
      <c r="A318" s="132" t="s">
        <v>2551</v>
      </c>
      <c r="C318" s="171" t="s">
        <v>2552</v>
      </c>
      <c r="D318" s="171" t="s">
        <v>2553</v>
      </c>
      <c r="E318" s="132">
        <v>0</v>
      </c>
      <c r="F318" s="132">
        <v>289932.28</v>
      </c>
      <c r="G318" s="171">
        <f t="shared" si="44"/>
        <v>289932.28</v>
      </c>
      <c r="H318" s="132">
        <v>0</v>
      </c>
      <c r="I318" s="132">
        <v>0</v>
      </c>
      <c r="J318" s="132">
        <v>0</v>
      </c>
      <c r="K318" s="132">
        <v>0</v>
      </c>
      <c r="L318" s="132">
        <f t="shared" si="45"/>
        <v>0</v>
      </c>
      <c r="M318" s="132">
        <v>0</v>
      </c>
      <c r="N318" s="132">
        <v>0</v>
      </c>
      <c r="O318" s="132">
        <v>0</v>
      </c>
      <c r="P318" s="132">
        <f t="shared" si="46"/>
        <v>0</v>
      </c>
      <c r="Q318" s="171">
        <v>0</v>
      </c>
      <c r="R318" s="171">
        <v>0</v>
      </c>
      <c r="S318" s="171">
        <v>0</v>
      </c>
      <c r="T318" s="171">
        <v>0</v>
      </c>
      <c r="U318" s="171">
        <f t="shared" si="47"/>
        <v>0</v>
      </c>
      <c r="V318" s="171">
        <f t="shared" si="48"/>
        <v>289932.28</v>
      </c>
      <c r="W318" s="132">
        <v>0</v>
      </c>
      <c r="X318" s="132">
        <f t="shared" si="49"/>
        <v>289932.28</v>
      </c>
      <c r="Y318" s="171">
        <v>0</v>
      </c>
      <c r="Z318" s="132">
        <f t="shared" si="50"/>
        <v>289932.28</v>
      </c>
    </row>
    <row r="319" spans="1:26" ht="12.75" hidden="1" outlineLevel="1">
      <c r="A319" s="132" t="s">
        <v>2554</v>
      </c>
      <c r="C319" s="171" t="s">
        <v>2555</v>
      </c>
      <c r="D319" s="171" t="s">
        <v>2556</v>
      </c>
      <c r="E319" s="132">
        <v>0.01</v>
      </c>
      <c r="F319" s="132">
        <v>165633.72</v>
      </c>
      <c r="G319" s="171">
        <f t="shared" si="44"/>
        <v>165633.73</v>
      </c>
      <c r="H319" s="132">
        <v>0</v>
      </c>
      <c r="I319" s="132">
        <v>0</v>
      </c>
      <c r="J319" s="132">
        <v>0</v>
      </c>
      <c r="K319" s="132">
        <v>0</v>
      </c>
      <c r="L319" s="132">
        <f t="shared" si="45"/>
        <v>0</v>
      </c>
      <c r="M319" s="132">
        <v>0</v>
      </c>
      <c r="N319" s="132">
        <v>0</v>
      </c>
      <c r="O319" s="132">
        <v>0</v>
      </c>
      <c r="P319" s="132">
        <f t="shared" si="46"/>
        <v>0</v>
      </c>
      <c r="Q319" s="171">
        <v>0</v>
      </c>
      <c r="R319" s="171">
        <v>0</v>
      </c>
      <c r="S319" s="171">
        <v>0</v>
      </c>
      <c r="T319" s="171">
        <v>0</v>
      </c>
      <c r="U319" s="171">
        <f t="shared" si="47"/>
        <v>0</v>
      </c>
      <c r="V319" s="171">
        <f t="shared" si="48"/>
        <v>165633.73</v>
      </c>
      <c r="W319" s="132">
        <v>0</v>
      </c>
      <c r="X319" s="132">
        <f t="shared" si="49"/>
        <v>165633.73</v>
      </c>
      <c r="Y319" s="171">
        <v>0</v>
      </c>
      <c r="Z319" s="132">
        <f t="shared" si="50"/>
        <v>165633.73</v>
      </c>
    </row>
    <row r="320" spans="1:26" ht="12.75" hidden="1" outlineLevel="1">
      <c r="A320" s="132" t="s">
        <v>313</v>
      </c>
      <c r="C320" s="171" t="s">
        <v>314</v>
      </c>
      <c r="D320" s="171" t="s">
        <v>315</v>
      </c>
      <c r="E320" s="132">
        <v>0</v>
      </c>
      <c r="F320" s="132">
        <v>0</v>
      </c>
      <c r="G320" s="171">
        <f t="shared" si="44"/>
        <v>0</v>
      </c>
      <c r="H320" s="132">
        <v>0</v>
      </c>
      <c r="I320" s="132">
        <v>-2936.56</v>
      </c>
      <c r="J320" s="132">
        <v>0</v>
      </c>
      <c r="K320" s="132">
        <v>30335.55</v>
      </c>
      <c r="L320" s="132">
        <f t="shared" si="45"/>
        <v>27398.989999999998</v>
      </c>
      <c r="M320" s="132">
        <v>0</v>
      </c>
      <c r="N320" s="132">
        <v>0</v>
      </c>
      <c r="O320" s="132">
        <v>0</v>
      </c>
      <c r="P320" s="132">
        <f t="shared" si="46"/>
        <v>0</v>
      </c>
      <c r="Q320" s="171">
        <v>0</v>
      </c>
      <c r="R320" s="171">
        <v>0</v>
      </c>
      <c r="S320" s="171">
        <v>0</v>
      </c>
      <c r="T320" s="171">
        <v>0</v>
      </c>
      <c r="U320" s="171">
        <f t="shared" si="47"/>
        <v>0</v>
      </c>
      <c r="V320" s="171">
        <f t="shared" si="48"/>
        <v>27398.989999999998</v>
      </c>
      <c r="W320" s="132">
        <v>0</v>
      </c>
      <c r="X320" s="132">
        <f t="shared" si="49"/>
        <v>27398.989999999998</v>
      </c>
      <c r="Y320" s="171">
        <v>0</v>
      </c>
      <c r="Z320" s="132">
        <f t="shared" si="50"/>
        <v>27398.989999999998</v>
      </c>
    </row>
    <row r="321" spans="1:26" ht="12.75" hidden="1" outlineLevel="1">
      <c r="A321" s="132" t="s">
        <v>2557</v>
      </c>
      <c r="C321" s="171" t="s">
        <v>2558</v>
      </c>
      <c r="D321" s="171" t="s">
        <v>2559</v>
      </c>
      <c r="E321" s="132">
        <v>0</v>
      </c>
      <c r="F321" s="132">
        <v>2540</v>
      </c>
      <c r="G321" s="171">
        <f t="shared" si="44"/>
        <v>2540</v>
      </c>
      <c r="H321" s="132">
        <v>0</v>
      </c>
      <c r="I321" s="132">
        <v>0</v>
      </c>
      <c r="J321" s="132">
        <v>0</v>
      </c>
      <c r="K321" s="132">
        <v>-294.48</v>
      </c>
      <c r="L321" s="132">
        <f t="shared" si="45"/>
        <v>-294.48</v>
      </c>
      <c r="M321" s="132">
        <v>0</v>
      </c>
      <c r="N321" s="132">
        <v>0</v>
      </c>
      <c r="O321" s="132">
        <v>0</v>
      </c>
      <c r="P321" s="132">
        <f t="shared" si="46"/>
        <v>0</v>
      </c>
      <c r="Q321" s="171">
        <v>0</v>
      </c>
      <c r="R321" s="171">
        <v>0</v>
      </c>
      <c r="S321" s="171">
        <v>0</v>
      </c>
      <c r="T321" s="171">
        <v>0</v>
      </c>
      <c r="U321" s="171">
        <f t="shared" si="47"/>
        <v>0</v>
      </c>
      <c r="V321" s="171">
        <f t="shared" si="48"/>
        <v>2245.52</v>
      </c>
      <c r="W321" s="132">
        <v>0</v>
      </c>
      <c r="X321" s="132">
        <f t="shared" si="49"/>
        <v>2245.52</v>
      </c>
      <c r="Y321" s="171">
        <v>0</v>
      </c>
      <c r="Z321" s="132">
        <f t="shared" si="50"/>
        <v>2245.52</v>
      </c>
    </row>
    <row r="322" spans="1:26" ht="12.75" hidden="1" outlineLevel="1">
      <c r="A322" s="132" t="s">
        <v>316</v>
      </c>
      <c r="C322" s="171" t="s">
        <v>317</v>
      </c>
      <c r="D322" s="171" t="s">
        <v>318</v>
      </c>
      <c r="E322" s="132">
        <v>0</v>
      </c>
      <c r="F322" s="132">
        <v>0</v>
      </c>
      <c r="G322" s="171">
        <f t="shared" si="44"/>
        <v>0</v>
      </c>
      <c r="H322" s="132">
        <v>0</v>
      </c>
      <c r="I322" s="132">
        <v>-18</v>
      </c>
      <c r="J322" s="132">
        <v>0</v>
      </c>
      <c r="K322" s="132">
        <v>-297</v>
      </c>
      <c r="L322" s="132">
        <f t="shared" si="45"/>
        <v>-315</v>
      </c>
      <c r="M322" s="132">
        <v>0</v>
      </c>
      <c r="N322" s="132">
        <v>0</v>
      </c>
      <c r="O322" s="132">
        <v>0</v>
      </c>
      <c r="P322" s="132">
        <f t="shared" si="46"/>
        <v>0</v>
      </c>
      <c r="Q322" s="171">
        <v>0</v>
      </c>
      <c r="R322" s="171">
        <v>0</v>
      </c>
      <c r="S322" s="171">
        <v>0</v>
      </c>
      <c r="T322" s="171">
        <v>0</v>
      </c>
      <c r="U322" s="171">
        <f t="shared" si="47"/>
        <v>0</v>
      </c>
      <c r="V322" s="171">
        <f t="shared" si="48"/>
        <v>-315</v>
      </c>
      <c r="W322" s="132">
        <v>0</v>
      </c>
      <c r="X322" s="132">
        <f t="shared" si="49"/>
        <v>-315</v>
      </c>
      <c r="Y322" s="171">
        <v>0</v>
      </c>
      <c r="Z322" s="132">
        <f t="shared" si="50"/>
        <v>-315</v>
      </c>
    </row>
    <row r="323" spans="1:26" ht="12.75" hidden="1" outlineLevel="1">
      <c r="A323" s="132" t="s">
        <v>319</v>
      </c>
      <c r="C323" s="171" t="s">
        <v>320</v>
      </c>
      <c r="D323" s="171" t="s">
        <v>321</v>
      </c>
      <c r="E323" s="132">
        <v>0</v>
      </c>
      <c r="F323" s="132">
        <v>0</v>
      </c>
      <c r="G323" s="171">
        <f t="shared" si="44"/>
        <v>0</v>
      </c>
      <c r="H323" s="132">
        <v>0</v>
      </c>
      <c r="I323" s="132">
        <v>0</v>
      </c>
      <c r="J323" s="132">
        <v>0</v>
      </c>
      <c r="K323" s="132">
        <v>245794.96</v>
      </c>
      <c r="L323" s="132">
        <f t="shared" si="45"/>
        <v>245794.96</v>
      </c>
      <c r="M323" s="132">
        <v>0</v>
      </c>
      <c r="N323" s="132">
        <v>0</v>
      </c>
      <c r="O323" s="132">
        <v>0</v>
      </c>
      <c r="P323" s="132">
        <f t="shared" si="46"/>
        <v>0</v>
      </c>
      <c r="Q323" s="171">
        <v>0</v>
      </c>
      <c r="R323" s="171">
        <v>0</v>
      </c>
      <c r="S323" s="171">
        <v>0</v>
      </c>
      <c r="T323" s="171">
        <v>0</v>
      </c>
      <c r="U323" s="171">
        <f t="shared" si="47"/>
        <v>0</v>
      </c>
      <c r="V323" s="171">
        <f t="shared" si="48"/>
        <v>245794.96</v>
      </c>
      <c r="W323" s="132">
        <v>0</v>
      </c>
      <c r="X323" s="132">
        <f t="shared" si="49"/>
        <v>245794.96</v>
      </c>
      <c r="Y323" s="171">
        <v>0</v>
      </c>
      <c r="Z323" s="132">
        <f t="shared" si="50"/>
        <v>245794.96</v>
      </c>
    </row>
    <row r="324" spans="1:26" ht="12.75" hidden="1" outlineLevel="1">
      <c r="A324" s="132" t="s">
        <v>322</v>
      </c>
      <c r="C324" s="171" t="s">
        <v>323</v>
      </c>
      <c r="D324" s="171" t="s">
        <v>324</v>
      </c>
      <c r="E324" s="132">
        <v>0</v>
      </c>
      <c r="F324" s="132">
        <v>0</v>
      </c>
      <c r="G324" s="171">
        <f t="shared" si="44"/>
        <v>0</v>
      </c>
      <c r="H324" s="132">
        <v>0</v>
      </c>
      <c r="I324" s="132">
        <v>0</v>
      </c>
      <c r="J324" s="132">
        <v>0</v>
      </c>
      <c r="K324" s="132">
        <v>0</v>
      </c>
      <c r="L324" s="132">
        <f t="shared" si="45"/>
        <v>0</v>
      </c>
      <c r="M324" s="132">
        <v>0</v>
      </c>
      <c r="N324" s="132">
        <v>0</v>
      </c>
      <c r="O324" s="132">
        <v>0</v>
      </c>
      <c r="P324" s="132">
        <f t="shared" si="46"/>
        <v>0</v>
      </c>
      <c r="Q324" s="171">
        <v>0</v>
      </c>
      <c r="R324" s="171">
        <v>-12901006.52</v>
      </c>
      <c r="S324" s="171">
        <v>0</v>
      </c>
      <c r="T324" s="171">
        <v>12901006.52</v>
      </c>
      <c r="U324" s="171">
        <f t="shared" si="47"/>
        <v>0</v>
      </c>
      <c r="V324" s="171">
        <f t="shared" si="48"/>
        <v>0</v>
      </c>
      <c r="W324" s="132">
        <v>0</v>
      </c>
      <c r="X324" s="132">
        <f t="shared" si="49"/>
        <v>0</v>
      </c>
      <c r="Y324" s="171">
        <v>0</v>
      </c>
      <c r="Z324" s="132">
        <f t="shared" si="50"/>
        <v>0</v>
      </c>
    </row>
    <row r="325" spans="1:27" ht="12.75" collapsed="1">
      <c r="A325" s="150" t="s">
        <v>325</v>
      </c>
      <c r="B325" s="148"/>
      <c r="C325" s="150" t="s">
        <v>3712</v>
      </c>
      <c r="D325" s="157"/>
      <c r="E325" s="155">
        <v>7984.16</v>
      </c>
      <c r="F325" s="155">
        <v>49646671.69999997</v>
      </c>
      <c r="G325" s="117">
        <f t="shared" si="44"/>
        <v>49654655.85999997</v>
      </c>
      <c r="H325" s="117">
        <v>15282854.290000007</v>
      </c>
      <c r="I325" s="117">
        <v>13457.23</v>
      </c>
      <c r="J325" s="117">
        <v>0</v>
      </c>
      <c r="K325" s="117">
        <v>-14380.16</v>
      </c>
      <c r="L325" s="117">
        <f t="shared" si="45"/>
        <v>-922.9300000000003</v>
      </c>
      <c r="M325" s="117">
        <v>0</v>
      </c>
      <c r="N325" s="117">
        <v>32044.47</v>
      </c>
      <c r="O325" s="117">
        <v>2521.02</v>
      </c>
      <c r="P325" s="117">
        <f t="shared" si="46"/>
        <v>34565.49</v>
      </c>
      <c r="Q325" s="117">
        <v>1173267.71</v>
      </c>
      <c r="R325" s="117">
        <v>-12762999.549999999</v>
      </c>
      <c r="S325" s="117">
        <v>0</v>
      </c>
      <c r="T325" s="117">
        <v>13119526.91</v>
      </c>
      <c r="U325" s="117">
        <f t="shared" si="47"/>
        <v>1529795.0700000003</v>
      </c>
      <c r="V325" s="117">
        <f t="shared" si="48"/>
        <v>66500947.77999998</v>
      </c>
      <c r="W325" s="117">
        <v>0</v>
      </c>
      <c r="X325" s="117">
        <f t="shared" si="49"/>
        <v>66500947.77999998</v>
      </c>
      <c r="Y325" s="117">
        <v>4069688.53</v>
      </c>
      <c r="Z325" s="117">
        <f t="shared" si="50"/>
        <v>70570636.30999997</v>
      </c>
      <c r="AA325" s="150"/>
    </row>
    <row r="326" spans="1:26" ht="12.75" hidden="1" outlineLevel="1">
      <c r="A326" s="132" t="s">
        <v>2561</v>
      </c>
      <c r="C326" s="171" t="s">
        <v>2562</v>
      </c>
      <c r="D326" s="171" t="s">
        <v>2563</v>
      </c>
      <c r="E326" s="132">
        <v>0</v>
      </c>
      <c r="F326" s="132">
        <v>5530000</v>
      </c>
      <c r="G326" s="171">
        <f t="shared" si="44"/>
        <v>5530000</v>
      </c>
      <c r="H326" s="132">
        <v>0</v>
      </c>
      <c r="I326" s="132">
        <v>0</v>
      </c>
      <c r="J326" s="132">
        <v>0</v>
      </c>
      <c r="K326" s="132">
        <v>0</v>
      </c>
      <c r="L326" s="132">
        <f t="shared" si="45"/>
        <v>0</v>
      </c>
      <c r="M326" s="132">
        <v>0</v>
      </c>
      <c r="N326" s="132">
        <v>0</v>
      </c>
      <c r="O326" s="132">
        <v>0</v>
      </c>
      <c r="P326" s="132">
        <f t="shared" si="46"/>
        <v>0</v>
      </c>
      <c r="Q326" s="171">
        <v>0</v>
      </c>
      <c r="R326" s="171">
        <v>0</v>
      </c>
      <c r="S326" s="171">
        <v>0</v>
      </c>
      <c r="T326" s="171">
        <v>0</v>
      </c>
      <c r="U326" s="171">
        <f t="shared" si="47"/>
        <v>0</v>
      </c>
      <c r="V326" s="171">
        <f t="shared" si="48"/>
        <v>5530000</v>
      </c>
      <c r="W326" s="132">
        <v>0</v>
      </c>
      <c r="X326" s="132">
        <f t="shared" si="49"/>
        <v>5530000</v>
      </c>
      <c r="Y326" s="171">
        <v>0</v>
      </c>
      <c r="Z326" s="132">
        <f t="shared" si="50"/>
        <v>5530000</v>
      </c>
    </row>
    <row r="327" spans="1:27" ht="12.75" collapsed="1">
      <c r="A327" s="150" t="s">
        <v>2564</v>
      </c>
      <c r="B327" s="148"/>
      <c r="C327" s="150" t="s">
        <v>3713</v>
      </c>
      <c r="D327" s="157"/>
      <c r="E327" s="155">
        <v>0</v>
      </c>
      <c r="F327" s="155">
        <v>5530000</v>
      </c>
      <c r="G327" s="117">
        <f t="shared" si="44"/>
        <v>5530000</v>
      </c>
      <c r="H327" s="117">
        <v>0</v>
      </c>
      <c r="I327" s="117">
        <v>0</v>
      </c>
      <c r="J327" s="117">
        <v>0</v>
      </c>
      <c r="K327" s="117">
        <v>0</v>
      </c>
      <c r="L327" s="117">
        <f t="shared" si="45"/>
        <v>0</v>
      </c>
      <c r="M327" s="117">
        <v>0</v>
      </c>
      <c r="N327" s="117">
        <v>0</v>
      </c>
      <c r="O327" s="117">
        <v>0</v>
      </c>
      <c r="P327" s="117">
        <f t="shared" si="46"/>
        <v>0</v>
      </c>
      <c r="Q327" s="117">
        <v>0</v>
      </c>
      <c r="R327" s="117">
        <v>0</v>
      </c>
      <c r="S327" s="117">
        <v>0</v>
      </c>
      <c r="T327" s="117">
        <v>0</v>
      </c>
      <c r="U327" s="117">
        <f t="shared" si="47"/>
        <v>0</v>
      </c>
      <c r="V327" s="117">
        <f t="shared" si="48"/>
        <v>5530000</v>
      </c>
      <c r="W327" s="117">
        <v>0</v>
      </c>
      <c r="X327" s="117">
        <f t="shared" si="49"/>
        <v>5530000</v>
      </c>
      <c r="Y327" s="117">
        <v>0</v>
      </c>
      <c r="Z327" s="117">
        <f t="shared" si="50"/>
        <v>5530000</v>
      </c>
      <c r="AA327" s="150"/>
    </row>
    <row r="328" spans="1:26" ht="12.75" hidden="1" outlineLevel="1">
      <c r="A328" s="132" t="s">
        <v>326</v>
      </c>
      <c r="C328" s="171" t="s">
        <v>327</v>
      </c>
      <c r="D328" s="171" t="s">
        <v>328</v>
      </c>
      <c r="E328" s="132">
        <v>0</v>
      </c>
      <c r="F328" s="132">
        <v>0</v>
      </c>
      <c r="G328" s="171">
        <f t="shared" si="44"/>
        <v>0</v>
      </c>
      <c r="H328" s="132">
        <v>0</v>
      </c>
      <c r="I328" s="132">
        <v>0</v>
      </c>
      <c r="J328" s="132">
        <v>0</v>
      </c>
      <c r="K328" s="132">
        <v>0</v>
      </c>
      <c r="L328" s="132">
        <f t="shared" si="45"/>
        <v>0</v>
      </c>
      <c r="M328" s="132">
        <v>0</v>
      </c>
      <c r="N328" s="132">
        <v>0</v>
      </c>
      <c r="O328" s="132">
        <v>0</v>
      </c>
      <c r="P328" s="132">
        <f t="shared" si="46"/>
        <v>0</v>
      </c>
      <c r="Q328" s="171">
        <v>0</v>
      </c>
      <c r="R328" s="171">
        <v>0</v>
      </c>
      <c r="S328" s="171">
        <v>0</v>
      </c>
      <c r="T328" s="171">
        <v>-3001906.08</v>
      </c>
      <c r="U328" s="171">
        <f t="shared" si="47"/>
        <v>-3001906.08</v>
      </c>
      <c r="V328" s="171">
        <f t="shared" si="48"/>
        <v>-3001906.08</v>
      </c>
      <c r="W328" s="132">
        <v>0</v>
      </c>
      <c r="X328" s="132">
        <f t="shared" si="49"/>
        <v>-3001906.08</v>
      </c>
      <c r="Y328" s="171">
        <v>0</v>
      </c>
      <c r="Z328" s="132">
        <f t="shared" si="50"/>
        <v>-3001906.08</v>
      </c>
    </row>
    <row r="329" spans="1:26" ht="12.75" hidden="1" outlineLevel="1">
      <c r="A329" s="132" t="s">
        <v>329</v>
      </c>
      <c r="C329" s="171" t="s">
        <v>330</v>
      </c>
      <c r="D329" s="171" t="s">
        <v>331</v>
      </c>
      <c r="E329" s="132">
        <v>0</v>
      </c>
      <c r="F329" s="132">
        <v>0</v>
      </c>
      <c r="G329" s="171">
        <f aca="true" t="shared" si="51" ref="G329:G356">E329+F329</f>
        <v>0</v>
      </c>
      <c r="H329" s="132">
        <v>0</v>
      </c>
      <c r="I329" s="132">
        <v>0</v>
      </c>
      <c r="J329" s="132">
        <v>0</v>
      </c>
      <c r="K329" s="132">
        <v>0</v>
      </c>
      <c r="L329" s="132">
        <f aca="true" t="shared" si="52" ref="L329:L356">J329+I329+K329</f>
        <v>0</v>
      </c>
      <c r="M329" s="132">
        <v>0</v>
      </c>
      <c r="N329" s="132">
        <v>0</v>
      </c>
      <c r="O329" s="132">
        <v>0</v>
      </c>
      <c r="P329" s="132">
        <f aca="true" t="shared" si="53" ref="P329:P356">M329+N329+O329</f>
        <v>0</v>
      </c>
      <c r="Q329" s="171">
        <v>0</v>
      </c>
      <c r="R329" s="171">
        <v>0</v>
      </c>
      <c r="S329" s="171">
        <v>0</v>
      </c>
      <c r="T329" s="171">
        <v>-430685.05</v>
      </c>
      <c r="U329" s="171">
        <f aca="true" t="shared" si="54" ref="U329:U356">Q329+R329+S329+T329</f>
        <v>-430685.05</v>
      </c>
      <c r="V329" s="171">
        <f aca="true" t="shared" si="55" ref="V329:V356">G329+H329+L329+P329+U329</f>
        <v>-430685.05</v>
      </c>
      <c r="W329" s="132">
        <v>0</v>
      </c>
      <c r="X329" s="132">
        <f aca="true" t="shared" si="56" ref="X329:X356">V329+W329</f>
        <v>-430685.05</v>
      </c>
      <c r="Y329" s="171">
        <v>0</v>
      </c>
      <c r="Z329" s="132">
        <f aca="true" t="shared" si="57" ref="Z329:Z356">X329+Y329</f>
        <v>-430685.05</v>
      </c>
    </row>
    <row r="330" spans="1:26" ht="12.75" hidden="1" outlineLevel="1">
      <c r="A330" s="132" t="s">
        <v>332</v>
      </c>
      <c r="C330" s="171" t="s">
        <v>333</v>
      </c>
      <c r="D330" s="171" t="s">
        <v>2965</v>
      </c>
      <c r="E330" s="132">
        <v>0</v>
      </c>
      <c r="F330" s="132">
        <v>0</v>
      </c>
      <c r="G330" s="171">
        <f t="shared" si="51"/>
        <v>0</v>
      </c>
      <c r="H330" s="132">
        <v>0</v>
      </c>
      <c r="I330" s="132">
        <v>0</v>
      </c>
      <c r="J330" s="132">
        <v>0</v>
      </c>
      <c r="K330" s="132">
        <v>0</v>
      </c>
      <c r="L330" s="132">
        <f t="shared" si="52"/>
        <v>0</v>
      </c>
      <c r="M330" s="132">
        <v>0</v>
      </c>
      <c r="N330" s="132">
        <v>0</v>
      </c>
      <c r="O330" s="132">
        <v>0</v>
      </c>
      <c r="P330" s="132">
        <f t="shared" si="53"/>
        <v>0</v>
      </c>
      <c r="Q330" s="171">
        <v>0</v>
      </c>
      <c r="R330" s="171">
        <v>0</v>
      </c>
      <c r="S330" s="171">
        <v>0</v>
      </c>
      <c r="T330" s="171">
        <v>-41332782.36</v>
      </c>
      <c r="U330" s="171">
        <f t="shared" si="54"/>
        <v>-41332782.36</v>
      </c>
      <c r="V330" s="171">
        <f t="shared" si="55"/>
        <v>-41332782.36</v>
      </c>
      <c r="W330" s="132">
        <v>0</v>
      </c>
      <c r="X330" s="132">
        <f t="shared" si="56"/>
        <v>-41332782.36</v>
      </c>
      <c r="Y330" s="171">
        <v>0</v>
      </c>
      <c r="Z330" s="132">
        <f t="shared" si="57"/>
        <v>-41332782.36</v>
      </c>
    </row>
    <row r="331" spans="1:26" ht="12.75" hidden="1" outlineLevel="1">
      <c r="A331" s="132" t="s">
        <v>2966</v>
      </c>
      <c r="C331" s="171" t="s">
        <v>2967</v>
      </c>
      <c r="D331" s="171" t="s">
        <v>2968</v>
      </c>
      <c r="E331" s="132">
        <v>0</v>
      </c>
      <c r="F331" s="132">
        <v>0</v>
      </c>
      <c r="G331" s="171">
        <f t="shared" si="51"/>
        <v>0</v>
      </c>
      <c r="H331" s="132">
        <v>0</v>
      </c>
      <c r="I331" s="132">
        <v>0</v>
      </c>
      <c r="J331" s="132">
        <v>0</v>
      </c>
      <c r="K331" s="132">
        <v>0</v>
      </c>
      <c r="L331" s="132">
        <f t="shared" si="52"/>
        <v>0</v>
      </c>
      <c r="M331" s="132">
        <v>0</v>
      </c>
      <c r="N331" s="132">
        <v>0</v>
      </c>
      <c r="O331" s="132">
        <v>0</v>
      </c>
      <c r="P331" s="132">
        <f t="shared" si="53"/>
        <v>0</v>
      </c>
      <c r="Q331" s="171">
        <v>0</v>
      </c>
      <c r="R331" s="171">
        <v>0</v>
      </c>
      <c r="S331" s="171">
        <v>0</v>
      </c>
      <c r="T331" s="171">
        <v>-125000</v>
      </c>
      <c r="U331" s="171">
        <f t="shared" si="54"/>
        <v>-125000</v>
      </c>
      <c r="V331" s="171">
        <f t="shared" si="55"/>
        <v>-125000</v>
      </c>
      <c r="W331" s="132">
        <v>0</v>
      </c>
      <c r="X331" s="132">
        <f t="shared" si="56"/>
        <v>-125000</v>
      </c>
      <c r="Y331" s="171">
        <v>0</v>
      </c>
      <c r="Z331" s="132">
        <f t="shared" si="57"/>
        <v>-125000</v>
      </c>
    </row>
    <row r="332" spans="1:26" ht="12.75" hidden="1" outlineLevel="1">
      <c r="A332" s="132" t="s">
        <v>2969</v>
      </c>
      <c r="C332" s="171" t="s">
        <v>2970</v>
      </c>
      <c r="D332" s="171" t="s">
        <v>2971</v>
      </c>
      <c r="E332" s="132">
        <v>0</v>
      </c>
      <c r="F332" s="132">
        <v>0</v>
      </c>
      <c r="G332" s="171">
        <f t="shared" si="51"/>
        <v>0</v>
      </c>
      <c r="H332" s="132">
        <v>0</v>
      </c>
      <c r="I332" s="132">
        <v>0</v>
      </c>
      <c r="J332" s="132">
        <v>0</v>
      </c>
      <c r="K332" s="132">
        <v>0</v>
      </c>
      <c r="L332" s="132">
        <f t="shared" si="52"/>
        <v>0</v>
      </c>
      <c r="M332" s="132">
        <v>0</v>
      </c>
      <c r="N332" s="132">
        <v>0</v>
      </c>
      <c r="O332" s="132">
        <v>0</v>
      </c>
      <c r="P332" s="132">
        <f t="shared" si="53"/>
        <v>0</v>
      </c>
      <c r="Q332" s="171">
        <v>0</v>
      </c>
      <c r="R332" s="171">
        <v>0</v>
      </c>
      <c r="S332" s="171">
        <v>0</v>
      </c>
      <c r="T332" s="171">
        <v>-2242155.52</v>
      </c>
      <c r="U332" s="171">
        <f t="shared" si="54"/>
        <v>-2242155.52</v>
      </c>
      <c r="V332" s="171">
        <f t="shared" si="55"/>
        <v>-2242155.52</v>
      </c>
      <c r="W332" s="132">
        <v>0</v>
      </c>
      <c r="X332" s="132">
        <f t="shared" si="56"/>
        <v>-2242155.52</v>
      </c>
      <c r="Y332" s="171">
        <v>0</v>
      </c>
      <c r="Z332" s="132">
        <f t="shared" si="57"/>
        <v>-2242155.52</v>
      </c>
    </row>
    <row r="333" spans="1:26" ht="12.75" hidden="1" outlineLevel="1">
      <c r="A333" s="132" t="s">
        <v>2972</v>
      </c>
      <c r="C333" s="171" t="s">
        <v>2973</v>
      </c>
      <c r="D333" s="171" t="s">
        <v>2974</v>
      </c>
      <c r="E333" s="132">
        <v>0</v>
      </c>
      <c r="F333" s="132">
        <v>0</v>
      </c>
      <c r="G333" s="171">
        <f t="shared" si="51"/>
        <v>0</v>
      </c>
      <c r="H333" s="132">
        <v>0</v>
      </c>
      <c r="I333" s="132">
        <v>0</v>
      </c>
      <c r="J333" s="132">
        <v>0</v>
      </c>
      <c r="K333" s="132">
        <v>0</v>
      </c>
      <c r="L333" s="132">
        <f t="shared" si="52"/>
        <v>0</v>
      </c>
      <c r="M333" s="132">
        <v>0</v>
      </c>
      <c r="N333" s="132">
        <v>0</v>
      </c>
      <c r="O333" s="132">
        <v>0</v>
      </c>
      <c r="P333" s="132">
        <f t="shared" si="53"/>
        <v>0</v>
      </c>
      <c r="Q333" s="171">
        <v>0</v>
      </c>
      <c r="R333" s="171">
        <v>0</v>
      </c>
      <c r="S333" s="171">
        <v>0</v>
      </c>
      <c r="T333" s="171">
        <v>-5010</v>
      </c>
      <c r="U333" s="171">
        <f t="shared" si="54"/>
        <v>-5010</v>
      </c>
      <c r="V333" s="171">
        <f t="shared" si="55"/>
        <v>-5010</v>
      </c>
      <c r="W333" s="132">
        <v>0</v>
      </c>
      <c r="X333" s="132">
        <f t="shared" si="56"/>
        <v>-5010</v>
      </c>
      <c r="Y333" s="171">
        <v>0</v>
      </c>
      <c r="Z333" s="132">
        <f t="shared" si="57"/>
        <v>-5010</v>
      </c>
    </row>
    <row r="334" spans="1:26" ht="12.75" hidden="1" outlineLevel="1">
      <c r="A334" s="132" t="s">
        <v>2565</v>
      </c>
      <c r="C334" s="171" t="s">
        <v>2566</v>
      </c>
      <c r="D334" s="171" t="s">
        <v>2567</v>
      </c>
      <c r="E334" s="132">
        <v>0</v>
      </c>
      <c r="F334" s="132">
        <v>133028.42</v>
      </c>
      <c r="G334" s="171">
        <f t="shared" si="51"/>
        <v>133028.42</v>
      </c>
      <c r="H334" s="132">
        <v>0</v>
      </c>
      <c r="I334" s="132">
        <v>0</v>
      </c>
      <c r="J334" s="132">
        <v>0</v>
      </c>
      <c r="K334" s="132">
        <v>0</v>
      </c>
      <c r="L334" s="132">
        <f t="shared" si="52"/>
        <v>0</v>
      </c>
      <c r="M334" s="132">
        <v>0</v>
      </c>
      <c r="N334" s="132">
        <v>0</v>
      </c>
      <c r="O334" s="132">
        <v>0</v>
      </c>
      <c r="P334" s="132">
        <f t="shared" si="53"/>
        <v>0</v>
      </c>
      <c r="Q334" s="171">
        <v>0</v>
      </c>
      <c r="R334" s="171">
        <v>0</v>
      </c>
      <c r="S334" s="171">
        <v>0</v>
      </c>
      <c r="T334" s="171">
        <v>0</v>
      </c>
      <c r="U334" s="171">
        <f t="shared" si="54"/>
        <v>0</v>
      </c>
      <c r="V334" s="171">
        <f t="shared" si="55"/>
        <v>133028.42</v>
      </c>
      <c r="W334" s="132">
        <v>0</v>
      </c>
      <c r="X334" s="132">
        <f t="shared" si="56"/>
        <v>133028.42</v>
      </c>
      <c r="Y334" s="171">
        <v>0</v>
      </c>
      <c r="Z334" s="132">
        <f t="shared" si="57"/>
        <v>133028.42</v>
      </c>
    </row>
    <row r="335" spans="1:26" ht="12.75" hidden="1" outlineLevel="1">
      <c r="A335" s="132" t="s">
        <v>2568</v>
      </c>
      <c r="C335" s="171" t="s">
        <v>2569</v>
      </c>
      <c r="D335" s="171" t="s">
        <v>2570</v>
      </c>
      <c r="E335" s="132">
        <v>0</v>
      </c>
      <c r="F335" s="132">
        <v>625676.2</v>
      </c>
      <c r="G335" s="171">
        <f t="shared" si="51"/>
        <v>625676.2</v>
      </c>
      <c r="H335" s="132">
        <v>0</v>
      </c>
      <c r="I335" s="132">
        <v>0</v>
      </c>
      <c r="J335" s="132">
        <v>0</v>
      </c>
      <c r="K335" s="132">
        <v>0</v>
      </c>
      <c r="L335" s="132">
        <f t="shared" si="52"/>
        <v>0</v>
      </c>
      <c r="M335" s="132">
        <v>0</v>
      </c>
      <c r="N335" s="132">
        <v>0</v>
      </c>
      <c r="O335" s="132">
        <v>0</v>
      </c>
      <c r="P335" s="132">
        <f t="shared" si="53"/>
        <v>0</v>
      </c>
      <c r="Q335" s="171">
        <v>0</v>
      </c>
      <c r="R335" s="171">
        <v>0</v>
      </c>
      <c r="S335" s="171">
        <v>0</v>
      </c>
      <c r="T335" s="171">
        <v>0</v>
      </c>
      <c r="U335" s="171">
        <f t="shared" si="54"/>
        <v>0</v>
      </c>
      <c r="V335" s="171">
        <f t="shared" si="55"/>
        <v>625676.2</v>
      </c>
      <c r="W335" s="132">
        <v>0</v>
      </c>
      <c r="X335" s="132">
        <f t="shared" si="56"/>
        <v>625676.2</v>
      </c>
      <c r="Y335" s="171">
        <v>0</v>
      </c>
      <c r="Z335" s="132">
        <f t="shared" si="57"/>
        <v>625676.2</v>
      </c>
    </row>
    <row r="336" spans="1:26" ht="12.75" hidden="1" outlineLevel="1">
      <c r="A336" s="132" t="s">
        <v>2571</v>
      </c>
      <c r="C336" s="171" t="s">
        <v>2572</v>
      </c>
      <c r="D336" s="171" t="s">
        <v>2573</v>
      </c>
      <c r="E336" s="132">
        <v>0</v>
      </c>
      <c r="F336" s="132">
        <v>138385.18</v>
      </c>
      <c r="G336" s="171">
        <f t="shared" si="51"/>
        <v>138385.18</v>
      </c>
      <c r="H336" s="132">
        <v>5000</v>
      </c>
      <c r="I336" s="132">
        <v>0</v>
      </c>
      <c r="J336" s="132">
        <v>0</v>
      </c>
      <c r="K336" s="132">
        <v>0</v>
      </c>
      <c r="L336" s="132">
        <f t="shared" si="52"/>
        <v>0</v>
      </c>
      <c r="M336" s="132">
        <v>0</v>
      </c>
      <c r="N336" s="132">
        <v>0</v>
      </c>
      <c r="O336" s="132">
        <v>0</v>
      </c>
      <c r="P336" s="132">
        <f t="shared" si="53"/>
        <v>0</v>
      </c>
      <c r="Q336" s="171">
        <v>0</v>
      </c>
      <c r="R336" s="171">
        <v>0</v>
      </c>
      <c r="S336" s="171">
        <v>0</v>
      </c>
      <c r="T336" s="171">
        <v>0</v>
      </c>
      <c r="U336" s="171">
        <f t="shared" si="54"/>
        <v>0</v>
      </c>
      <c r="V336" s="171">
        <f t="shared" si="55"/>
        <v>143385.18</v>
      </c>
      <c r="W336" s="132">
        <v>0</v>
      </c>
      <c r="X336" s="132">
        <f t="shared" si="56"/>
        <v>143385.18</v>
      </c>
      <c r="Y336" s="171">
        <v>17640</v>
      </c>
      <c r="Z336" s="132">
        <f t="shared" si="57"/>
        <v>161025.18</v>
      </c>
    </row>
    <row r="337" spans="1:26" ht="12.75" hidden="1" outlineLevel="1">
      <c r="A337" s="132" t="s">
        <v>2574</v>
      </c>
      <c r="C337" s="171" t="s">
        <v>2575</v>
      </c>
      <c r="D337" s="171" t="s">
        <v>2576</v>
      </c>
      <c r="E337" s="132">
        <v>0</v>
      </c>
      <c r="F337" s="132">
        <v>480907.54</v>
      </c>
      <c r="G337" s="171">
        <f t="shared" si="51"/>
        <v>480907.54</v>
      </c>
      <c r="H337" s="132">
        <v>143209.65</v>
      </c>
      <c r="I337" s="132">
        <v>0</v>
      </c>
      <c r="J337" s="132">
        <v>0</v>
      </c>
      <c r="K337" s="132">
        <v>0</v>
      </c>
      <c r="L337" s="132">
        <f t="shared" si="52"/>
        <v>0</v>
      </c>
      <c r="M337" s="132">
        <v>0</v>
      </c>
      <c r="N337" s="132">
        <v>0</v>
      </c>
      <c r="O337" s="132">
        <v>0</v>
      </c>
      <c r="P337" s="132">
        <f t="shared" si="53"/>
        <v>0</v>
      </c>
      <c r="Q337" s="171">
        <v>35567.76</v>
      </c>
      <c r="R337" s="171">
        <v>758530.76</v>
      </c>
      <c r="S337" s="171">
        <v>0</v>
      </c>
      <c r="T337" s="171">
        <v>0</v>
      </c>
      <c r="U337" s="171">
        <f t="shared" si="54"/>
        <v>794098.52</v>
      </c>
      <c r="V337" s="171">
        <f t="shared" si="55"/>
        <v>1418215.71</v>
      </c>
      <c r="W337" s="132">
        <v>0</v>
      </c>
      <c r="X337" s="132">
        <f t="shared" si="56"/>
        <v>1418215.71</v>
      </c>
      <c r="Y337" s="171">
        <v>0</v>
      </c>
      <c r="Z337" s="132">
        <f t="shared" si="57"/>
        <v>1418215.71</v>
      </c>
    </row>
    <row r="338" spans="1:26" ht="12.75" hidden="1" outlineLevel="1">
      <c r="A338" s="132" t="s">
        <v>2577</v>
      </c>
      <c r="C338" s="171" t="s">
        <v>2578</v>
      </c>
      <c r="D338" s="171" t="s">
        <v>2579</v>
      </c>
      <c r="E338" s="132">
        <v>0</v>
      </c>
      <c r="F338" s="132">
        <v>615940.02</v>
      </c>
      <c r="G338" s="171">
        <f t="shared" si="51"/>
        <v>615940.02</v>
      </c>
      <c r="H338" s="132">
        <v>300330.98</v>
      </c>
      <c r="I338" s="132">
        <v>0</v>
      </c>
      <c r="J338" s="132">
        <v>0</v>
      </c>
      <c r="K338" s="132">
        <v>0</v>
      </c>
      <c r="L338" s="132">
        <f t="shared" si="52"/>
        <v>0</v>
      </c>
      <c r="M338" s="132">
        <v>0</v>
      </c>
      <c r="N338" s="132">
        <v>0</v>
      </c>
      <c r="O338" s="132">
        <v>0</v>
      </c>
      <c r="P338" s="132">
        <f t="shared" si="53"/>
        <v>0</v>
      </c>
      <c r="Q338" s="171">
        <v>0</v>
      </c>
      <c r="R338" s="171">
        <v>0</v>
      </c>
      <c r="S338" s="171">
        <v>0</v>
      </c>
      <c r="T338" s="171">
        <v>0</v>
      </c>
      <c r="U338" s="171">
        <f t="shared" si="54"/>
        <v>0</v>
      </c>
      <c r="V338" s="171">
        <f t="shared" si="55"/>
        <v>916271</v>
      </c>
      <c r="W338" s="132">
        <v>0</v>
      </c>
      <c r="X338" s="132">
        <f t="shared" si="56"/>
        <v>916271</v>
      </c>
      <c r="Y338" s="171">
        <v>0</v>
      </c>
      <c r="Z338" s="132">
        <f t="shared" si="57"/>
        <v>916271</v>
      </c>
    </row>
    <row r="339" spans="1:26" ht="12.75" hidden="1" outlineLevel="1">
      <c r="A339" s="132" t="s">
        <v>2580</v>
      </c>
      <c r="C339" s="171" t="s">
        <v>2581</v>
      </c>
      <c r="D339" s="171" t="s">
        <v>2582</v>
      </c>
      <c r="E339" s="132">
        <v>0</v>
      </c>
      <c r="F339" s="132">
        <v>184354.3</v>
      </c>
      <c r="G339" s="171">
        <f t="shared" si="51"/>
        <v>184354.3</v>
      </c>
      <c r="H339" s="132">
        <v>0</v>
      </c>
      <c r="I339" s="132">
        <v>0</v>
      </c>
      <c r="J339" s="132">
        <v>0</v>
      </c>
      <c r="K339" s="132">
        <v>0</v>
      </c>
      <c r="L339" s="132">
        <f t="shared" si="52"/>
        <v>0</v>
      </c>
      <c r="M339" s="132">
        <v>0</v>
      </c>
      <c r="N339" s="132">
        <v>0</v>
      </c>
      <c r="O339" s="132">
        <v>0</v>
      </c>
      <c r="P339" s="132">
        <f t="shared" si="53"/>
        <v>0</v>
      </c>
      <c r="Q339" s="171">
        <v>0</v>
      </c>
      <c r="R339" s="171">
        <v>0</v>
      </c>
      <c r="S339" s="171">
        <v>0</v>
      </c>
      <c r="T339" s="171">
        <v>0</v>
      </c>
      <c r="U339" s="171">
        <f t="shared" si="54"/>
        <v>0</v>
      </c>
      <c r="V339" s="171">
        <f t="shared" si="55"/>
        <v>184354.3</v>
      </c>
      <c r="W339" s="132">
        <v>0</v>
      </c>
      <c r="X339" s="132">
        <f t="shared" si="56"/>
        <v>184354.3</v>
      </c>
      <c r="Y339" s="171">
        <v>0</v>
      </c>
      <c r="Z339" s="132">
        <f t="shared" si="57"/>
        <v>184354.3</v>
      </c>
    </row>
    <row r="340" spans="1:26" ht="12.75" hidden="1" outlineLevel="1">
      <c r="A340" s="132" t="s">
        <v>2583</v>
      </c>
      <c r="C340" s="171" t="s">
        <v>2584</v>
      </c>
      <c r="D340" s="171" t="s">
        <v>2585</v>
      </c>
      <c r="E340" s="132">
        <v>0</v>
      </c>
      <c r="F340" s="132">
        <v>80361.04</v>
      </c>
      <c r="G340" s="171">
        <f t="shared" si="51"/>
        <v>80361.04</v>
      </c>
      <c r="H340" s="132">
        <v>0</v>
      </c>
      <c r="I340" s="132">
        <v>0</v>
      </c>
      <c r="J340" s="132">
        <v>0</v>
      </c>
      <c r="K340" s="132">
        <v>0</v>
      </c>
      <c r="L340" s="132">
        <f t="shared" si="52"/>
        <v>0</v>
      </c>
      <c r="M340" s="132">
        <v>0</v>
      </c>
      <c r="N340" s="132">
        <v>0</v>
      </c>
      <c r="O340" s="132">
        <v>0</v>
      </c>
      <c r="P340" s="132">
        <f t="shared" si="53"/>
        <v>0</v>
      </c>
      <c r="Q340" s="171">
        <v>0</v>
      </c>
      <c r="R340" s="171">
        <v>0</v>
      </c>
      <c r="S340" s="171">
        <v>0</v>
      </c>
      <c r="T340" s="171">
        <v>0</v>
      </c>
      <c r="U340" s="171">
        <f t="shared" si="54"/>
        <v>0</v>
      </c>
      <c r="V340" s="171">
        <f t="shared" si="55"/>
        <v>80361.04</v>
      </c>
      <c r="W340" s="132">
        <v>0</v>
      </c>
      <c r="X340" s="132">
        <f t="shared" si="56"/>
        <v>80361.04</v>
      </c>
      <c r="Y340" s="171">
        <v>0</v>
      </c>
      <c r="Z340" s="132">
        <f t="shared" si="57"/>
        <v>80361.04</v>
      </c>
    </row>
    <row r="341" spans="1:26" ht="12.75" hidden="1" outlineLevel="1">
      <c r="A341" s="132" t="s">
        <v>2975</v>
      </c>
      <c r="C341" s="171" t="s">
        <v>2976</v>
      </c>
      <c r="D341" s="171" t="s">
        <v>2977</v>
      </c>
      <c r="E341" s="132">
        <v>0</v>
      </c>
      <c r="F341" s="132">
        <v>0</v>
      </c>
      <c r="G341" s="171">
        <f t="shared" si="51"/>
        <v>0</v>
      </c>
      <c r="H341" s="132">
        <v>37603.65</v>
      </c>
      <c r="I341" s="132">
        <v>0</v>
      </c>
      <c r="J341" s="132">
        <v>0</v>
      </c>
      <c r="K341" s="132">
        <v>0</v>
      </c>
      <c r="L341" s="132">
        <f t="shared" si="52"/>
        <v>0</v>
      </c>
      <c r="M341" s="132">
        <v>0</v>
      </c>
      <c r="N341" s="132">
        <v>0</v>
      </c>
      <c r="O341" s="132">
        <v>0</v>
      </c>
      <c r="P341" s="132">
        <f t="shared" si="53"/>
        <v>0</v>
      </c>
      <c r="Q341" s="171">
        <v>0</v>
      </c>
      <c r="R341" s="171">
        <v>0</v>
      </c>
      <c r="S341" s="171">
        <v>0</v>
      </c>
      <c r="T341" s="171">
        <v>0</v>
      </c>
      <c r="U341" s="171">
        <f t="shared" si="54"/>
        <v>0</v>
      </c>
      <c r="V341" s="171">
        <f t="shared" si="55"/>
        <v>37603.65</v>
      </c>
      <c r="W341" s="132">
        <v>0</v>
      </c>
      <c r="X341" s="132">
        <f t="shared" si="56"/>
        <v>37603.65</v>
      </c>
      <c r="Y341" s="171">
        <v>0</v>
      </c>
      <c r="Z341" s="132">
        <f t="shared" si="57"/>
        <v>37603.65</v>
      </c>
    </row>
    <row r="342" spans="1:26" ht="12.75" hidden="1" outlineLevel="1">
      <c r="A342" s="132" t="s">
        <v>2586</v>
      </c>
      <c r="C342" s="171" t="s">
        <v>2587</v>
      </c>
      <c r="D342" s="171" t="s">
        <v>2588</v>
      </c>
      <c r="E342" s="132">
        <v>0</v>
      </c>
      <c r="F342" s="132">
        <v>2062871.87</v>
      </c>
      <c r="G342" s="171">
        <f t="shared" si="51"/>
        <v>2062871.87</v>
      </c>
      <c r="H342" s="132">
        <v>179283.65</v>
      </c>
      <c r="I342" s="132">
        <v>0</v>
      </c>
      <c r="J342" s="132">
        <v>0</v>
      </c>
      <c r="K342" s="132">
        <v>0</v>
      </c>
      <c r="L342" s="132">
        <f t="shared" si="52"/>
        <v>0</v>
      </c>
      <c r="M342" s="132">
        <v>0</v>
      </c>
      <c r="N342" s="132">
        <v>0</v>
      </c>
      <c r="O342" s="132">
        <v>0</v>
      </c>
      <c r="P342" s="132">
        <f t="shared" si="53"/>
        <v>0</v>
      </c>
      <c r="Q342" s="171">
        <v>0</v>
      </c>
      <c r="R342" s="171">
        <v>0</v>
      </c>
      <c r="S342" s="171">
        <v>0</v>
      </c>
      <c r="T342" s="171">
        <v>0</v>
      </c>
      <c r="U342" s="171">
        <f t="shared" si="54"/>
        <v>0</v>
      </c>
      <c r="V342" s="171">
        <f t="shared" si="55"/>
        <v>2242155.52</v>
      </c>
      <c r="W342" s="132">
        <v>0</v>
      </c>
      <c r="X342" s="132">
        <f t="shared" si="56"/>
        <v>2242155.52</v>
      </c>
      <c r="Y342" s="171">
        <v>0</v>
      </c>
      <c r="Z342" s="132">
        <f t="shared" si="57"/>
        <v>2242155.52</v>
      </c>
    </row>
    <row r="343" spans="1:26" ht="12.75" hidden="1" outlineLevel="1">
      <c r="A343" s="132" t="s">
        <v>2978</v>
      </c>
      <c r="C343" s="171" t="s">
        <v>2979</v>
      </c>
      <c r="D343" s="171" t="s">
        <v>2980</v>
      </c>
      <c r="E343" s="132">
        <v>0</v>
      </c>
      <c r="F343" s="132">
        <v>0</v>
      </c>
      <c r="G343" s="171">
        <f t="shared" si="51"/>
        <v>0</v>
      </c>
      <c r="H343" s="132">
        <v>0</v>
      </c>
      <c r="I343" s="132">
        <v>0</v>
      </c>
      <c r="J343" s="132">
        <v>0</v>
      </c>
      <c r="K343" s="132">
        <v>0</v>
      </c>
      <c r="L343" s="132">
        <f t="shared" si="52"/>
        <v>0</v>
      </c>
      <c r="M343" s="132">
        <v>0</v>
      </c>
      <c r="N343" s="132">
        <v>0</v>
      </c>
      <c r="O343" s="132">
        <v>0</v>
      </c>
      <c r="P343" s="132">
        <f t="shared" si="53"/>
        <v>0</v>
      </c>
      <c r="Q343" s="171">
        <v>14595.45</v>
      </c>
      <c r="R343" s="171">
        <v>0</v>
      </c>
      <c r="S343" s="171">
        <v>0</v>
      </c>
      <c r="T343" s="171">
        <v>0</v>
      </c>
      <c r="U343" s="171">
        <f t="shared" si="54"/>
        <v>14595.45</v>
      </c>
      <c r="V343" s="171">
        <f t="shared" si="55"/>
        <v>14595.45</v>
      </c>
      <c r="W343" s="132">
        <v>0</v>
      </c>
      <c r="X343" s="132">
        <f t="shared" si="56"/>
        <v>14595.45</v>
      </c>
      <c r="Y343" s="171">
        <v>0</v>
      </c>
      <c r="Z343" s="132">
        <f t="shared" si="57"/>
        <v>14595.45</v>
      </c>
    </row>
    <row r="344" spans="1:26" ht="12.75" hidden="1" outlineLevel="1">
      <c r="A344" s="132" t="s">
        <v>2589</v>
      </c>
      <c r="C344" s="171" t="s">
        <v>2590</v>
      </c>
      <c r="D344" s="171" t="s">
        <v>0</v>
      </c>
      <c r="E344" s="132">
        <v>0</v>
      </c>
      <c r="F344" s="132">
        <v>491348.05</v>
      </c>
      <c r="G344" s="171">
        <f t="shared" si="51"/>
        <v>491348.05</v>
      </c>
      <c r="H344" s="132">
        <v>-235061.9</v>
      </c>
      <c r="I344" s="132">
        <v>0</v>
      </c>
      <c r="J344" s="132">
        <v>0</v>
      </c>
      <c r="K344" s="132">
        <v>0</v>
      </c>
      <c r="L344" s="132">
        <f t="shared" si="52"/>
        <v>0</v>
      </c>
      <c r="M344" s="132">
        <v>0</v>
      </c>
      <c r="N344" s="132">
        <v>0</v>
      </c>
      <c r="O344" s="132">
        <v>0</v>
      </c>
      <c r="P344" s="132">
        <f t="shared" si="53"/>
        <v>0</v>
      </c>
      <c r="Q344" s="171">
        <v>2034788.82</v>
      </c>
      <c r="R344" s="171">
        <v>487731.48</v>
      </c>
      <c r="S344" s="171">
        <v>0</v>
      </c>
      <c r="T344" s="171">
        <v>0</v>
      </c>
      <c r="U344" s="171">
        <f t="shared" si="54"/>
        <v>2522520.3</v>
      </c>
      <c r="V344" s="171">
        <f t="shared" si="55"/>
        <v>2778806.4499999997</v>
      </c>
      <c r="W344" s="132">
        <v>0</v>
      </c>
      <c r="X344" s="132">
        <f t="shared" si="56"/>
        <v>2778806.4499999997</v>
      </c>
      <c r="Y344" s="171">
        <v>0</v>
      </c>
      <c r="Z344" s="132">
        <f t="shared" si="57"/>
        <v>2778806.4499999997</v>
      </c>
    </row>
    <row r="345" spans="1:26" ht="12.75" hidden="1" outlineLevel="1">
      <c r="A345" s="132" t="s">
        <v>1</v>
      </c>
      <c r="C345" s="171" t="s">
        <v>2</v>
      </c>
      <c r="D345" s="171" t="s">
        <v>3</v>
      </c>
      <c r="E345" s="132">
        <v>0</v>
      </c>
      <c r="F345" s="132">
        <v>3577117.11</v>
      </c>
      <c r="G345" s="171">
        <f t="shared" si="51"/>
        <v>3577117.11</v>
      </c>
      <c r="H345" s="132">
        <v>0</v>
      </c>
      <c r="I345" s="132">
        <v>0</v>
      </c>
      <c r="J345" s="132">
        <v>0</v>
      </c>
      <c r="K345" s="132">
        <v>0</v>
      </c>
      <c r="L345" s="132">
        <f t="shared" si="52"/>
        <v>0</v>
      </c>
      <c r="M345" s="132">
        <v>0</v>
      </c>
      <c r="N345" s="132">
        <v>0</v>
      </c>
      <c r="O345" s="132">
        <v>0</v>
      </c>
      <c r="P345" s="132">
        <f t="shared" si="53"/>
        <v>0</v>
      </c>
      <c r="Q345" s="171">
        <v>2795</v>
      </c>
      <c r="R345" s="171">
        <v>0</v>
      </c>
      <c r="S345" s="171">
        <v>0</v>
      </c>
      <c r="T345" s="171">
        <v>0</v>
      </c>
      <c r="U345" s="171">
        <f t="shared" si="54"/>
        <v>2795</v>
      </c>
      <c r="V345" s="171">
        <f t="shared" si="55"/>
        <v>3579912.11</v>
      </c>
      <c r="W345" s="132">
        <v>0</v>
      </c>
      <c r="X345" s="132">
        <f t="shared" si="56"/>
        <v>3579912.11</v>
      </c>
      <c r="Y345" s="171">
        <v>0</v>
      </c>
      <c r="Z345" s="132">
        <f t="shared" si="57"/>
        <v>3579912.11</v>
      </c>
    </row>
    <row r="346" spans="1:26" ht="12.75" hidden="1" outlineLevel="1">
      <c r="A346" s="132" t="s">
        <v>4</v>
      </c>
      <c r="C346" s="171" t="s">
        <v>5</v>
      </c>
      <c r="D346" s="171" t="s">
        <v>6</v>
      </c>
      <c r="E346" s="132">
        <v>0</v>
      </c>
      <c r="F346" s="132">
        <v>272171.63</v>
      </c>
      <c r="G346" s="171">
        <f t="shared" si="51"/>
        <v>272171.63</v>
      </c>
      <c r="H346" s="132">
        <v>0</v>
      </c>
      <c r="I346" s="132">
        <v>0</v>
      </c>
      <c r="J346" s="132">
        <v>0</v>
      </c>
      <c r="K346" s="132">
        <v>0</v>
      </c>
      <c r="L346" s="132">
        <f t="shared" si="52"/>
        <v>0</v>
      </c>
      <c r="M346" s="132">
        <v>0</v>
      </c>
      <c r="N346" s="132">
        <v>0</v>
      </c>
      <c r="O346" s="132">
        <v>0</v>
      </c>
      <c r="P346" s="132">
        <f t="shared" si="53"/>
        <v>0</v>
      </c>
      <c r="Q346" s="171">
        <v>0</v>
      </c>
      <c r="R346" s="171">
        <v>0</v>
      </c>
      <c r="S346" s="171">
        <v>0</v>
      </c>
      <c r="T346" s="171">
        <v>0</v>
      </c>
      <c r="U346" s="171">
        <f t="shared" si="54"/>
        <v>0</v>
      </c>
      <c r="V346" s="171">
        <f t="shared" si="55"/>
        <v>272171.63</v>
      </c>
      <c r="W346" s="132">
        <v>0</v>
      </c>
      <c r="X346" s="132">
        <f t="shared" si="56"/>
        <v>272171.63</v>
      </c>
      <c r="Y346" s="171">
        <v>0</v>
      </c>
      <c r="Z346" s="132">
        <f t="shared" si="57"/>
        <v>272171.63</v>
      </c>
    </row>
    <row r="347" spans="1:26" ht="12.75" hidden="1" outlineLevel="1">
      <c r="A347" s="132" t="s">
        <v>2981</v>
      </c>
      <c r="C347" s="171" t="s">
        <v>2982</v>
      </c>
      <c r="D347" s="171" t="s">
        <v>2983</v>
      </c>
      <c r="E347" s="132">
        <v>0</v>
      </c>
      <c r="F347" s="132">
        <v>0</v>
      </c>
      <c r="G347" s="171">
        <f t="shared" si="51"/>
        <v>0</v>
      </c>
      <c r="H347" s="132">
        <v>0</v>
      </c>
      <c r="I347" s="132">
        <v>0</v>
      </c>
      <c r="J347" s="132">
        <v>0</v>
      </c>
      <c r="K347" s="132">
        <v>0</v>
      </c>
      <c r="L347" s="132">
        <f t="shared" si="52"/>
        <v>0</v>
      </c>
      <c r="M347" s="132">
        <v>0</v>
      </c>
      <c r="N347" s="132">
        <v>0</v>
      </c>
      <c r="O347" s="132">
        <v>0</v>
      </c>
      <c r="P347" s="132">
        <f t="shared" si="53"/>
        <v>0</v>
      </c>
      <c r="Q347" s="171">
        <v>125000</v>
      </c>
      <c r="R347" s="171">
        <v>0</v>
      </c>
      <c r="S347" s="171">
        <v>0</v>
      </c>
      <c r="T347" s="171">
        <v>0</v>
      </c>
      <c r="U347" s="171">
        <f t="shared" si="54"/>
        <v>125000</v>
      </c>
      <c r="V347" s="171">
        <f t="shared" si="55"/>
        <v>125000</v>
      </c>
      <c r="W347" s="132">
        <v>0</v>
      </c>
      <c r="X347" s="132">
        <f t="shared" si="56"/>
        <v>125000</v>
      </c>
      <c r="Y347" s="171">
        <v>0</v>
      </c>
      <c r="Z347" s="132">
        <f t="shared" si="57"/>
        <v>125000</v>
      </c>
    </row>
    <row r="348" spans="1:26" ht="12.75" hidden="1" outlineLevel="1">
      <c r="A348" s="132" t="s">
        <v>2984</v>
      </c>
      <c r="C348" s="171" t="s">
        <v>2985</v>
      </c>
      <c r="D348" s="171" t="s">
        <v>2986</v>
      </c>
      <c r="E348" s="132">
        <v>0</v>
      </c>
      <c r="F348" s="132">
        <v>0</v>
      </c>
      <c r="G348" s="171">
        <f t="shared" si="51"/>
        <v>0</v>
      </c>
      <c r="H348" s="132">
        <v>0</v>
      </c>
      <c r="I348" s="132">
        <v>0</v>
      </c>
      <c r="J348" s="132">
        <v>0</v>
      </c>
      <c r="K348" s="132">
        <v>0</v>
      </c>
      <c r="L348" s="132">
        <f t="shared" si="52"/>
        <v>0</v>
      </c>
      <c r="M348" s="132">
        <v>0</v>
      </c>
      <c r="N348" s="132">
        <v>0</v>
      </c>
      <c r="O348" s="132">
        <v>0</v>
      </c>
      <c r="P348" s="132">
        <f t="shared" si="53"/>
        <v>0</v>
      </c>
      <c r="Q348" s="171">
        <v>13499938.61</v>
      </c>
      <c r="R348" s="171">
        <v>7829047.25</v>
      </c>
      <c r="S348" s="171">
        <v>0</v>
      </c>
      <c r="T348" s="171">
        <v>0</v>
      </c>
      <c r="U348" s="171">
        <f t="shared" si="54"/>
        <v>21328985.86</v>
      </c>
      <c r="V348" s="171">
        <f t="shared" si="55"/>
        <v>21328985.86</v>
      </c>
      <c r="W348" s="132">
        <v>0</v>
      </c>
      <c r="X348" s="132">
        <f t="shared" si="56"/>
        <v>21328985.86</v>
      </c>
      <c r="Y348" s="171">
        <v>0</v>
      </c>
      <c r="Z348" s="132">
        <f t="shared" si="57"/>
        <v>21328985.86</v>
      </c>
    </row>
    <row r="349" spans="1:26" ht="12.75" hidden="1" outlineLevel="1">
      <c r="A349" s="132" t="s">
        <v>2987</v>
      </c>
      <c r="C349" s="171" t="s">
        <v>2988</v>
      </c>
      <c r="D349" s="171" t="s">
        <v>2989</v>
      </c>
      <c r="E349" s="132">
        <v>0</v>
      </c>
      <c r="F349" s="132">
        <v>0</v>
      </c>
      <c r="G349" s="171">
        <f t="shared" si="51"/>
        <v>0</v>
      </c>
      <c r="H349" s="132">
        <v>0</v>
      </c>
      <c r="I349" s="132">
        <v>0</v>
      </c>
      <c r="J349" s="132">
        <v>0</v>
      </c>
      <c r="K349" s="132">
        <v>0</v>
      </c>
      <c r="L349" s="132">
        <f t="shared" si="52"/>
        <v>0</v>
      </c>
      <c r="M349" s="132">
        <v>0</v>
      </c>
      <c r="N349" s="132">
        <v>0</v>
      </c>
      <c r="O349" s="132">
        <v>0</v>
      </c>
      <c r="P349" s="132">
        <f t="shared" si="53"/>
        <v>0</v>
      </c>
      <c r="Q349" s="171">
        <v>-1147280</v>
      </c>
      <c r="R349" s="171">
        <v>14505591.3</v>
      </c>
      <c r="S349" s="171">
        <v>0</v>
      </c>
      <c r="T349" s="171">
        <v>0</v>
      </c>
      <c r="U349" s="171">
        <f t="shared" si="54"/>
        <v>13358311.3</v>
      </c>
      <c r="V349" s="171">
        <f t="shared" si="55"/>
        <v>13358311.3</v>
      </c>
      <c r="W349" s="132">
        <v>0</v>
      </c>
      <c r="X349" s="132">
        <f t="shared" si="56"/>
        <v>13358311.3</v>
      </c>
      <c r="Y349" s="171">
        <v>0</v>
      </c>
      <c r="Z349" s="132">
        <f t="shared" si="57"/>
        <v>13358311.3</v>
      </c>
    </row>
    <row r="350" spans="1:26" ht="12.75" hidden="1" outlineLevel="1">
      <c r="A350" s="132" t="s">
        <v>7</v>
      </c>
      <c r="C350" s="171" t="s">
        <v>8</v>
      </c>
      <c r="D350" s="171" t="s">
        <v>9</v>
      </c>
      <c r="E350" s="132">
        <v>0</v>
      </c>
      <c r="F350" s="132">
        <v>5010</v>
      </c>
      <c r="G350" s="171">
        <f t="shared" si="51"/>
        <v>5010</v>
      </c>
      <c r="H350" s="132">
        <v>0</v>
      </c>
      <c r="I350" s="132">
        <v>0</v>
      </c>
      <c r="J350" s="132">
        <v>0</v>
      </c>
      <c r="K350" s="132">
        <v>0</v>
      </c>
      <c r="L350" s="132">
        <f t="shared" si="52"/>
        <v>0</v>
      </c>
      <c r="M350" s="132">
        <v>0</v>
      </c>
      <c r="N350" s="132">
        <v>0</v>
      </c>
      <c r="O350" s="132">
        <v>0</v>
      </c>
      <c r="P350" s="132">
        <f t="shared" si="53"/>
        <v>0</v>
      </c>
      <c r="Q350" s="171">
        <v>0</v>
      </c>
      <c r="R350" s="171">
        <v>0</v>
      </c>
      <c r="S350" s="171">
        <v>0</v>
      </c>
      <c r="T350" s="171">
        <v>0</v>
      </c>
      <c r="U350" s="171">
        <f t="shared" si="54"/>
        <v>0</v>
      </c>
      <c r="V350" s="171">
        <f t="shared" si="55"/>
        <v>5010</v>
      </c>
      <c r="W350" s="132">
        <v>0</v>
      </c>
      <c r="X350" s="132">
        <f t="shared" si="56"/>
        <v>5010</v>
      </c>
      <c r="Y350" s="171">
        <v>0</v>
      </c>
      <c r="Z350" s="132">
        <f t="shared" si="57"/>
        <v>5010</v>
      </c>
    </row>
    <row r="351" spans="1:27" ht="12.75" collapsed="1">
      <c r="A351" s="150" t="s">
        <v>10</v>
      </c>
      <c r="B351" s="148"/>
      <c r="C351" s="150" t="s">
        <v>11</v>
      </c>
      <c r="D351" s="157"/>
      <c r="E351" s="155">
        <v>0</v>
      </c>
      <c r="F351" s="155">
        <v>8667171.360000001</v>
      </c>
      <c r="G351" s="117">
        <f t="shared" si="51"/>
        <v>8667171.360000001</v>
      </c>
      <c r="H351" s="117">
        <v>430366.03</v>
      </c>
      <c r="I351" s="117">
        <v>0</v>
      </c>
      <c r="J351" s="117">
        <v>0</v>
      </c>
      <c r="K351" s="117">
        <v>0</v>
      </c>
      <c r="L351" s="117">
        <f t="shared" si="52"/>
        <v>0</v>
      </c>
      <c r="M351" s="117">
        <v>0</v>
      </c>
      <c r="N351" s="117">
        <v>0</v>
      </c>
      <c r="O351" s="117">
        <v>0</v>
      </c>
      <c r="P351" s="117">
        <f t="shared" si="53"/>
        <v>0</v>
      </c>
      <c r="Q351" s="117">
        <v>14565405.64</v>
      </c>
      <c r="R351" s="117">
        <v>23580900.79</v>
      </c>
      <c r="S351" s="117">
        <v>0</v>
      </c>
      <c r="T351" s="117">
        <v>-47137539.010000005</v>
      </c>
      <c r="U351" s="117">
        <f t="shared" si="54"/>
        <v>-8991232.580000006</v>
      </c>
      <c r="V351" s="117">
        <f t="shared" si="55"/>
        <v>106304.80999999493</v>
      </c>
      <c r="W351" s="117">
        <v>0</v>
      </c>
      <c r="X351" s="117">
        <f t="shared" si="56"/>
        <v>106304.80999999493</v>
      </c>
      <c r="Y351" s="117">
        <v>17640</v>
      </c>
      <c r="Z351" s="117">
        <f t="shared" si="57"/>
        <v>123944.80999999493</v>
      </c>
      <c r="AA351" s="150"/>
    </row>
    <row r="352" spans="1:26" ht="12.75" hidden="1" outlineLevel="1">
      <c r="A352" s="132" t="s">
        <v>2990</v>
      </c>
      <c r="C352" s="171" t="s">
        <v>2991</v>
      </c>
      <c r="D352" s="171" t="s">
        <v>2992</v>
      </c>
      <c r="E352" s="132">
        <v>0</v>
      </c>
      <c r="F352" s="132">
        <v>0</v>
      </c>
      <c r="G352" s="171">
        <f t="shared" si="51"/>
        <v>0</v>
      </c>
      <c r="H352" s="132">
        <v>0</v>
      </c>
      <c r="I352" s="132">
        <v>0</v>
      </c>
      <c r="J352" s="132">
        <v>0</v>
      </c>
      <c r="K352" s="132">
        <v>0</v>
      </c>
      <c r="L352" s="132">
        <f t="shared" si="52"/>
        <v>0</v>
      </c>
      <c r="M352" s="132">
        <v>0</v>
      </c>
      <c r="N352" s="132">
        <v>0</v>
      </c>
      <c r="O352" s="132">
        <v>0</v>
      </c>
      <c r="P352" s="132">
        <f t="shared" si="53"/>
        <v>0</v>
      </c>
      <c r="Q352" s="171">
        <v>0</v>
      </c>
      <c r="R352" s="171">
        <v>0</v>
      </c>
      <c r="S352" s="171">
        <v>0</v>
      </c>
      <c r="T352" s="171">
        <v>8863523.91</v>
      </c>
      <c r="U352" s="171">
        <f t="shared" si="54"/>
        <v>8863523.91</v>
      </c>
      <c r="V352" s="171">
        <f t="shared" si="55"/>
        <v>8863523.91</v>
      </c>
      <c r="W352" s="132">
        <v>0</v>
      </c>
      <c r="X352" s="132">
        <f t="shared" si="56"/>
        <v>8863523.91</v>
      </c>
      <c r="Y352" s="171">
        <v>0</v>
      </c>
      <c r="Z352" s="132">
        <f t="shared" si="57"/>
        <v>8863523.91</v>
      </c>
    </row>
    <row r="353" spans="1:26" ht="12.75" hidden="1" outlineLevel="1">
      <c r="A353" s="132" t="s">
        <v>2993</v>
      </c>
      <c r="C353" s="171" t="s">
        <v>2994</v>
      </c>
      <c r="D353" s="171" t="s">
        <v>2995</v>
      </c>
      <c r="E353" s="132">
        <v>0</v>
      </c>
      <c r="F353" s="132">
        <v>0</v>
      </c>
      <c r="G353" s="171">
        <f t="shared" si="51"/>
        <v>0</v>
      </c>
      <c r="H353" s="132">
        <v>0</v>
      </c>
      <c r="I353" s="132">
        <v>0</v>
      </c>
      <c r="J353" s="132">
        <v>0</v>
      </c>
      <c r="K353" s="132">
        <v>0</v>
      </c>
      <c r="L353" s="132">
        <f t="shared" si="52"/>
        <v>0</v>
      </c>
      <c r="M353" s="132">
        <v>0</v>
      </c>
      <c r="N353" s="132">
        <v>0</v>
      </c>
      <c r="O353" s="132">
        <v>0</v>
      </c>
      <c r="P353" s="132">
        <f t="shared" si="53"/>
        <v>0</v>
      </c>
      <c r="Q353" s="171">
        <v>0</v>
      </c>
      <c r="R353" s="171">
        <v>0</v>
      </c>
      <c r="S353" s="171">
        <v>0</v>
      </c>
      <c r="T353" s="171">
        <v>2653686.64</v>
      </c>
      <c r="U353" s="171">
        <f t="shared" si="54"/>
        <v>2653686.64</v>
      </c>
      <c r="V353" s="171">
        <f t="shared" si="55"/>
        <v>2653686.64</v>
      </c>
      <c r="W353" s="132">
        <v>0</v>
      </c>
      <c r="X353" s="132">
        <f t="shared" si="56"/>
        <v>2653686.64</v>
      </c>
      <c r="Y353" s="171">
        <v>0</v>
      </c>
      <c r="Z353" s="132">
        <f t="shared" si="57"/>
        <v>2653686.64</v>
      </c>
    </row>
    <row r="354" spans="1:26" ht="12.75" hidden="1" outlineLevel="1">
      <c r="A354" s="132" t="s">
        <v>2996</v>
      </c>
      <c r="C354" s="171" t="s">
        <v>2997</v>
      </c>
      <c r="D354" s="171" t="s">
        <v>2998</v>
      </c>
      <c r="E354" s="132">
        <v>0</v>
      </c>
      <c r="F354" s="132">
        <v>0</v>
      </c>
      <c r="G354" s="171">
        <f t="shared" si="51"/>
        <v>0</v>
      </c>
      <c r="H354" s="132">
        <v>0</v>
      </c>
      <c r="I354" s="132">
        <v>0</v>
      </c>
      <c r="J354" s="132">
        <v>0</v>
      </c>
      <c r="K354" s="132">
        <v>0</v>
      </c>
      <c r="L354" s="132">
        <f t="shared" si="52"/>
        <v>0</v>
      </c>
      <c r="M354" s="132">
        <v>0</v>
      </c>
      <c r="N354" s="132">
        <v>0</v>
      </c>
      <c r="O354" s="132">
        <v>0</v>
      </c>
      <c r="P354" s="132">
        <f t="shared" si="53"/>
        <v>0</v>
      </c>
      <c r="Q354" s="171">
        <v>0</v>
      </c>
      <c r="R354" s="171">
        <v>0</v>
      </c>
      <c r="S354" s="171">
        <v>0</v>
      </c>
      <c r="T354" s="171">
        <v>997815.88</v>
      </c>
      <c r="U354" s="171">
        <f t="shared" si="54"/>
        <v>997815.88</v>
      </c>
      <c r="V354" s="171">
        <f t="shared" si="55"/>
        <v>997815.88</v>
      </c>
      <c r="W354" s="132">
        <v>0</v>
      </c>
      <c r="X354" s="132">
        <f t="shared" si="56"/>
        <v>997815.88</v>
      </c>
      <c r="Y354" s="171">
        <v>0</v>
      </c>
      <c r="Z354" s="132">
        <f t="shared" si="57"/>
        <v>997815.88</v>
      </c>
    </row>
    <row r="355" spans="1:26" ht="12.75" hidden="1" outlineLevel="1">
      <c r="A355" s="132" t="s">
        <v>2999</v>
      </c>
      <c r="C355" s="171" t="s">
        <v>3000</v>
      </c>
      <c r="D355" s="171" t="s">
        <v>3001</v>
      </c>
      <c r="E355" s="132">
        <v>0</v>
      </c>
      <c r="F355" s="132">
        <v>0</v>
      </c>
      <c r="G355" s="171">
        <f t="shared" si="51"/>
        <v>0</v>
      </c>
      <c r="H355" s="132">
        <v>0</v>
      </c>
      <c r="I355" s="132">
        <v>0</v>
      </c>
      <c r="J355" s="132">
        <v>0</v>
      </c>
      <c r="K355" s="132">
        <v>0</v>
      </c>
      <c r="L355" s="132">
        <f t="shared" si="52"/>
        <v>0</v>
      </c>
      <c r="M355" s="132">
        <v>0</v>
      </c>
      <c r="N355" s="132">
        <v>0</v>
      </c>
      <c r="O355" s="132">
        <v>0</v>
      </c>
      <c r="P355" s="132">
        <f t="shared" si="53"/>
        <v>0</v>
      </c>
      <c r="Q355" s="171">
        <v>0</v>
      </c>
      <c r="R355" s="171">
        <v>0</v>
      </c>
      <c r="S355" s="171">
        <v>0</v>
      </c>
      <c r="T355" s="171">
        <v>1218418.34</v>
      </c>
      <c r="U355" s="171">
        <f t="shared" si="54"/>
        <v>1218418.34</v>
      </c>
      <c r="V355" s="171">
        <f t="shared" si="55"/>
        <v>1218418.34</v>
      </c>
      <c r="W355" s="132">
        <v>0</v>
      </c>
      <c r="X355" s="132">
        <f t="shared" si="56"/>
        <v>1218418.34</v>
      </c>
      <c r="Y355" s="171">
        <v>0</v>
      </c>
      <c r="Z355" s="132">
        <f t="shared" si="57"/>
        <v>1218418.34</v>
      </c>
    </row>
    <row r="356" spans="1:27" ht="12.75" collapsed="1">
      <c r="A356" s="150" t="s">
        <v>12</v>
      </c>
      <c r="B356" s="148"/>
      <c r="C356" s="150" t="s">
        <v>13</v>
      </c>
      <c r="D356" s="157"/>
      <c r="E356" s="155">
        <v>0</v>
      </c>
      <c r="F356" s="155">
        <v>0</v>
      </c>
      <c r="G356" s="117">
        <f t="shared" si="51"/>
        <v>0</v>
      </c>
      <c r="H356" s="117">
        <v>0</v>
      </c>
      <c r="I356" s="117">
        <v>0</v>
      </c>
      <c r="J356" s="117">
        <v>0</v>
      </c>
      <c r="K356" s="117">
        <v>0</v>
      </c>
      <c r="L356" s="117">
        <f t="shared" si="52"/>
        <v>0</v>
      </c>
      <c r="M356" s="117">
        <v>0</v>
      </c>
      <c r="N356" s="117">
        <v>0</v>
      </c>
      <c r="O356" s="117">
        <v>0</v>
      </c>
      <c r="P356" s="117">
        <f t="shared" si="53"/>
        <v>0</v>
      </c>
      <c r="Q356" s="117">
        <v>0</v>
      </c>
      <c r="R356" s="117">
        <v>0</v>
      </c>
      <c r="S356" s="117">
        <v>0</v>
      </c>
      <c r="T356" s="117">
        <v>13733444.770000001</v>
      </c>
      <c r="U356" s="117">
        <f t="shared" si="54"/>
        <v>13733444.770000001</v>
      </c>
      <c r="V356" s="117">
        <f t="shared" si="55"/>
        <v>13733444.770000001</v>
      </c>
      <c r="W356" s="117">
        <v>0</v>
      </c>
      <c r="X356" s="117">
        <f t="shared" si="56"/>
        <v>13733444.770000001</v>
      </c>
      <c r="Y356" s="117">
        <v>0</v>
      </c>
      <c r="Z356" s="117">
        <f t="shared" si="57"/>
        <v>13733444.770000001</v>
      </c>
      <c r="AA356" s="150"/>
    </row>
    <row r="357" spans="1:27" ht="15.75">
      <c r="A357" s="166"/>
      <c r="B357" s="160"/>
      <c r="C357" s="154" t="s">
        <v>14</v>
      </c>
      <c r="D357" s="62"/>
      <c r="E357" s="208">
        <f aca="true" t="shared" si="58" ref="E357:Z357">E88+E106+E325+E327+E356+E351</f>
        <v>692.3580000000002</v>
      </c>
      <c r="F357" s="208">
        <f t="shared" si="58"/>
        <v>230416221.9279999</v>
      </c>
      <c r="G357" s="101">
        <f t="shared" si="58"/>
        <v>230416914.2859999</v>
      </c>
      <c r="H357" s="101">
        <f t="shared" si="58"/>
        <v>41300771.75400001</v>
      </c>
      <c r="I357" s="101">
        <f t="shared" si="58"/>
        <v>13457.23</v>
      </c>
      <c r="J357" s="101">
        <f t="shared" si="58"/>
        <v>0</v>
      </c>
      <c r="K357" s="101">
        <f t="shared" si="58"/>
        <v>-14380.16</v>
      </c>
      <c r="L357" s="101">
        <f t="shared" si="58"/>
        <v>-922.9300000000003</v>
      </c>
      <c r="M357" s="101">
        <f t="shared" si="58"/>
        <v>0</v>
      </c>
      <c r="N357" s="101">
        <f t="shared" si="58"/>
        <v>32044.47</v>
      </c>
      <c r="O357" s="101">
        <f t="shared" si="58"/>
        <v>2521.02</v>
      </c>
      <c r="P357" s="101">
        <f t="shared" si="58"/>
        <v>34565.49</v>
      </c>
      <c r="Q357" s="101">
        <f t="shared" si="58"/>
        <v>15738673.350000001</v>
      </c>
      <c r="R357" s="101">
        <f t="shared" si="58"/>
        <v>10817901.24</v>
      </c>
      <c r="S357" s="101">
        <f t="shared" si="58"/>
        <v>0</v>
      </c>
      <c r="T357" s="101">
        <f t="shared" si="58"/>
        <v>-20284567.330000006</v>
      </c>
      <c r="U357" s="101">
        <f t="shared" si="58"/>
        <v>6272007.259999996</v>
      </c>
      <c r="V357" s="101">
        <f t="shared" si="58"/>
        <v>278023335.8599999</v>
      </c>
      <c r="W357" s="101">
        <f t="shared" si="58"/>
        <v>0</v>
      </c>
      <c r="X357" s="101">
        <f t="shared" si="58"/>
        <v>278023335.8599999</v>
      </c>
      <c r="Y357" s="101">
        <f t="shared" si="58"/>
        <v>4236496.54</v>
      </c>
      <c r="Z357" s="101">
        <f t="shared" si="58"/>
        <v>282259832.3999999</v>
      </c>
      <c r="AA357" s="167"/>
    </row>
    <row r="358" spans="2:26" ht="12.75">
      <c r="B358" s="160"/>
      <c r="C358" s="161"/>
      <c r="D358" s="72"/>
      <c r="E358" s="155"/>
      <c r="F358" s="155"/>
      <c r="G358" s="117"/>
      <c r="H358" s="117"/>
      <c r="I358" s="117"/>
      <c r="J358" s="117"/>
      <c r="K358" s="117"/>
      <c r="L358" s="117"/>
      <c r="M358" s="117"/>
      <c r="N358" s="117"/>
      <c r="O358" s="117"/>
      <c r="P358" s="117"/>
      <c r="Q358" s="117"/>
      <c r="R358" s="117"/>
      <c r="S358" s="117"/>
      <c r="T358" s="117"/>
      <c r="U358" s="117"/>
      <c r="V358" s="117"/>
      <c r="W358" s="117"/>
      <c r="X358" s="117"/>
      <c r="Y358" s="117"/>
      <c r="Z358" s="117"/>
    </row>
    <row r="359" spans="1:27" ht="15.75">
      <c r="A359" s="166"/>
      <c r="B359" s="160" t="s">
        <v>3767</v>
      </c>
      <c r="C359" s="161"/>
      <c r="D359" s="72"/>
      <c r="E359" s="208">
        <f aca="true" t="shared" si="59" ref="E359:Z359">E70-E357</f>
        <v>56247.972</v>
      </c>
      <c r="F359" s="208">
        <f t="shared" si="59"/>
        <v>-73222841.65799993</v>
      </c>
      <c r="G359" s="101">
        <f t="shared" si="59"/>
        <v>-73166593.6859999</v>
      </c>
      <c r="H359" s="101">
        <f t="shared" si="59"/>
        <v>-13754201.114000015</v>
      </c>
      <c r="I359" s="101">
        <f t="shared" si="59"/>
        <v>-3341.2699999999986</v>
      </c>
      <c r="J359" s="101">
        <f t="shared" si="59"/>
        <v>0</v>
      </c>
      <c r="K359" s="101">
        <f t="shared" si="59"/>
        <v>324689.49</v>
      </c>
      <c r="L359" s="101">
        <f t="shared" si="59"/>
        <v>321348.22</v>
      </c>
      <c r="M359" s="101">
        <f t="shared" si="59"/>
        <v>0</v>
      </c>
      <c r="N359" s="101">
        <f t="shared" si="59"/>
        <v>14628.54</v>
      </c>
      <c r="O359" s="101">
        <f t="shared" si="59"/>
        <v>610628.98</v>
      </c>
      <c r="P359" s="101">
        <f t="shared" si="59"/>
        <v>625257.52</v>
      </c>
      <c r="Q359" s="101">
        <f t="shared" si="59"/>
        <v>-15738673.350000001</v>
      </c>
      <c r="R359" s="101">
        <f t="shared" si="59"/>
        <v>-10706008.71</v>
      </c>
      <c r="S359" s="101">
        <f t="shared" si="59"/>
        <v>0</v>
      </c>
      <c r="T359" s="101">
        <f t="shared" si="59"/>
        <v>20284302.330000006</v>
      </c>
      <c r="U359" s="101">
        <f t="shared" si="59"/>
        <v>-6160379.729999996</v>
      </c>
      <c r="V359" s="101">
        <f t="shared" si="59"/>
        <v>-92134568.78999993</v>
      </c>
      <c r="W359" s="101">
        <f t="shared" si="59"/>
        <v>0</v>
      </c>
      <c r="X359" s="101">
        <f t="shared" si="59"/>
        <v>-92134568.78999993</v>
      </c>
      <c r="Y359" s="101">
        <f t="shared" si="59"/>
        <v>-1859588.690000006</v>
      </c>
      <c r="Z359" s="101">
        <f t="shared" si="59"/>
        <v>-93994157.47999993</v>
      </c>
      <c r="AA359" s="167"/>
    </row>
    <row r="360" spans="2:26" ht="12.75">
      <c r="B360" s="148"/>
      <c r="C360" s="150"/>
      <c r="D360" s="157"/>
      <c r="E360" s="155"/>
      <c r="F360" s="155"/>
      <c r="G360" s="117"/>
      <c r="H360" s="117"/>
      <c r="I360" s="117"/>
      <c r="J360" s="117"/>
      <c r="K360" s="117"/>
      <c r="L360" s="117"/>
      <c r="M360" s="117"/>
      <c r="N360" s="117"/>
      <c r="O360" s="117"/>
      <c r="P360" s="117"/>
      <c r="Q360" s="117"/>
      <c r="R360" s="117"/>
      <c r="S360" s="117"/>
      <c r="T360" s="117"/>
      <c r="U360" s="117"/>
      <c r="V360" s="117"/>
      <c r="W360" s="117"/>
      <c r="X360" s="117"/>
      <c r="Y360" s="117"/>
      <c r="Z360" s="117"/>
    </row>
    <row r="361" spans="1:27" ht="12.75">
      <c r="A361" s="150" t="s">
        <v>3783</v>
      </c>
      <c r="B361" s="148"/>
      <c r="C361" s="150" t="s">
        <v>3722</v>
      </c>
      <c r="D361" s="157"/>
      <c r="E361" s="155">
        <v>0</v>
      </c>
      <c r="F361" s="155">
        <v>75526582</v>
      </c>
      <c r="G361" s="117">
        <f>E361+F361</f>
        <v>75526582</v>
      </c>
      <c r="H361" s="117">
        <v>0</v>
      </c>
      <c r="I361" s="117">
        <v>0</v>
      </c>
      <c r="J361" s="117">
        <v>0</v>
      </c>
      <c r="K361" s="117">
        <v>0</v>
      </c>
      <c r="L361" s="117">
        <f>J361+I361+K361</f>
        <v>0</v>
      </c>
      <c r="M361" s="117">
        <v>0</v>
      </c>
      <c r="N361" s="117">
        <v>0</v>
      </c>
      <c r="O361" s="117">
        <v>0</v>
      </c>
      <c r="P361" s="117">
        <f>M361+N361+O361</f>
        <v>0</v>
      </c>
      <c r="Q361" s="117">
        <v>0</v>
      </c>
      <c r="R361" s="117">
        <v>0</v>
      </c>
      <c r="S361" s="117">
        <v>0</v>
      </c>
      <c r="T361" s="117">
        <v>0</v>
      </c>
      <c r="U361" s="117">
        <f>Q361+R361+S361+T361</f>
        <v>0</v>
      </c>
      <c r="V361" s="117">
        <f>G361+H361+L361+P361+U361</f>
        <v>75526582</v>
      </c>
      <c r="W361" s="117">
        <v>0</v>
      </c>
      <c r="X361" s="117">
        <f>V361+W361</f>
        <v>75526582</v>
      </c>
      <c r="Y361" s="117">
        <v>0</v>
      </c>
      <c r="Z361" s="117">
        <f>X361+Y361</f>
        <v>75526582</v>
      </c>
      <c r="AA361" s="150"/>
    </row>
    <row r="362" spans="2:26" ht="12.75">
      <c r="B362" s="148"/>
      <c r="C362" s="150"/>
      <c r="D362" s="157"/>
      <c r="E362" s="155"/>
      <c r="F362" s="155"/>
      <c r="G362" s="117"/>
      <c r="H362" s="117"/>
      <c r="I362" s="117"/>
      <c r="J362" s="117"/>
      <c r="K362" s="117"/>
      <c r="L362" s="117"/>
      <c r="M362" s="117"/>
      <c r="N362" s="117"/>
      <c r="O362" s="117"/>
      <c r="P362" s="117"/>
      <c r="Q362" s="117"/>
      <c r="R362" s="117"/>
      <c r="S362" s="117"/>
      <c r="T362" s="117"/>
      <c r="U362" s="117"/>
      <c r="V362" s="117"/>
      <c r="W362" s="117"/>
      <c r="X362" s="117"/>
      <c r="Y362" s="117"/>
      <c r="Z362" s="117"/>
    </row>
    <row r="363" spans="1:27" ht="15">
      <c r="A363" s="167"/>
      <c r="B363" s="160" t="s">
        <v>3002</v>
      </c>
      <c r="C363" s="161"/>
      <c r="D363" s="157"/>
      <c r="E363" s="155"/>
      <c r="F363" s="155"/>
      <c r="G363" s="117"/>
      <c r="H363" s="117"/>
      <c r="I363" s="117"/>
      <c r="J363" s="117"/>
      <c r="K363" s="117"/>
      <c r="L363" s="117"/>
      <c r="M363" s="117"/>
      <c r="N363" s="117"/>
      <c r="O363" s="117"/>
      <c r="P363" s="117"/>
      <c r="Q363" s="117"/>
      <c r="R363" s="117"/>
      <c r="S363" s="117"/>
      <c r="T363" s="117"/>
      <c r="U363" s="117"/>
      <c r="V363" s="117"/>
      <c r="W363" s="117"/>
      <c r="X363" s="117"/>
      <c r="Y363" s="117"/>
      <c r="Z363" s="117"/>
      <c r="AA363" s="167"/>
    </row>
    <row r="364" spans="1:27" ht="15.75">
      <c r="A364" s="166"/>
      <c r="B364" s="160" t="s">
        <v>3003</v>
      </c>
      <c r="C364" s="161"/>
      <c r="D364" s="72"/>
      <c r="E364" s="208">
        <f aca="true" t="shared" si="60" ref="E364:Z364">E359+E361</f>
        <v>56247.972</v>
      </c>
      <c r="F364" s="208">
        <f t="shared" si="60"/>
        <v>2303740.3420000672</v>
      </c>
      <c r="G364" s="101">
        <f t="shared" si="60"/>
        <v>2359988.3140001</v>
      </c>
      <c r="H364" s="101">
        <f t="shared" si="60"/>
        <v>-13754201.114000015</v>
      </c>
      <c r="I364" s="101">
        <f t="shared" si="60"/>
        <v>-3341.2699999999986</v>
      </c>
      <c r="J364" s="101">
        <f t="shared" si="60"/>
        <v>0</v>
      </c>
      <c r="K364" s="101">
        <f t="shared" si="60"/>
        <v>324689.49</v>
      </c>
      <c r="L364" s="101">
        <f t="shared" si="60"/>
        <v>321348.22</v>
      </c>
      <c r="M364" s="101">
        <f t="shared" si="60"/>
        <v>0</v>
      </c>
      <c r="N364" s="101">
        <f t="shared" si="60"/>
        <v>14628.54</v>
      </c>
      <c r="O364" s="101">
        <f t="shared" si="60"/>
        <v>610628.98</v>
      </c>
      <c r="P364" s="101">
        <f t="shared" si="60"/>
        <v>625257.52</v>
      </c>
      <c r="Q364" s="101">
        <f t="shared" si="60"/>
        <v>-15738673.350000001</v>
      </c>
      <c r="R364" s="101">
        <f t="shared" si="60"/>
        <v>-10706008.71</v>
      </c>
      <c r="S364" s="101">
        <f t="shared" si="60"/>
        <v>0</v>
      </c>
      <c r="T364" s="101">
        <f t="shared" si="60"/>
        <v>20284302.330000006</v>
      </c>
      <c r="U364" s="101">
        <f t="shared" si="60"/>
        <v>-6160379.729999996</v>
      </c>
      <c r="V364" s="101">
        <f t="shared" si="60"/>
        <v>-16607986.789999932</v>
      </c>
      <c r="W364" s="101">
        <f t="shared" si="60"/>
        <v>0</v>
      </c>
      <c r="X364" s="101">
        <f t="shared" si="60"/>
        <v>-16607986.789999932</v>
      </c>
      <c r="Y364" s="101">
        <f t="shared" si="60"/>
        <v>-1859588.690000006</v>
      </c>
      <c r="Z364" s="101">
        <f t="shared" si="60"/>
        <v>-18467575.47999993</v>
      </c>
      <c r="AA364" s="167"/>
    </row>
    <row r="365" spans="2:26" ht="12.75">
      <c r="B365" s="148"/>
      <c r="C365" s="150"/>
      <c r="D365" s="157"/>
      <c r="E365" s="155"/>
      <c r="F365" s="155"/>
      <c r="G365" s="117"/>
      <c r="H365" s="117"/>
      <c r="I365" s="117"/>
      <c r="J365" s="117"/>
      <c r="K365" s="117"/>
      <c r="L365" s="117"/>
      <c r="M365" s="117"/>
      <c r="N365" s="117"/>
      <c r="O365" s="117"/>
      <c r="P365" s="117"/>
      <c r="Q365" s="117"/>
      <c r="R365" s="117"/>
      <c r="S365" s="117"/>
      <c r="T365" s="117"/>
      <c r="U365" s="117"/>
      <c r="V365" s="117"/>
      <c r="W365" s="117"/>
      <c r="X365" s="117"/>
      <c r="Y365" s="117"/>
      <c r="Z365" s="117"/>
    </row>
    <row r="366" spans="1:27" ht="15">
      <c r="A366" s="167"/>
      <c r="B366" s="160" t="s">
        <v>3723</v>
      </c>
      <c r="C366" s="161"/>
      <c r="D366" s="72"/>
      <c r="E366" s="155"/>
      <c r="F366" s="155"/>
      <c r="G366" s="117"/>
      <c r="H366" s="117"/>
      <c r="I366" s="117"/>
      <c r="J366" s="117"/>
      <c r="K366" s="117"/>
      <c r="L366" s="117"/>
      <c r="M366" s="117"/>
      <c r="N366" s="117"/>
      <c r="O366" s="117"/>
      <c r="P366" s="117"/>
      <c r="Q366" s="117"/>
      <c r="R366" s="117"/>
      <c r="S366" s="117"/>
      <c r="T366" s="117"/>
      <c r="U366" s="117"/>
      <c r="V366" s="117"/>
      <c r="W366" s="117"/>
      <c r="X366" s="117"/>
      <c r="Y366" s="117"/>
      <c r="Z366" s="117"/>
      <c r="AA366" s="167"/>
    </row>
    <row r="367" spans="1:27" ht="12.75">
      <c r="A367" s="150" t="s">
        <v>17</v>
      </c>
      <c r="B367" s="148"/>
      <c r="C367" s="150" t="s">
        <v>18</v>
      </c>
      <c r="D367" s="157"/>
      <c r="E367" s="155">
        <v>0</v>
      </c>
      <c r="F367" s="155">
        <v>0</v>
      </c>
      <c r="G367" s="117">
        <f aca="true" t="shared" si="61" ref="G367:G389">E367+F367</f>
        <v>0</v>
      </c>
      <c r="H367" s="117">
        <v>0</v>
      </c>
      <c r="I367" s="117">
        <v>0</v>
      </c>
      <c r="J367" s="117">
        <v>0</v>
      </c>
      <c r="K367" s="117">
        <v>0</v>
      </c>
      <c r="L367" s="117">
        <f aca="true" t="shared" si="62" ref="L367:L389">J367+I367+K367</f>
        <v>0</v>
      </c>
      <c r="M367" s="117">
        <v>0</v>
      </c>
      <c r="N367" s="117">
        <v>0</v>
      </c>
      <c r="O367" s="117">
        <v>0</v>
      </c>
      <c r="P367" s="117">
        <f aca="true" t="shared" si="63" ref="P367:P389">M367+N367+O367</f>
        <v>0</v>
      </c>
      <c r="Q367" s="117">
        <v>0</v>
      </c>
      <c r="R367" s="117">
        <v>0</v>
      </c>
      <c r="S367" s="117">
        <v>0</v>
      </c>
      <c r="T367" s="117">
        <v>0</v>
      </c>
      <c r="U367" s="117">
        <f aca="true" t="shared" si="64" ref="U367:U389">Q367+R367+S367+T367</f>
        <v>0</v>
      </c>
      <c r="V367" s="117">
        <f aca="true" t="shared" si="65" ref="V367:V389">G367+H367+L367+P367+U367</f>
        <v>0</v>
      </c>
      <c r="W367" s="117">
        <v>0</v>
      </c>
      <c r="X367" s="117">
        <f aca="true" t="shared" si="66" ref="X367:X389">V367+W367</f>
        <v>0</v>
      </c>
      <c r="Y367" s="117">
        <v>0</v>
      </c>
      <c r="Z367" s="117">
        <f aca="true" t="shared" si="67" ref="Z367:Z389">X367+Y367</f>
        <v>0</v>
      </c>
      <c r="AA367" s="150"/>
    </row>
    <row r="368" spans="1:26" ht="12.75" hidden="1" outlineLevel="1">
      <c r="A368" s="132" t="s">
        <v>3004</v>
      </c>
      <c r="C368" s="171" t="s">
        <v>3005</v>
      </c>
      <c r="D368" s="171" t="s">
        <v>3006</v>
      </c>
      <c r="E368" s="132">
        <v>0</v>
      </c>
      <c r="F368" s="132">
        <v>0</v>
      </c>
      <c r="G368" s="171">
        <f t="shared" si="61"/>
        <v>0</v>
      </c>
      <c r="H368" s="132">
        <v>101.78</v>
      </c>
      <c r="I368" s="132">
        <v>0</v>
      </c>
      <c r="J368" s="132">
        <v>0</v>
      </c>
      <c r="K368" s="132">
        <v>0</v>
      </c>
      <c r="L368" s="132">
        <f t="shared" si="62"/>
        <v>0</v>
      </c>
      <c r="M368" s="132">
        <v>0</v>
      </c>
      <c r="N368" s="132">
        <v>1660345.34</v>
      </c>
      <c r="O368" s="132">
        <v>570557.98</v>
      </c>
      <c r="P368" s="132">
        <f t="shared" si="63"/>
        <v>2230903.3200000003</v>
      </c>
      <c r="Q368" s="171">
        <v>0</v>
      </c>
      <c r="R368" s="171">
        <v>0</v>
      </c>
      <c r="S368" s="171">
        <v>0</v>
      </c>
      <c r="T368" s="171">
        <v>0</v>
      </c>
      <c r="U368" s="171">
        <f t="shared" si="64"/>
        <v>0</v>
      </c>
      <c r="V368" s="171">
        <f t="shared" si="65"/>
        <v>2231005.1</v>
      </c>
      <c r="W368" s="132">
        <v>0</v>
      </c>
      <c r="X368" s="132">
        <f t="shared" si="66"/>
        <v>2231005.1</v>
      </c>
      <c r="Y368" s="171">
        <v>347170.44</v>
      </c>
      <c r="Z368" s="132">
        <f t="shared" si="67"/>
        <v>2578175.54</v>
      </c>
    </row>
    <row r="369" spans="1:26" ht="12.75" hidden="1" outlineLevel="1">
      <c r="A369" s="132" t="s">
        <v>3007</v>
      </c>
      <c r="C369" s="171" t="s">
        <v>3008</v>
      </c>
      <c r="D369" s="171" t="s">
        <v>3009</v>
      </c>
      <c r="E369" s="132">
        <v>0</v>
      </c>
      <c r="F369" s="132">
        <v>0</v>
      </c>
      <c r="G369" s="171">
        <f t="shared" si="61"/>
        <v>0</v>
      </c>
      <c r="H369" s="132">
        <v>370121.65</v>
      </c>
      <c r="I369" s="132">
        <v>0</v>
      </c>
      <c r="J369" s="132">
        <v>0</v>
      </c>
      <c r="K369" s="132">
        <v>12597.85</v>
      </c>
      <c r="L369" s="132">
        <f t="shared" si="62"/>
        <v>12597.85</v>
      </c>
      <c r="M369" s="132">
        <v>0</v>
      </c>
      <c r="N369" s="132">
        <v>19464.52</v>
      </c>
      <c r="O369" s="132">
        <v>0</v>
      </c>
      <c r="P369" s="132">
        <f t="shared" si="63"/>
        <v>19464.52</v>
      </c>
      <c r="Q369" s="171">
        <v>0</v>
      </c>
      <c r="R369" s="171">
        <v>0</v>
      </c>
      <c r="S369" s="171">
        <v>0</v>
      </c>
      <c r="T369" s="171">
        <v>0</v>
      </c>
      <c r="U369" s="171">
        <f t="shared" si="64"/>
        <v>0</v>
      </c>
      <c r="V369" s="171">
        <f t="shared" si="65"/>
        <v>402184.02</v>
      </c>
      <c r="W369" s="132">
        <v>0</v>
      </c>
      <c r="X369" s="132">
        <f t="shared" si="66"/>
        <v>402184.02</v>
      </c>
      <c r="Y369" s="171">
        <v>0</v>
      </c>
      <c r="Z369" s="132">
        <f t="shared" si="67"/>
        <v>402184.02</v>
      </c>
    </row>
    <row r="370" spans="1:26" ht="12.75" hidden="1" outlineLevel="1">
      <c r="A370" s="132" t="s">
        <v>19</v>
      </c>
      <c r="C370" s="171" t="s">
        <v>20</v>
      </c>
      <c r="D370" s="171" t="s">
        <v>21</v>
      </c>
      <c r="E370" s="132">
        <v>0</v>
      </c>
      <c r="F370" s="132">
        <v>184729.77</v>
      </c>
      <c r="G370" s="171">
        <f t="shared" si="61"/>
        <v>184729.77</v>
      </c>
      <c r="H370" s="132">
        <v>3949347.61</v>
      </c>
      <c r="I370" s="132">
        <v>0</v>
      </c>
      <c r="J370" s="132">
        <v>0</v>
      </c>
      <c r="K370" s="132">
        <v>44354.18</v>
      </c>
      <c r="L370" s="132">
        <f t="shared" si="62"/>
        <v>44354.18</v>
      </c>
      <c r="M370" s="132">
        <v>0</v>
      </c>
      <c r="N370" s="132">
        <v>-2355364.2</v>
      </c>
      <c r="O370" s="132">
        <v>-1013673.46</v>
      </c>
      <c r="P370" s="132">
        <f t="shared" si="63"/>
        <v>-3369037.66</v>
      </c>
      <c r="Q370" s="171">
        <v>0</v>
      </c>
      <c r="R370" s="171">
        <v>0</v>
      </c>
      <c r="S370" s="171">
        <v>0</v>
      </c>
      <c r="T370" s="171">
        <v>0</v>
      </c>
      <c r="U370" s="171">
        <f t="shared" si="64"/>
        <v>0</v>
      </c>
      <c r="V370" s="171">
        <f t="shared" si="65"/>
        <v>809393.8999999999</v>
      </c>
      <c r="W370" s="132">
        <v>0</v>
      </c>
      <c r="X370" s="132">
        <f t="shared" si="66"/>
        <v>809393.8999999999</v>
      </c>
      <c r="Y370" s="171">
        <v>0</v>
      </c>
      <c r="Z370" s="132">
        <f t="shared" si="67"/>
        <v>809393.8999999999</v>
      </c>
    </row>
    <row r="371" spans="1:26" ht="12.75" hidden="1" outlineLevel="1">
      <c r="A371" s="132" t="s">
        <v>3010</v>
      </c>
      <c r="C371" s="171" t="s">
        <v>3011</v>
      </c>
      <c r="D371" s="171" t="s">
        <v>3012</v>
      </c>
      <c r="E371" s="132">
        <v>0</v>
      </c>
      <c r="F371" s="132">
        <v>0</v>
      </c>
      <c r="G371" s="171">
        <f t="shared" si="61"/>
        <v>0</v>
      </c>
      <c r="H371" s="132">
        <v>2030768.41</v>
      </c>
      <c r="I371" s="132">
        <v>0</v>
      </c>
      <c r="J371" s="132">
        <v>0</v>
      </c>
      <c r="K371" s="132">
        <v>0</v>
      </c>
      <c r="L371" s="132">
        <f t="shared" si="62"/>
        <v>0</v>
      </c>
      <c r="M371" s="132">
        <v>0</v>
      </c>
      <c r="N371" s="132">
        <v>0</v>
      </c>
      <c r="O371" s="132">
        <v>0</v>
      </c>
      <c r="P371" s="132">
        <f t="shared" si="63"/>
        <v>0</v>
      </c>
      <c r="Q371" s="171">
        <v>0</v>
      </c>
      <c r="R371" s="171">
        <v>0</v>
      </c>
      <c r="S371" s="171">
        <v>0</v>
      </c>
      <c r="T371" s="171">
        <v>0</v>
      </c>
      <c r="U371" s="171">
        <f t="shared" si="64"/>
        <v>0</v>
      </c>
      <c r="V371" s="171">
        <f t="shared" si="65"/>
        <v>2030768.41</v>
      </c>
      <c r="W371" s="132">
        <v>0</v>
      </c>
      <c r="X371" s="132">
        <f t="shared" si="66"/>
        <v>2030768.41</v>
      </c>
      <c r="Y371" s="171">
        <v>460310.51</v>
      </c>
      <c r="Z371" s="132">
        <f t="shared" si="67"/>
        <v>2491078.92</v>
      </c>
    </row>
    <row r="372" spans="1:26" ht="12.75" hidden="1" outlineLevel="1">
      <c r="A372" s="132" t="s">
        <v>3013</v>
      </c>
      <c r="C372" s="171" t="s">
        <v>3014</v>
      </c>
      <c r="D372" s="171" t="s">
        <v>3015</v>
      </c>
      <c r="E372" s="132">
        <v>0</v>
      </c>
      <c r="F372" s="132">
        <v>0</v>
      </c>
      <c r="G372" s="171">
        <f t="shared" si="61"/>
        <v>0</v>
      </c>
      <c r="H372" s="132">
        <v>3317.23</v>
      </c>
      <c r="I372" s="132">
        <v>0</v>
      </c>
      <c r="J372" s="132">
        <v>0</v>
      </c>
      <c r="K372" s="132">
        <v>0</v>
      </c>
      <c r="L372" s="132">
        <f t="shared" si="62"/>
        <v>0</v>
      </c>
      <c r="M372" s="132">
        <v>0</v>
      </c>
      <c r="N372" s="132">
        <v>11636.93</v>
      </c>
      <c r="O372" s="132">
        <v>2582.18</v>
      </c>
      <c r="P372" s="132">
        <f t="shared" si="63"/>
        <v>14219.11</v>
      </c>
      <c r="Q372" s="171">
        <v>0</v>
      </c>
      <c r="R372" s="171">
        <v>0</v>
      </c>
      <c r="S372" s="171">
        <v>0</v>
      </c>
      <c r="T372" s="171">
        <v>0</v>
      </c>
      <c r="U372" s="171">
        <f t="shared" si="64"/>
        <v>0</v>
      </c>
      <c r="V372" s="171">
        <f t="shared" si="65"/>
        <v>17536.34</v>
      </c>
      <c r="W372" s="132">
        <v>0</v>
      </c>
      <c r="X372" s="132">
        <f t="shared" si="66"/>
        <v>17536.34</v>
      </c>
      <c r="Y372" s="171">
        <v>0</v>
      </c>
      <c r="Z372" s="132">
        <f t="shared" si="67"/>
        <v>17536.34</v>
      </c>
    </row>
    <row r="373" spans="1:26" ht="12.75" hidden="1" outlineLevel="1">
      <c r="A373" s="132" t="s">
        <v>3016</v>
      </c>
      <c r="C373" s="171" t="s">
        <v>3017</v>
      </c>
      <c r="D373" s="171" t="s">
        <v>3018</v>
      </c>
      <c r="E373" s="132">
        <v>0</v>
      </c>
      <c r="F373" s="132">
        <v>0</v>
      </c>
      <c r="G373" s="171">
        <f t="shared" si="61"/>
        <v>0</v>
      </c>
      <c r="H373" s="132">
        <v>8.2</v>
      </c>
      <c r="I373" s="132">
        <v>0</v>
      </c>
      <c r="J373" s="132">
        <v>0</v>
      </c>
      <c r="K373" s="132">
        <v>0</v>
      </c>
      <c r="L373" s="132">
        <f t="shared" si="62"/>
        <v>0</v>
      </c>
      <c r="M373" s="132">
        <v>0</v>
      </c>
      <c r="N373" s="132">
        <v>0</v>
      </c>
      <c r="O373" s="132">
        <v>0</v>
      </c>
      <c r="P373" s="132">
        <f t="shared" si="63"/>
        <v>0</v>
      </c>
      <c r="Q373" s="171">
        <v>0</v>
      </c>
      <c r="R373" s="171">
        <v>0</v>
      </c>
      <c r="S373" s="171">
        <v>0</v>
      </c>
      <c r="T373" s="171">
        <v>0</v>
      </c>
      <c r="U373" s="171">
        <f t="shared" si="64"/>
        <v>0</v>
      </c>
      <c r="V373" s="171">
        <f t="shared" si="65"/>
        <v>8.2</v>
      </c>
      <c r="W373" s="132">
        <v>0</v>
      </c>
      <c r="X373" s="132">
        <f t="shared" si="66"/>
        <v>8.2</v>
      </c>
      <c r="Y373" s="171">
        <v>0</v>
      </c>
      <c r="Z373" s="132">
        <f t="shared" si="67"/>
        <v>8.2</v>
      </c>
    </row>
    <row r="374" spans="1:26" ht="12.75" hidden="1" outlineLevel="1">
      <c r="A374" s="132" t="s">
        <v>3019</v>
      </c>
      <c r="C374" s="171" t="s">
        <v>3020</v>
      </c>
      <c r="D374" s="171" t="s">
        <v>3021</v>
      </c>
      <c r="E374" s="132">
        <v>0</v>
      </c>
      <c r="F374" s="132">
        <v>0</v>
      </c>
      <c r="G374" s="171">
        <f t="shared" si="61"/>
        <v>0</v>
      </c>
      <c r="H374" s="132">
        <v>24225.57</v>
      </c>
      <c r="I374" s="132">
        <v>0</v>
      </c>
      <c r="J374" s="132">
        <v>0</v>
      </c>
      <c r="K374" s="132">
        <v>0</v>
      </c>
      <c r="L374" s="132">
        <f t="shared" si="62"/>
        <v>0</v>
      </c>
      <c r="M374" s="132">
        <v>0</v>
      </c>
      <c r="N374" s="132">
        <v>0</v>
      </c>
      <c r="O374" s="132">
        <v>0</v>
      </c>
      <c r="P374" s="132">
        <f t="shared" si="63"/>
        <v>0</v>
      </c>
      <c r="Q374" s="171">
        <v>0</v>
      </c>
      <c r="R374" s="171">
        <v>0</v>
      </c>
      <c r="S374" s="171">
        <v>0</v>
      </c>
      <c r="T374" s="171">
        <v>0</v>
      </c>
      <c r="U374" s="171">
        <f t="shared" si="64"/>
        <v>0</v>
      </c>
      <c r="V374" s="171">
        <f t="shared" si="65"/>
        <v>24225.57</v>
      </c>
      <c r="W374" s="132">
        <v>0</v>
      </c>
      <c r="X374" s="132">
        <f t="shared" si="66"/>
        <v>24225.57</v>
      </c>
      <c r="Y374" s="171">
        <v>0</v>
      </c>
      <c r="Z374" s="132">
        <f t="shared" si="67"/>
        <v>24225.57</v>
      </c>
    </row>
    <row r="375" spans="1:26" ht="12.75" hidden="1" outlineLevel="1">
      <c r="A375" s="132" t="s">
        <v>22</v>
      </c>
      <c r="C375" s="171" t="s">
        <v>23</v>
      </c>
      <c r="D375" s="171" t="s">
        <v>24</v>
      </c>
      <c r="E375" s="132">
        <v>0</v>
      </c>
      <c r="F375" s="132">
        <v>485462.06</v>
      </c>
      <c r="G375" s="171">
        <f t="shared" si="61"/>
        <v>485462.06</v>
      </c>
      <c r="H375" s="132">
        <v>727422.79</v>
      </c>
      <c r="I375" s="132">
        <v>8539.59</v>
      </c>
      <c r="J375" s="132">
        <v>0</v>
      </c>
      <c r="K375" s="132">
        <v>94283.73</v>
      </c>
      <c r="L375" s="132">
        <f t="shared" si="62"/>
        <v>102823.31999999999</v>
      </c>
      <c r="M375" s="132">
        <v>0</v>
      </c>
      <c r="N375" s="132">
        <v>24032.34</v>
      </c>
      <c r="O375" s="132">
        <v>6214.19</v>
      </c>
      <c r="P375" s="132">
        <f t="shared" si="63"/>
        <v>30246.53</v>
      </c>
      <c r="Q375" s="171">
        <v>267442.09</v>
      </c>
      <c r="R375" s="171">
        <v>184197.23</v>
      </c>
      <c r="S375" s="171">
        <v>7596.37</v>
      </c>
      <c r="T375" s="171">
        <v>0</v>
      </c>
      <c r="U375" s="171">
        <f t="shared" si="64"/>
        <v>459235.69000000006</v>
      </c>
      <c r="V375" s="171">
        <f t="shared" si="65"/>
        <v>1805190.3900000001</v>
      </c>
      <c r="W375" s="132">
        <v>0</v>
      </c>
      <c r="X375" s="132">
        <f t="shared" si="66"/>
        <v>1805190.3900000001</v>
      </c>
      <c r="Y375" s="171">
        <v>55443.88</v>
      </c>
      <c r="Z375" s="132">
        <f t="shared" si="67"/>
        <v>1860634.27</v>
      </c>
    </row>
    <row r="376" spans="1:26" ht="12.75" hidden="1" outlineLevel="1">
      <c r="A376" s="132" t="s">
        <v>3022</v>
      </c>
      <c r="C376" s="171" t="s">
        <v>3023</v>
      </c>
      <c r="D376" s="171" t="s">
        <v>3024</v>
      </c>
      <c r="E376" s="132">
        <v>0</v>
      </c>
      <c r="F376" s="132">
        <v>0</v>
      </c>
      <c r="G376" s="171">
        <f t="shared" si="61"/>
        <v>0</v>
      </c>
      <c r="H376" s="132">
        <v>-2250.32</v>
      </c>
      <c r="I376" s="132">
        <v>0</v>
      </c>
      <c r="J376" s="132">
        <v>0</v>
      </c>
      <c r="K376" s="132">
        <v>0</v>
      </c>
      <c r="L376" s="132">
        <f t="shared" si="62"/>
        <v>0</v>
      </c>
      <c r="M376" s="132">
        <v>0</v>
      </c>
      <c r="N376" s="132">
        <v>4627190.61</v>
      </c>
      <c r="O376" s="132">
        <v>1602713.48</v>
      </c>
      <c r="P376" s="132">
        <f t="shared" si="63"/>
        <v>6229904.09</v>
      </c>
      <c r="Q376" s="171">
        <v>0</v>
      </c>
      <c r="R376" s="171">
        <v>0</v>
      </c>
      <c r="S376" s="171">
        <v>0</v>
      </c>
      <c r="T376" s="171">
        <v>0</v>
      </c>
      <c r="U376" s="171">
        <f t="shared" si="64"/>
        <v>0</v>
      </c>
      <c r="V376" s="171">
        <f t="shared" si="65"/>
        <v>6227653.77</v>
      </c>
      <c r="W376" s="132">
        <v>0</v>
      </c>
      <c r="X376" s="132">
        <f t="shared" si="66"/>
        <v>6227653.77</v>
      </c>
      <c r="Y376" s="171">
        <v>992200.15</v>
      </c>
      <c r="Z376" s="132">
        <f t="shared" si="67"/>
        <v>7219853.92</v>
      </c>
    </row>
    <row r="377" spans="1:26" ht="12.75" hidden="1" outlineLevel="1">
      <c r="A377" s="132" t="s">
        <v>3025</v>
      </c>
      <c r="C377" s="171" t="s">
        <v>3026</v>
      </c>
      <c r="D377" s="171" t="s">
        <v>3027</v>
      </c>
      <c r="E377" s="132">
        <v>0</v>
      </c>
      <c r="F377" s="132">
        <v>0</v>
      </c>
      <c r="G377" s="171">
        <f t="shared" si="61"/>
        <v>0</v>
      </c>
      <c r="H377" s="132">
        <v>111.43</v>
      </c>
      <c r="I377" s="132">
        <v>0</v>
      </c>
      <c r="J377" s="132">
        <v>0</v>
      </c>
      <c r="K377" s="132">
        <v>0</v>
      </c>
      <c r="L377" s="132">
        <f t="shared" si="62"/>
        <v>0</v>
      </c>
      <c r="M377" s="132">
        <v>0</v>
      </c>
      <c r="N377" s="132">
        <v>1655314.28</v>
      </c>
      <c r="O377" s="132">
        <v>636519.12</v>
      </c>
      <c r="P377" s="132">
        <f t="shared" si="63"/>
        <v>2291833.4</v>
      </c>
      <c r="Q377" s="171">
        <v>0</v>
      </c>
      <c r="R377" s="171">
        <v>0</v>
      </c>
      <c r="S377" s="171">
        <v>0</v>
      </c>
      <c r="T377" s="171">
        <v>0</v>
      </c>
      <c r="U377" s="171">
        <f t="shared" si="64"/>
        <v>0</v>
      </c>
      <c r="V377" s="171">
        <f t="shared" si="65"/>
        <v>2291944.83</v>
      </c>
      <c r="W377" s="132">
        <v>0</v>
      </c>
      <c r="X377" s="132">
        <f t="shared" si="66"/>
        <v>2291944.83</v>
      </c>
      <c r="Y377" s="171">
        <v>407004.06</v>
      </c>
      <c r="Z377" s="132">
        <f t="shared" si="67"/>
        <v>2698948.89</v>
      </c>
    </row>
    <row r="378" spans="1:27" ht="12.75" collapsed="1">
      <c r="A378" s="150" t="s">
        <v>25</v>
      </c>
      <c r="B378" s="148"/>
      <c r="C378" s="150" t="s">
        <v>26</v>
      </c>
      <c r="D378" s="157"/>
      <c r="E378" s="155">
        <v>0</v>
      </c>
      <c r="F378" s="155">
        <v>670191.83</v>
      </c>
      <c r="G378" s="117">
        <f t="shared" si="61"/>
        <v>670191.83</v>
      </c>
      <c r="H378" s="117">
        <v>7103174.350000001</v>
      </c>
      <c r="I378" s="117">
        <v>8539.59</v>
      </c>
      <c r="J378" s="117">
        <v>0</v>
      </c>
      <c r="K378" s="117">
        <v>151235.76</v>
      </c>
      <c r="L378" s="117">
        <f t="shared" si="62"/>
        <v>159775.35</v>
      </c>
      <c r="M378" s="117">
        <v>0</v>
      </c>
      <c r="N378" s="117">
        <v>5642619.82</v>
      </c>
      <c r="O378" s="117">
        <v>1804913.49</v>
      </c>
      <c r="P378" s="117">
        <f t="shared" si="63"/>
        <v>7447533.3100000005</v>
      </c>
      <c r="Q378" s="117">
        <v>267442.09</v>
      </c>
      <c r="R378" s="117">
        <v>184197.23</v>
      </c>
      <c r="S378" s="117">
        <v>7596.37</v>
      </c>
      <c r="T378" s="117">
        <v>0</v>
      </c>
      <c r="U378" s="117">
        <f t="shared" si="64"/>
        <v>459235.69000000006</v>
      </c>
      <c r="V378" s="117">
        <f t="shared" si="65"/>
        <v>15839910.53</v>
      </c>
      <c r="W378" s="117">
        <v>0</v>
      </c>
      <c r="X378" s="117">
        <f t="shared" si="66"/>
        <v>15839910.53</v>
      </c>
      <c r="Y378" s="117">
        <v>2262129.04</v>
      </c>
      <c r="Z378" s="117">
        <f t="shared" si="67"/>
        <v>18102039.57</v>
      </c>
      <c r="AA378" s="150"/>
    </row>
    <row r="379" spans="1:27" ht="12.75">
      <c r="A379" s="150" t="s">
        <v>3783</v>
      </c>
      <c r="B379" s="148"/>
      <c r="C379" s="150" t="s">
        <v>3725</v>
      </c>
      <c r="D379" s="157"/>
      <c r="E379" s="155">
        <v>0</v>
      </c>
      <c r="F379" s="155">
        <v>185690.25</v>
      </c>
      <c r="G379" s="117">
        <f t="shared" si="61"/>
        <v>185690.25</v>
      </c>
      <c r="H379" s="117">
        <v>10072137.729999999</v>
      </c>
      <c r="I379" s="117">
        <v>0</v>
      </c>
      <c r="J379" s="117">
        <v>0</v>
      </c>
      <c r="K379" s="117">
        <v>2527</v>
      </c>
      <c r="L379" s="117">
        <f t="shared" si="62"/>
        <v>2527</v>
      </c>
      <c r="M379" s="117">
        <v>0</v>
      </c>
      <c r="N379" s="117">
        <v>0</v>
      </c>
      <c r="O379" s="117">
        <v>0</v>
      </c>
      <c r="P379" s="117">
        <f t="shared" si="63"/>
        <v>0</v>
      </c>
      <c r="Q379" s="117">
        <v>0</v>
      </c>
      <c r="R379" s="117">
        <v>0</v>
      </c>
      <c r="S379" s="117">
        <v>0</v>
      </c>
      <c r="T379" s="117">
        <v>0</v>
      </c>
      <c r="U379" s="117">
        <f t="shared" si="64"/>
        <v>0</v>
      </c>
      <c r="V379" s="117">
        <f t="shared" si="65"/>
        <v>10260354.979999999</v>
      </c>
      <c r="W379" s="117">
        <v>0</v>
      </c>
      <c r="X379" s="117">
        <f t="shared" si="66"/>
        <v>10260354.979999999</v>
      </c>
      <c r="Y379" s="117">
        <v>694054.45</v>
      </c>
      <c r="Z379" s="117">
        <f t="shared" si="67"/>
        <v>10954409.429999998</v>
      </c>
      <c r="AA379" s="150"/>
    </row>
    <row r="380" spans="1:26" ht="12.75" hidden="1" outlineLevel="1">
      <c r="A380" s="132" t="s">
        <v>3028</v>
      </c>
      <c r="C380" s="171" t="s">
        <v>3029</v>
      </c>
      <c r="D380" s="171" t="s">
        <v>3030</v>
      </c>
      <c r="E380" s="132">
        <v>0</v>
      </c>
      <c r="F380" s="132">
        <v>0</v>
      </c>
      <c r="G380" s="171">
        <f t="shared" si="61"/>
        <v>0</v>
      </c>
      <c r="H380" s="132">
        <v>0</v>
      </c>
      <c r="I380" s="132">
        <v>0</v>
      </c>
      <c r="J380" s="132">
        <v>0</v>
      </c>
      <c r="K380" s="132">
        <v>0</v>
      </c>
      <c r="L380" s="132">
        <f t="shared" si="62"/>
        <v>0</v>
      </c>
      <c r="M380" s="132">
        <v>0</v>
      </c>
      <c r="N380" s="132">
        <v>0</v>
      </c>
      <c r="O380" s="132">
        <v>0</v>
      </c>
      <c r="P380" s="132">
        <f t="shared" si="63"/>
        <v>0</v>
      </c>
      <c r="Q380" s="171">
        <v>0</v>
      </c>
      <c r="R380" s="171">
        <v>0</v>
      </c>
      <c r="S380" s="171">
        <v>-22747.77</v>
      </c>
      <c r="T380" s="171">
        <v>1266420.42</v>
      </c>
      <c r="U380" s="171">
        <f t="shared" si="64"/>
        <v>1243672.65</v>
      </c>
      <c r="V380" s="171">
        <f t="shared" si="65"/>
        <v>1243672.65</v>
      </c>
      <c r="W380" s="132">
        <v>0</v>
      </c>
      <c r="X380" s="132">
        <f t="shared" si="66"/>
        <v>1243672.65</v>
      </c>
      <c r="Y380" s="171">
        <v>0</v>
      </c>
      <c r="Z380" s="132">
        <f t="shared" si="67"/>
        <v>1243672.65</v>
      </c>
    </row>
    <row r="381" spans="1:26" ht="12.75" hidden="1" outlineLevel="1">
      <c r="A381" s="132" t="s">
        <v>3031</v>
      </c>
      <c r="C381" s="171" t="s">
        <v>3032</v>
      </c>
      <c r="D381" s="171" t="s">
        <v>3033</v>
      </c>
      <c r="E381" s="132">
        <v>0</v>
      </c>
      <c r="F381" s="132">
        <v>0</v>
      </c>
      <c r="G381" s="171">
        <f t="shared" si="61"/>
        <v>0</v>
      </c>
      <c r="H381" s="132">
        <v>0</v>
      </c>
      <c r="I381" s="132">
        <v>0</v>
      </c>
      <c r="J381" s="132">
        <v>0</v>
      </c>
      <c r="K381" s="132">
        <v>0</v>
      </c>
      <c r="L381" s="132">
        <f t="shared" si="62"/>
        <v>0</v>
      </c>
      <c r="M381" s="132">
        <v>0</v>
      </c>
      <c r="N381" s="132">
        <v>0</v>
      </c>
      <c r="O381" s="132">
        <v>0</v>
      </c>
      <c r="P381" s="132">
        <f t="shared" si="63"/>
        <v>0</v>
      </c>
      <c r="Q381" s="171">
        <v>0</v>
      </c>
      <c r="R381" s="171">
        <v>0</v>
      </c>
      <c r="S381" s="171">
        <v>-1243672.65</v>
      </c>
      <c r="T381" s="171">
        <v>0</v>
      </c>
      <c r="U381" s="171">
        <f t="shared" si="64"/>
        <v>-1243672.65</v>
      </c>
      <c r="V381" s="171">
        <f t="shared" si="65"/>
        <v>-1243672.65</v>
      </c>
      <c r="W381" s="132">
        <v>0</v>
      </c>
      <c r="X381" s="132">
        <f t="shared" si="66"/>
        <v>-1243672.65</v>
      </c>
      <c r="Y381" s="171">
        <v>0</v>
      </c>
      <c r="Z381" s="132">
        <f t="shared" si="67"/>
        <v>-1243672.65</v>
      </c>
    </row>
    <row r="382" spans="1:26" ht="12.75" hidden="1" outlineLevel="1">
      <c r="A382" s="132" t="s">
        <v>3034</v>
      </c>
      <c r="C382" s="171" t="s">
        <v>3035</v>
      </c>
      <c r="D382" s="171" t="s">
        <v>3036</v>
      </c>
      <c r="E382" s="132">
        <v>0</v>
      </c>
      <c r="F382" s="132">
        <v>0</v>
      </c>
      <c r="G382" s="171">
        <f t="shared" si="61"/>
        <v>0</v>
      </c>
      <c r="H382" s="132">
        <v>0</v>
      </c>
      <c r="I382" s="132">
        <v>0</v>
      </c>
      <c r="J382" s="132">
        <v>0</v>
      </c>
      <c r="K382" s="132">
        <v>0</v>
      </c>
      <c r="L382" s="132">
        <f t="shared" si="62"/>
        <v>0</v>
      </c>
      <c r="M382" s="132">
        <v>0</v>
      </c>
      <c r="N382" s="132">
        <v>0</v>
      </c>
      <c r="O382" s="132">
        <v>0</v>
      </c>
      <c r="P382" s="132">
        <f t="shared" si="63"/>
        <v>0</v>
      </c>
      <c r="Q382" s="171">
        <v>0</v>
      </c>
      <c r="R382" s="171">
        <v>0</v>
      </c>
      <c r="S382" s="171">
        <v>-2160688.03</v>
      </c>
      <c r="T382" s="171">
        <v>0</v>
      </c>
      <c r="U382" s="171">
        <f t="shared" si="64"/>
        <v>-2160688.03</v>
      </c>
      <c r="V382" s="171">
        <f t="shared" si="65"/>
        <v>-2160688.03</v>
      </c>
      <c r="W382" s="132">
        <v>0</v>
      </c>
      <c r="X382" s="132">
        <f t="shared" si="66"/>
        <v>-2160688.03</v>
      </c>
      <c r="Y382" s="171">
        <v>0</v>
      </c>
      <c r="Z382" s="132">
        <f t="shared" si="67"/>
        <v>-2160688.03</v>
      </c>
    </row>
    <row r="383" spans="1:26" ht="12.75" hidden="1" outlineLevel="1">
      <c r="A383" s="132" t="s">
        <v>3037</v>
      </c>
      <c r="C383" s="171" t="s">
        <v>3038</v>
      </c>
      <c r="D383" s="171" t="s">
        <v>3039</v>
      </c>
      <c r="E383" s="132">
        <v>0</v>
      </c>
      <c r="F383" s="132">
        <v>0</v>
      </c>
      <c r="G383" s="171">
        <f t="shared" si="61"/>
        <v>0</v>
      </c>
      <c r="H383" s="132">
        <v>0</v>
      </c>
      <c r="I383" s="132">
        <v>0</v>
      </c>
      <c r="J383" s="132">
        <v>0</v>
      </c>
      <c r="K383" s="132">
        <v>0</v>
      </c>
      <c r="L383" s="132">
        <f t="shared" si="62"/>
        <v>0</v>
      </c>
      <c r="M383" s="132">
        <v>0</v>
      </c>
      <c r="N383" s="132">
        <v>0</v>
      </c>
      <c r="O383" s="132">
        <v>0</v>
      </c>
      <c r="P383" s="132">
        <f t="shared" si="63"/>
        <v>0</v>
      </c>
      <c r="Q383" s="171">
        <v>0</v>
      </c>
      <c r="R383" s="171">
        <v>0</v>
      </c>
      <c r="S383" s="171">
        <v>34106.5</v>
      </c>
      <c r="T383" s="171">
        <v>0</v>
      </c>
      <c r="U383" s="171">
        <f t="shared" si="64"/>
        <v>34106.5</v>
      </c>
      <c r="V383" s="171">
        <f t="shared" si="65"/>
        <v>34106.5</v>
      </c>
      <c r="W383" s="132">
        <v>0</v>
      </c>
      <c r="X383" s="132">
        <f t="shared" si="66"/>
        <v>34106.5</v>
      </c>
      <c r="Y383" s="171">
        <v>0</v>
      </c>
      <c r="Z383" s="132">
        <f t="shared" si="67"/>
        <v>34106.5</v>
      </c>
    </row>
    <row r="384" spans="1:26" ht="12.75" hidden="1" outlineLevel="1">
      <c r="A384" s="132" t="s">
        <v>3040</v>
      </c>
      <c r="C384" s="171" t="s">
        <v>3041</v>
      </c>
      <c r="D384" s="171" t="s">
        <v>3042</v>
      </c>
      <c r="E384" s="132">
        <v>0</v>
      </c>
      <c r="F384" s="132">
        <v>0</v>
      </c>
      <c r="G384" s="171">
        <f t="shared" si="61"/>
        <v>0</v>
      </c>
      <c r="H384" s="132">
        <v>0</v>
      </c>
      <c r="I384" s="132">
        <v>0</v>
      </c>
      <c r="J384" s="132">
        <v>0</v>
      </c>
      <c r="K384" s="132">
        <v>0</v>
      </c>
      <c r="L384" s="132">
        <f t="shared" si="62"/>
        <v>0</v>
      </c>
      <c r="M384" s="132">
        <v>0</v>
      </c>
      <c r="N384" s="132">
        <v>0</v>
      </c>
      <c r="O384" s="132">
        <v>0</v>
      </c>
      <c r="P384" s="132">
        <f t="shared" si="63"/>
        <v>0</v>
      </c>
      <c r="Q384" s="171">
        <v>0</v>
      </c>
      <c r="R384" s="171">
        <v>0</v>
      </c>
      <c r="S384" s="171">
        <v>-11358.73</v>
      </c>
      <c r="T384" s="171">
        <v>0</v>
      </c>
      <c r="U384" s="171">
        <f t="shared" si="64"/>
        <v>-11358.73</v>
      </c>
      <c r="V384" s="171">
        <f t="shared" si="65"/>
        <v>-11358.73</v>
      </c>
      <c r="W384" s="132">
        <v>0</v>
      </c>
      <c r="X384" s="132">
        <f t="shared" si="66"/>
        <v>-11358.73</v>
      </c>
      <c r="Y384" s="171">
        <v>0</v>
      </c>
      <c r="Z384" s="132">
        <f t="shared" si="67"/>
        <v>-11358.73</v>
      </c>
    </row>
    <row r="385" spans="1:26" ht="12.75" hidden="1" outlineLevel="1">
      <c r="A385" s="132" t="s">
        <v>3043</v>
      </c>
      <c r="C385" s="171" t="s">
        <v>3044</v>
      </c>
      <c r="D385" s="171" t="s">
        <v>3045</v>
      </c>
      <c r="E385" s="132">
        <v>0</v>
      </c>
      <c r="F385" s="132">
        <v>0</v>
      </c>
      <c r="G385" s="171">
        <f t="shared" si="61"/>
        <v>0</v>
      </c>
      <c r="H385" s="132">
        <v>0</v>
      </c>
      <c r="I385" s="132">
        <v>0</v>
      </c>
      <c r="J385" s="132">
        <v>0</v>
      </c>
      <c r="K385" s="132">
        <v>0</v>
      </c>
      <c r="L385" s="132">
        <f t="shared" si="62"/>
        <v>0</v>
      </c>
      <c r="M385" s="132">
        <v>0</v>
      </c>
      <c r="N385" s="132">
        <v>0</v>
      </c>
      <c r="O385" s="132">
        <v>0</v>
      </c>
      <c r="P385" s="132">
        <f t="shared" si="63"/>
        <v>0</v>
      </c>
      <c r="Q385" s="171">
        <v>0</v>
      </c>
      <c r="R385" s="171">
        <v>0</v>
      </c>
      <c r="S385" s="171">
        <v>-23555.79</v>
      </c>
      <c r="T385" s="171">
        <v>0</v>
      </c>
      <c r="U385" s="171">
        <f t="shared" si="64"/>
        <v>-23555.79</v>
      </c>
      <c r="V385" s="171">
        <f t="shared" si="65"/>
        <v>-23555.79</v>
      </c>
      <c r="W385" s="132">
        <v>0</v>
      </c>
      <c r="X385" s="132">
        <f t="shared" si="66"/>
        <v>-23555.79</v>
      </c>
      <c r="Y385" s="171">
        <v>0</v>
      </c>
      <c r="Z385" s="132">
        <f t="shared" si="67"/>
        <v>-23555.79</v>
      </c>
    </row>
    <row r="386" spans="1:27" ht="12.75" collapsed="1">
      <c r="A386" s="150" t="s">
        <v>28</v>
      </c>
      <c r="B386" s="148"/>
      <c r="C386" s="150" t="s">
        <v>3726</v>
      </c>
      <c r="D386" s="157"/>
      <c r="E386" s="155">
        <v>0</v>
      </c>
      <c r="F386" s="155">
        <v>0</v>
      </c>
      <c r="G386" s="117">
        <f t="shared" si="61"/>
        <v>0</v>
      </c>
      <c r="H386" s="117">
        <v>0</v>
      </c>
      <c r="I386" s="117">
        <v>0</v>
      </c>
      <c r="J386" s="117">
        <v>0</v>
      </c>
      <c r="K386" s="117">
        <v>0</v>
      </c>
      <c r="L386" s="117">
        <f t="shared" si="62"/>
        <v>0</v>
      </c>
      <c r="M386" s="117">
        <v>0</v>
      </c>
      <c r="N386" s="117">
        <v>0</v>
      </c>
      <c r="O386" s="117">
        <v>0</v>
      </c>
      <c r="P386" s="117">
        <f t="shared" si="63"/>
        <v>0</v>
      </c>
      <c r="Q386" s="117">
        <v>0</v>
      </c>
      <c r="R386" s="117">
        <v>0</v>
      </c>
      <c r="S386" s="117">
        <v>-3427916.47</v>
      </c>
      <c r="T386" s="117">
        <v>1266420.42</v>
      </c>
      <c r="U386" s="117">
        <f t="shared" si="64"/>
        <v>-2161496.0500000003</v>
      </c>
      <c r="V386" s="117">
        <f t="shared" si="65"/>
        <v>-2161496.0500000003</v>
      </c>
      <c r="W386" s="117">
        <v>0</v>
      </c>
      <c r="X386" s="117">
        <f t="shared" si="66"/>
        <v>-2161496.0500000003</v>
      </c>
      <c r="Y386" s="117">
        <v>0</v>
      </c>
      <c r="Z386" s="117">
        <f t="shared" si="67"/>
        <v>-2161496.0500000003</v>
      </c>
      <c r="AA386" s="150"/>
    </row>
    <row r="387" spans="1:27" ht="12.75">
      <c r="A387" s="150" t="s">
        <v>29</v>
      </c>
      <c r="B387" s="148"/>
      <c r="C387" s="150" t="s">
        <v>30</v>
      </c>
      <c r="D387" s="157"/>
      <c r="E387" s="155">
        <v>0</v>
      </c>
      <c r="F387" s="155">
        <v>0</v>
      </c>
      <c r="G387" s="117">
        <f t="shared" si="61"/>
        <v>0</v>
      </c>
      <c r="H387" s="117">
        <v>0</v>
      </c>
      <c r="I387" s="117">
        <v>0</v>
      </c>
      <c r="J387" s="117">
        <v>0</v>
      </c>
      <c r="K387" s="117">
        <v>0</v>
      </c>
      <c r="L387" s="117">
        <f t="shared" si="62"/>
        <v>0</v>
      </c>
      <c r="M387" s="117">
        <v>0</v>
      </c>
      <c r="N387" s="117">
        <v>0</v>
      </c>
      <c r="O387" s="117">
        <v>0</v>
      </c>
      <c r="P387" s="117">
        <f t="shared" si="63"/>
        <v>0</v>
      </c>
      <c r="Q387" s="117">
        <v>0</v>
      </c>
      <c r="R387" s="117">
        <v>0</v>
      </c>
      <c r="S387" s="117">
        <v>0</v>
      </c>
      <c r="T387" s="117">
        <v>0</v>
      </c>
      <c r="U387" s="117">
        <f t="shared" si="64"/>
        <v>0</v>
      </c>
      <c r="V387" s="117">
        <f t="shared" si="65"/>
        <v>0</v>
      </c>
      <c r="W387" s="117">
        <v>0</v>
      </c>
      <c r="X387" s="117">
        <f t="shared" si="66"/>
        <v>0</v>
      </c>
      <c r="Y387" s="117">
        <v>0</v>
      </c>
      <c r="Z387" s="117">
        <f t="shared" si="67"/>
        <v>0</v>
      </c>
      <c r="AA387" s="150"/>
    </row>
    <row r="388" spans="1:26" ht="12.75" hidden="1" outlineLevel="1">
      <c r="A388" s="132" t="s">
        <v>3046</v>
      </c>
      <c r="C388" s="171" t="s">
        <v>3047</v>
      </c>
      <c r="D388" s="171" t="s">
        <v>3048</v>
      </c>
      <c r="E388" s="132">
        <v>0</v>
      </c>
      <c r="F388" s="132">
        <v>0</v>
      </c>
      <c r="G388" s="171">
        <f t="shared" si="61"/>
        <v>0</v>
      </c>
      <c r="H388" s="132">
        <v>0</v>
      </c>
      <c r="I388" s="132">
        <v>0</v>
      </c>
      <c r="J388" s="132">
        <v>0</v>
      </c>
      <c r="K388" s="132">
        <v>0</v>
      </c>
      <c r="L388" s="132">
        <f t="shared" si="62"/>
        <v>0</v>
      </c>
      <c r="M388" s="132">
        <v>0</v>
      </c>
      <c r="N388" s="132">
        <v>0</v>
      </c>
      <c r="O388" s="132">
        <v>-2125.54</v>
      </c>
      <c r="P388" s="132">
        <f t="shared" si="63"/>
        <v>-2125.54</v>
      </c>
      <c r="Q388" s="171">
        <v>0</v>
      </c>
      <c r="R388" s="171">
        <v>0</v>
      </c>
      <c r="S388" s="171">
        <v>0</v>
      </c>
      <c r="T388" s="171">
        <v>0</v>
      </c>
      <c r="U388" s="171">
        <f t="shared" si="64"/>
        <v>0</v>
      </c>
      <c r="V388" s="171">
        <f t="shared" si="65"/>
        <v>-2125.54</v>
      </c>
      <c r="W388" s="132">
        <v>0</v>
      </c>
      <c r="X388" s="132">
        <f t="shared" si="66"/>
        <v>-2125.54</v>
      </c>
      <c r="Y388" s="171">
        <v>0</v>
      </c>
      <c r="Z388" s="132">
        <f t="shared" si="67"/>
        <v>-2125.54</v>
      </c>
    </row>
    <row r="389" spans="1:27" ht="12.75" collapsed="1">
      <c r="A389" s="150" t="s">
        <v>31</v>
      </c>
      <c r="B389" s="148"/>
      <c r="C389" s="150" t="s">
        <v>32</v>
      </c>
      <c r="D389" s="157"/>
      <c r="E389" s="155">
        <v>0</v>
      </c>
      <c r="F389" s="155">
        <v>0</v>
      </c>
      <c r="G389" s="117">
        <f t="shared" si="61"/>
        <v>0</v>
      </c>
      <c r="H389" s="117">
        <v>0</v>
      </c>
      <c r="I389" s="117">
        <v>0</v>
      </c>
      <c r="J389" s="117">
        <v>0</v>
      </c>
      <c r="K389" s="117">
        <v>0</v>
      </c>
      <c r="L389" s="117">
        <f t="shared" si="62"/>
        <v>0</v>
      </c>
      <c r="M389" s="117">
        <v>0</v>
      </c>
      <c r="N389" s="117">
        <v>0</v>
      </c>
      <c r="O389" s="117">
        <v>-2125.54</v>
      </c>
      <c r="P389" s="117">
        <f t="shared" si="63"/>
        <v>-2125.54</v>
      </c>
      <c r="Q389" s="117">
        <v>0</v>
      </c>
      <c r="R389" s="117">
        <v>0</v>
      </c>
      <c r="S389" s="117">
        <v>0</v>
      </c>
      <c r="T389" s="117">
        <v>0</v>
      </c>
      <c r="U389" s="117">
        <f t="shared" si="64"/>
        <v>0</v>
      </c>
      <c r="V389" s="117">
        <f t="shared" si="65"/>
        <v>-2125.54</v>
      </c>
      <c r="W389" s="117">
        <v>0</v>
      </c>
      <c r="X389" s="117">
        <f t="shared" si="66"/>
        <v>-2125.54</v>
      </c>
      <c r="Y389" s="117">
        <v>0</v>
      </c>
      <c r="Z389" s="117">
        <f t="shared" si="67"/>
        <v>-2125.54</v>
      </c>
      <c r="AA389" s="150"/>
    </row>
    <row r="390" spans="2:26" ht="12.75">
      <c r="B390" s="148"/>
      <c r="C390" s="150"/>
      <c r="D390" s="157"/>
      <c r="E390" s="155"/>
      <c r="F390" s="155"/>
      <c r="G390" s="117"/>
      <c r="H390" s="117"/>
      <c r="I390" s="117"/>
      <c r="J390" s="117"/>
      <c r="K390" s="117"/>
      <c r="L390" s="117"/>
      <c r="M390" s="117"/>
      <c r="N390" s="117"/>
      <c r="O390" s="117"/>
      <c r="P390" s="117"/>
      <c r="Q390" s="117"/>
      <c r="R390" s="117"/>
      <c r="S390" s="117"/>
      <c r="T390" s="117"/>
      <c r="U390" s="117"/>
      <c r="V390" s="117"/>
      <c r="W390" s="117"/>
      <c r="X390" s="117"/>
      <c r="Y390" s="117"/>
      <c r="Z390" s="117"/>
    </row>
    <row r="391" spans="1:27" s="209" customFormat="1" ht="15.75">
      <c r="A391" s="166"/>
      <c r="B391" s="160"/>
      <c r="C391" s="161" t="s">
        <v>3049</v>
      </c>
      <c r="D391" s="72"/>
      <c r="E391" s="208"/>
      <c r="F391" s="208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  <c r="AA391" s="166"/>
    </row>
    <row r="392" spans="1:27" s="209" customFormat="1" ht="15.75">
      <c r="A392" s="166"/>
      <c r="B392" s="160"/>
      <c r="C392" s="161" t="s">
        <v>3050</v>
      </c>
      <c r="D392" s="72"/>
      <c r="E392" s="208">
        <f aca="true" t="shared" si="68" ref="E392:Z392">E389+E386+E379+E378+E367+E387</f>
        <v>0</v>
      </c>
      <c r="F392" s="208">
        <f t="shared" si="68"/>
        <v>855882.08</v>
      </c>
      <c r="G392" s="101">
        <f t="shared" si="68"/>
        <v>855882.08</v>
      </c>
      <c r="H392" s="101">
        <f t="shared" si="68"/>
        <v>17175312.08</v>
      </c>
      <c r="I392" s="101">
        <f t="shared" si="68"/>
        <v>8539.59</v>
      </c>
      <c r="J392" s="101">
        <f t="shared" si="68"/>
        <v>0</v>
      </c>
      <c r="K392" s="101">
        <f t="shared" si="68"/>
        <v>153762.76</v>
      </c>
      <c r="L392" s="101">
        <f t="shared" si="68"/>
        <v>162302.35</v>
      </c>
      <c r="M392" s="101">
        <f t="shared" si="68"/>
        <v>0</v>
      </c>
      <c r="N392" s="101">
        <f t="shared" si="68"/>
        <v>5642619.82</v>
      </c>
      <c r="O392" s="101">
        <f t="shared" si="68"/>
        <v>1802787.95</v>
      </c>
      <c r="P392" s="101">
        <f t="shared" si="68"/>
        <v>7445407.7700000005</v>
      </c>
      <c r="Q392" s="101">
        <f t="shared" si="68"/>
        <v>267442.09</v>
      </c>
      <c r="R392" s="101">
        <f t="shared" si="68"/>
        <v>184197.23</v>
      </c>
      <c r="S392" s="101">
        <f t="shared" si="68"/>
        <v>-3420320.1</v>
      </c>
      <c r="T392" s="101">
        <f t="shared" si="68"/>
        <v>1266420.42</v>
      </c>
      <c r="U392" s="101">
        <f t="shared" si="68"/>
        <v>-1702260.3600000003</v>
      </c>
      <c r="V392" s="101">
        <f t="shared" si="68"/>
        <v>23936643.919999998</v>
      </c>
      <c r="W392" s="101">
        <f t="shared" si="68"/>
        <v>0</v>
      </c>
      <c r="X392" s="101">
        <f t="shared" si="68"/>
        <v>23936643.919999998</v>
      </c>
      <c r="Y392" s="101">
        <f t="shared" si="68"/>
        <v>2956183.49</v>
      </c>
      <c r="Z392" s="101">
        <f t="shared" si="68"/>
        <v>26892827.409999996</v>
      </c>
      <c r="AA392" s="166"/>
    </row>
    <row r="393" spans="2:26" ht="12.75">
      <c r="B393" s="148"/>
      <c r="C393" s="150"/>
      <c r="D393" s="157"/>
      <c r="E393" s="155"/>
      <c r="F393" s="155"/>
      <c r="G393" s="117"/>
      <c r="H393" s="117"/>
      <c r="I393" s="117"/>
      <c r="J393" s="117"/>
      <c r="K393" s="117"/>
      <c r="L393" s="117"/>
      <c r="M393" s="117"/>
      <c r="N393" s="117"/>
      <c r="O393" s="117"/>
      <c r="P393" s="117"/>
      <c r="Q393" s="117"/>
      <c r="R393" s="117"/>
      <c r="S393" s="117"/>
      <c r="T393" s="117"/>
      <c r="U393" s="117"/>
      <c r="V393" s="117"/>
      <c r="W393" s="117"/>
      <c r="X393" s="117"/>
      <c r="Y393" s="117"/>
      <c r="Z393" s="117"/>
    </row>
    <row r="394" spans="1:27" ht="12.75">
      <c r="A394" s="150"/>
      <c r="B394" s="148"/>
      <c r="C394" s="150" t="s">
        <v>3718</v>
      </c>
      <c r="D394" s="157"/>
      <c r="E394" s="155">
        <v>0</v>
      </c>
      <c r="F394" s="155">
        <v>0</v>
      </c>
      <c r="G394" s="117">
        <f>E394+F394</f>
        <v>0</v>
      </c>
      <c r="H394" s="117">
        <v>0</v>
      </c>
      <c r="I394" s="117">
        <v>0</v>
      </c>
      <c r="J394" s="117">
        <v>0</v>
      </c>
      <c r="K394" s="117">
        <v>0</v>
      </c>
      <c r="L394" s="117">
        <f>J394+I394+K394</f>
        <v>0</v>
      </c>
      <c r="M394" s="117">
        <v>0</v>
      </c>
      <c r="N394" s="117">
        <v>0</v>
      </c>
      <c r="O394" s="117">
        <v>0</v>
      </c>
      <c r="P394" s="117">
        <f>M394+N394+O394</f>
        <v>0</v>
      </c>
      <c r="Q394" s="117">
        <v>0</v>
      </c>
      <c r="R394" s="117">
        <v>8502576.42</v>
      </c>
      <c r="S394" s="117">
        <v>0</v>
      </c>
      <c r="T394" s="117">
        <v>0</v>
      </c>
      <c r="U394" s="117">
        <f>Q394+R394+S394+T394</f>
        <v>8502576.42</v>
      </c>
      <c r="V394" s="117">
        <f>G394+H394+L394+P394+U394</f>
        <v>8502576.42</v>
      </c>
      <c r="W394" s="117">
        <v>0</v>
      </c>
      <c r="X394" s="117">
        <f>V394+W394</f>
        <v>8502576.42</v>
      </c>
      <c r="Y394" s="117">
        <v>0</v>
      </c>
      <c r="Z394" s="117">
        <f>X394+Y394</f>
        <v>8502576.42</v>
      </c>
      <c r="AA394" s="150"/>
    </row>
    <row r="395" spans="1:27" ht="12.75">
      <c r="A395" s="150"/>
      <c r="B395" s="148"/>
      <c r="C395" s="150" t="s">
        <v>33</v>
      </c>
      <c r="D395" s="157"/>
      <c r="E395" s="155">
        <v>0</v>
      </c>
      <c r="F395" s="155">
        <v>0</v>
      </c>
      <c r="G395" s="117">
        <f>E395+F395</f>
        <v>0</v>
      </c>
      <c r="H395" s="117">
        <v>0</v>
      </c>
      <c r="I395" s="117">
        <v>0</v>
      </c>
      <c r="J395" s="117">
        <v>0</v>
      </c>
      <c r="K395" s="117">
        <v>0</v>
      </c>
      <c r="L395" s="117">
        <f>J395+I395+K395</f>
        <v>0</v>
      </c>
      <c r="M395" s="117">
        <v>0</v>
      </c>
      <c r="N395" s="117">
        <v>0</v>
      </c>
      <c r="O395" s="117">
        <v>0</v>
      </c>
      <c r="P395" s="117">
        <f>M395+N395+O395</f>
        <v>0</v>
      </c>
      <c r="Q395" s="117">
        <v>0</v>
      </c>
      <c r="R395" s="117">
        <v>1000000</v>
      </c>
      <c r="S395" s="117">
        <v>0</v>
      </c>
      <c r="T395" s="117">
        <v>0</v>
      </c>
      <c r="U395" s="117">
        <f>Q395+R395+S395+T395</f>
        <v>1000000</v>
      </c>
      <c r="V395" s="117">
        <f>G395+H395+L395+P395+U395</f>
        <v>1000000</v>
      </c>
      <c r="W395" s="117">
        <v>0</v>
      </c>
      <c r="X395" s="117">
        <f>V395+W395</f>
        <v>1000000</v>
      </c>
      <c r="Y395" s="117">
        <v>0</v>
      </c>
      <c r="Z395" s="117">
        <f>X395+Y395</f>
        <v>1000000</v>
      </c>
      <c r="AA395" s="150"/>
    </row>
    <row r="396" spans="1:27" ht="12.75">
      <c r="A396" s="169"/>
      <c r="B396" s="148"/>
      <c r="C396" s="150" t="s">
        <v>34</v>
      </c>
      <c r="D396" s="157"/>
      <c r="E396" s="155">
        <v>0</v>
      </c>
      <c r="F396" s="155">
        <v>0</v>
      </c>
      <c r="G396" s="117">
        <f>E396+F396</f>
        <v>0</v>
      </c>
      <c r="H396" s="117">
        <v>0</v>
      </c>
      <c r="I396" s="117">
        <v>0</v>
      </c>
      <c r="J396" s="117">
        <v>0</v>
      </c>
      <c r="K396" s="117">
        <v>0</v>
      </c>
      <c r="L396" s="117">
        <f>J396+I396+K396</f>
        <v>0</v>
      </c>
      <c r="M396" s="117">
        <v>0</v>
      </c>
      <c r="N396" s="117">
        <v>0</v>
      </c>
      <c r="O396" s="117">
        <v>0</v>
      </c>
      <c r="P396" s="117">
        <f>M396+N396+O396</f>
        <v>0</v>
      </c>
      <c r="Q396" s="117">
        <v>0</v>
      </c>
      <c r="R396" s="117">
        <v>0</v>
      </c>
      <c r="S396" s="117">
        <v>0</v>
      </c>
      <c r="T396" s="117">
        <v>0</v>
      </c>
      <c r="U396" s="117">
        <f>Q396+R396+S396+T396</f>
        <v>0</v>
      </c>
      <c r="V396" s="117">
        <f>G396+H396+L396+P396+U396</f>
        <v>0</v>
      </c>
      <c r="W396" s="117">
        <v>0</v>
      </c>
      <c r="X396" s="117">
        <f>V396+W396</f>
        <v>0</v>
      </c>
      <c r="Y396" s="117">
        <v>0</v>
      </c>
      <c r="Z396" s="117">
        <f>X396+Y396</f>
        <v>0</v>
      </c>
      <c r="AA396" s="169"/>
    </row>
    <row r="397" spans="1:27" ht="12.75">
      <c r="A397" s="169" t="s">
        <v>3783</v>
      </c>
      <c r="B397" s="148"/>
      <c r="C397" s="150" t="s">
        <v>3730</v>
      </c>
      <c r="D397" s="157"/>
      <c r="E397" s="155">
        <v>0</v>
      </c>
      <c r="F397" s="155">
        <v>0</v>
      </c>
      <c r="G397" s="117">
        <f>E397+F397</f>
        <v>0</v>
      </c>
      <c r="H397" s="117">
        <v>0</v>
      </c>
      <c r="I397" s="117">
        <v>0</v>
      </c>
      <c r="J397" s="117">
        <v>0</v>
      </c>
      <c r="K397" s="117">
        <v>0</v>
      </c>
      <c r="L397" s="117">
        <f>J397+I397+K397</f>
        <v>0</v>
      </c>
      <c r="M397" s="117">
        <v>0</v>
      </c>
      <c r="N397" s="117">
        <v>3423721</v>
      </c>
      <c r="O397" s="117">
        <v>330528.14</v>
      </c>
      <c r="P397" s="117">
        <f>M397+N397+O397</f>
        <v>3754249.14</v>
      </c>
      <c r="Q397" s="117">
        <v>0</v>
      </c>
      <c r="R397" s="117">
        <v>0</v>
      </c>
      <c r="S397" s="117">
        <v>0</v>
      </c>
      <c r="T397" s="117">
        <v>0</v>
      </c>
      <c r="U397" s="117">
        <f>Q397+R397+S397+T397</f>
        <v>0</v>
      </c>
      <c r="V397" s="117">
        <f>G397+H397+L397+P397+U397</f>
        <v>3754249.14</v>
      </c>
      <c r="W397" s="117">
        <v>0</v>
      </c>
      <c r="X397" s="117">
        <f>V397+W397</f>
        <v>3754249.14</v>
      </c>
      <c r="Y397" s="117">
        <v>0</v>
      </c>
      <c r="Z397" s="117">
        <f>X397+Y397</f>
        <v>3754249.14</v>
      </c>
      <c r="AA397" s="169"/>
    </row>
    <row r="398" spans="1:27" ht="12.75">
      <c r="A398" s="189"/>
      <c r="B398" s="160"/>
      <c r="C398" s="161"/>
      <c r="D398" s="72"/>
      <c r="E398" s="208"/>
      <c r="F398" s="208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  <c r="AA398" s="189"/>
    </row>
    <row r="399" spans="1:27" ht="12.75">
      <c r="A399" s="189"/>
      <c r="B399" s="160"/>
      <c r="C399" s="161" t="s">
        <v>3051</v>
      </c>
      <c r="D399" s="72"/>
      <c r="E399" s="208">
        <f aca="true" t="shared" si="69" ref="E399:Z399">E392+E394+E395+E396+E397</f>
        <v>0</v>
      </c>
      <c r="F399" s="208">
        <f t="shared" si="69"/>
        <v>855882.08</v>
      </c>
      <c r="G399" s="101">
        <f t="shared" si="69"/>
        <v>855882.08</v>
      </c>
      <c r="H399" s="101">
        <f t="shared" si="69"/>
        <v>17175312.08</v>
      </c>
      <c r="I399" s="101">
        <f t="shared" si="69"/>
        <v>8539.59</v>
      </c>
      <c r="J399" s="101">
        <f t="shared" si="69"/>
        <v>0</v>
      </c>
      <c r="K399" s="101">
        <f t="shared" si="69"/>
        <v>153762.76</v>
      </c>
      <c r="L399" s="101">
        <f t="shared" si="69"/>
        <v>162302.35</v>
      </c>
      <c r="M399" s="101">
        <f t="shared" si="69"/>
        <v>0</v>
      </c>
      <c r="N399" s="101">
        <f t="shared" si="69"/>
        <v>9066340.82</v>
      </c>
      <c r="O399" s="101">
        <f t="shared" si="69"/>
        <v>2133316.09</v>
      </c>
      <c r="P399" s="101">
        <f t="shared" si="69"/>
        <v>11199656.91</v>
      </c>
      <c r="Q399" s="101">
        <f t="shared" si="69"/>
        <v>267442.09</v>
      </c>
      <c r="R399" s="101">
        <f t="shared" si="69"/>
        <v>9686773.65</v>
      </c>
      <c r="S399" s="101">
        <f t="shared" si="69"/>
        <v>-3420320.1</v>
      </c>
      <c r="T399" s="101">
        <f t="shared" si="69"/>
        <v>1266420.42</v>
      </c>
      <c r="U399" s="101">
        <f t="shared" si="69"/>
        <v>7800316.06</v>
      </c>
      <c r="V399" s="101">
        <f t="shared" si="69"/>
        <v>37193469.48</v>
      </c>
      <c r="W399" s="101">
        <f t="shared" si="69"/>
        <v>0</v>
      </c>
      <c r="X399" s="101">
        <f t="shared" si="69"/>
        <v>37193469.48</v>
      </c>
      <c r="Y399" s="101">
        <f t="shared" si="69"/>
        <v>2956183.49</v>
      </c>
      <c r="Z399" s="101">
        <f t="shared" si="69"/>
        <v>40149652.97</v>
      </c>
      <c r="AA399" s="189"/>
    </row>
    <row r="400" spans="1:27" ht="12.75">
      <c r="A400" s="189"/>
      <c r="B400" s="160"/>
      <c r="C400" s="161"/>
      <c r="D400" s="72"/>
      <c r="E400" s="208"/>
      <c r="F400" s="208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  <c r="AA400" s="189"/>
    </row>
    <row r="401" spans="1:26" ht="12.75" hidden="1" outlineLevel="1">
      <c r="A401" s="132" t="s">
        <v>3052</v>
      </c>
      <c r="C401" s="171" t="s">
        <v>3053</v>
      </c>
      <c r="D401" s="171" t="s">
        <v>3054</v>
      </c>
      <c r="E401" s="132">
        <v>0</v>
      </c>
      <c r="F401" s="132">
        <v>0</v>
      </c>
      <c r="G401" s="171">
        <f aca="true" t="shared" si="70" ref="G401:G427">E401+F401</f>
        <v>0</v>
      </c>
      <c r="H401" s="132">
        <v>16717.96</v>
      </c>
      <c r="I401" s="132">
        <v>0</v>
      </c>
      <c r="J401" s="132">
        <v>0</v>
      </c>
      <c r="K401" s="132">
        <v>0</v>
      </c>
      <c r="L401" s="132">
        <f aca="true" t="shared" si="71" ref="L401:L427">J401+I401+K401</f>
        <v>0</v>
      </c>
      <c r="M401" s="132">
        <v>0</v>
      </c>
      <c r="N401" s="132">
        <v>0</v>
      </c>
      <c r="O401" s="132">
        <v>0</v>
      </c>
      <c r="P401" s="132">
        <f aca="true" t="shared" si="72" ref="P401:P427">M401+N401+O401</f>
        <v>0</v>
      </c>
      <c r="Q401" s="171">
        <v>0</v>
      </c>
      <c r="R401" s="171">
        <v>0</v>
      </c>
      <c r="S401" s="171">
        <v>0</v>
      </c>
      <c r="T401" s="171">
        <v>0</v>
      </c>
      <c r="U401" s="171">
        <f aca="true" t="shared" si="73" ref="U401:U427">Q401+R401+S401+T401</f>
        <v>0</v>
      </c>
      <c r="V401" s="171">
        <f aca="true" t="shared" si="74" ref="V401:V427">G401+H401+L401+P401+U401</f>
        <v>16717.96</v>
      </c>
      <c r="W401" s="132">
        <v>0</v>
      </c>
      <c r="X401" s="132">
        <f aca="true" t="shared" si="75" ref="X401:X427">V401+W401</f>
        <v>16717.96</v>
      </c>
      <c r="Y401" s="171">
        <v>0</v>
      </c>
      <c r="Z401" s="132">
        <f aca="true" t="shared" si="76" ref="Z401:Z427">X401+Y401</f>
        <v>16717.96</v>
      </c>
    </row>
    <row r="402" spans="1:26" ht="12.75" hidden="1" outlineLevel="1">
      <c r="A402" s="132" t="s">
        <v>3055</v>
      </c>
      <c r="C402" s="171" t="s">
        <v>3056</v>
      </c>
      <c r="D402" s="171" t="s">
        <v>3057</v>
      </c>
      <c r="E402" s="132">
        <v>0</v>
      </c>
      <c r="F402" s="132">
        <v>0</v>
      </c>
      <c r="G402" s="171">
        <f t="shared" si="70"/>
        <v>0</v>
      </c>
      <c r="H402" s="132">
        <v>0</v>
      </c>
      <c r="I402" s="132">
        <v>0</v>
      </c>
      <c r="J402" s="132">
        <v>0</v>
      </c>
      <c r="K402" s="132">
        <v>0</v>
      </c>
      <c r="L402" s="132">
        <f t="shared" si="71"/>
        <v>0</v>
      </c>
      <c r="M402" s="132">
        <v>0</v>
      </c>
      <c r="N402" s="132">
        <v>0</v>
      </c>
      <c r="O402" s="132">
        <v>0</v>
      </c>
      <c r="P402" s="132">
        <f t="shared" si="72"/>
        <v>0</v>
      </c>
      <c r="Q402" s="171">
        <v>3182206</v>
      </c>
      <c r="R402" s="171">
        <v>0</v>
      </c>
      <c r="S402" s="171">
        <v>3404360.68</v>
      </c>
      <c r="T402" s="171">
        <v>0</v>
      </c>
      <c r="U402" s="171">
        <f t="shared" si="73"/>
        <v>6586566.68</v>
      </c>
      <c r="V402" s="171">
        <f t="shared" si="74"/>
        <v>6586566.68</v>
      </c>
      <c r="W402" s="132">
        <v>0</v>
      </c>
      <c r="X402" s="132">
        <f t="shared" si="75"/>
        <v>6586566.68</v>
      </c>
      <c r="Y402" s="171">
        <v>0</v>
      </c>
      <c r="Z402" s="132">
        <f t="shared" si="76"/>
        <v>6586566.68</v>
      </c>
    </row>
    <row r="403" spans="1:26" ht="12.75" hidden="1" outlineLevel="1">
      <c r="A403" s="132" t="s">
        <v>3058</v>
      </c>
      <c r="C403" s="171" t="s">
        <v>3059</v>
      </c>
      <c r="D403" s="171" t="s">
        <v>3060</v>
      </c>
      <c r="E403" s="132">
        <v>0</v>
      </c>
      <c r="F403" s="132">
        <v>0</v>
      </c>
      <c r="G403" s="171">
        <f t="shared" si="70"/>
        <v>0</v>
      </c>
      <c r="H403" s="132">
        <v>792.85</v>
      </c>
      <c r="I403" s="132">
        <v>0</v>
      </c>
      <c r="J403" s="132">
        <v>0</v>
      </c>
      <c r="K403" s="132">
        <v>1020</v>
      </c>
      <c r="L403" s="132">
        <f t="shared" si="71"/>
        <v>1020</v>
      </c>
      <c r="M403" s="132">
        <v>0</v>
      </c>
      <c r="N403" s="132">
        <v>6524.79</v>
      </c>
      <c r="O403" s="132">
        <v>0</v>
      </c>
      <c r="P403" s="132">
        <f t="shared" si="72"/>
        <v>6524.79</v>
      </c>
      <c r="Q403" s="171">
        <v>0</v>
      </c>
      <c r="R403" s="171">
        <v>0</v>
      </c>
      <c r="S403" s="171">
        <v>0</v>
      </c>
      <c r="T403" s="171">
        <v>0</v>
      </c>
      <c r="U403" s="171">
        <f t="shared" si="73"/>
        <v>0</v>
      </c>
      <c r="V403" s="171">
        <f t="shared" si="74"/>
        <v>8337.64</v>
      </c>
      <c r="W403" s="132">
        <v>0</v>
      </c>
      <c r="X403" s="132">
        <f t="shared" si="75"/>
        <v>8337.64</v>
      </c>
      <c r="Y403" s="171">
        <v>0</v>
      </c>
      <c r="Z403" s="132">
        <f t="shared" si="76"/>
        <v>8337.64</v>
      </c>
    </row>
    <row r="404" spans="1:26" ht="12.75" hidden="1" outlineLevel="1">
      <c r="A404" s="132" t="s">
        <v>3061</v>
      </c>
      <c r="C404" s="171" t="s">
        <v>3062</v>
      </c>
      <c r="D404" s="171" t="s">
        <v>3063</v>
      </c>
      <c r="E404" s="132">
        <v>0</v>
      </c>
      <c r="F404" s="132">
        <v>0</v>
      </c>
      <c r="G404" s="171">
        <f t="shared" si="70"/>
        <v>0</v>
      </c>
      <c r="H404" s="132">
        <v>0</v>
      </c>
      <c r="I404" s="132">
        <v>0</v>
      </c>
      <c r="J404" s="132">
        <v>0</v>
      </c>
      <c r="K404" s="132">
        <v>0</v>
      </c>
      <c r="L404" s="132">
        <f t="shared" si="71"/>
        <v>0</v>
      </c>
      <c r="M404" s="132">
        <v>0</v>
      </c>
      <c r="N404" s="132">
        <v>-16717.96</v>
      </c>
      <c r="O404" s="132">
        <v>0</v>
      </c>
      <c r="P404" s="132">
        <f t="shared" si="72"/>
        <v>-16717.96</v>
      </c>
      <c r="Q404" s="171">
        <v>0</v>
      </c>
      <c r="R404" s="171">
        <v>0</v>
      </c>
      <c r="S404" s="171">
        <v>0</v>
      </c>
      <c r="T404" s="171">
        <v>0</v>
      </c>
      <c r="U404" s="171">
        <f t="shared" si="73"/>
        <v>0</v>
      </c>
      <c r="V404" s="171">
        <f t="shared" si="74"/>
        <v>-16717.96</v>
      </c>
      <c r="W404" s="132">
        <v>0</v>
      </c>
      <c r="X404" s="132">
        <f t="shared" si="75"/>
        <v>-16717.96</v>
      </c>
      <c r="Y404" s="171">
        <v>0</v>
      </c>
      <c r="Z404" s="132">
        <f t="shared" si="76"/>
        <v>-16717.96</v>
      </c>
    </row>
    <row r="405" spans="1:26" ht="12.75" hidden="1" outlineLevel="1">
      <c r="A405" s="132" t="s">
        <v>37</v>
      </c>
      <c r="C405" s="171" t="s">
        <v>38</v>
      </c>
      <c r="D405" s="171" t="s">
        <v>39</v>
      </c>
      <c r="E405" s="132">
        <v>0</v>
      </c>
      <c r="F405" s="132">
        <v>-3182206</v>
      </c>
      <c r="G405" s="171">
        <f t="shared" si="70"/>
        <v>-3182206</v>
      </c>
      <c r="H405" s="132">
        <v>0</v>
      </c>
      <c r="I405" s="132">
        <v>0</v>
      </c>
      <c r="J405" s="132">
        <v>0</v>
      </c>
      <c r="K405" s="132">
        <v>0</v>
      </c>
      <c r="L405" s="132">
        <f t="shared" si="71"/>
        <v>0</v>
      </c>
      <c r="M405" s="132">
        <v>0</v>
      </c>
      <c r="N405" s="132">
        <v>0</v>
      </c>
      <c r="O405" s="132">
        <v>0</v>
      </c>
      <c r="P405" s="132">
        <f t="shared" si="72"/>
        <v>0</v>
      </c>
      <c r="Q405" s="171">
        <v>-3214195.24</v>
      </c>
      <c r="R405" s="171">
        <v>0</v>
      </c>
      <c r="S405" s="171">
        <v>-159298.98</v>
      </c>
      <c r="T405" s="171">
        <v>0</v>
      </c>
      <c r="U405" s="171">
        <f t="shared" si="73"/>
        <v>-3373494.22</v>
      </c>
      <c r="V405" s="171">
        <f t="shared" si="74"/>
        <v>-6555700.220000001</v>
      </c>
      <c r="W405" s="132">
        <v>0</v>
      </c>
      <c r="X405" s="132">
        <f t="shared" si="75"/>
        <v>-6555700.220000001</v>
      </c>
      <c r="Y405" s="171">
        <v>0</v>
      </c>
      <c r="Z405" s="132">
        <f t="shared" si="76"/>
        <v>-6555700.220000001</v>
      </c>
    </row>
    <row r="406" spans="1:26" ht="12.75" hidden="1" outlineLevel="1">
      <c r="A406" s="132" t="s">
        <v>40</v>
      </c>
      <c r="C406" s="171" t="s">
        <v>41</v>
      </c>
      <c r="D406" s="171" t="s">
        <v>42</v>
      </c>
      <c r="E406" s="132">
        <v>0</v>
      </c>
      <c r="F406" s="132">
        <v>-2020</v>
      </c>
      <c r="G406" s="171">
        <f t="shared" si="70"/>
        <v>-2020</v>
      </c>
      <c r="H406" s="132">
        <v>-792.85</v>
      </c>
      <c r="I406" s="132">
        <v>0</v>
      </c>
      <c r="J406" s="132">
        <v>0</v>
      </c>
      <c r="K406" s="132">
        <v>0</v>
      </c>
      <c r="L406" s="132">
        <f t="shared" si="71"/>
        <v>0</v>
      </c>
      <c r="M406" s="132">
        <v>0</v>
      </c>
      <c r="N406" s="132">
        <v>-5524.79</v>
      </c>
      <c r="O406" s="132">
        <v>0</v>
      </c>
      <c r="P406" s="132">
        <f t="shared" si="72"/>
        <v>-5524.79</v>
      </c>
      <c r="Q406" s="171">
        <v>0</v>
      </c>
      <c r="R406" s="171">
        <v>0</v>
      </c>
      <c r="S406" s="171">
        <v>0</v>
      </c>
      <c r="T406" s="171">
        <v>0</v>
      </c>
      <c r="U406" s="171">
        <f t="shared" si="73"/>
        <v>0</v>
      </c>
      <c r="V406" s="171">
        <f t="shared" si="74"/>
        <v>-8337.64</v>
      </c>
      <c r="W406" s="132">
        <v>0</v>
      </c>
      <c r="X406" s="132">
        <f t="shared" si="75"/>
        <v>-8337.64</v>
      </c>
      <c r="Y406" s="171">
        <v>0</v>
      </c>
      <c r="Z406" s="132">
        <f t="shared" si="76"/>
        <v>-8337.64</v>
      </c>
    </row>
    <row r="407" spans="1:27" ht="12.75" collapsed="1">
      <c r="A407" s="150" t="s">
        <v>43</v>
      </c>
      <c r="B407" s="148"/>
      <c r="C407" s="150" t="s">
        <v>3731</v>
      </c>
      <c r="D407" s="157"/>
      <c r="E407" s="155">
        <v>0</v>
      </c>
      <c r="F407" s="155">
        <v>-3184226</v>
      </c>
      <c r="G407" s="117">
        <f t="shared" si="70"/>
        <v>-3184226</v>
      </c>
      <c r="H407" s="117">
        <v>16717.96</v>
      </c>
      <c r="I407" s="117">
        <v>0</v>
      </c>
      <c r="J407" s="117">
        <v>0</v>
      </c>
      <c r="K407" s="117">
        <v>1020</v>
      </c>
      <c r="L407" s="117">
        <f t="shared" si="71"/>
        <v>1020</v>
      </c>
      <c r="M407" s="117">
        <v>0</v>
      </c>
      <c r="N407" s="117">
        <v>-15717.96</v>
      </c>
      <c r="O407" s="117">
        <v>0</v>
      </c>
      <c r="P407" s="117">
        <f t="shared" si="72"/>
        <v>-15717.96</v>
      </c>
      <c r="Q407" s="117">
        <v>-31989.240000000224</v>
      </c>
      <c r="R407" s="117">
        <v>0</v>
      </c>
      <c r="S407" s="117">
        <v>3245061.7</v>
      </c>
      <c r="T407" s="117">
        <v>0</v>
      </c>
      <c r="U407" s="117">
        <f t="shared" si="73"/>
        <v>3213072.46</v>
      </c>
      <c r="V407" s="117">
        <f t="shared" si="74"/>
        <v>30866.459999999963</v>
      </c>
      <c r="W407" s="117">
        <v>0</v>
      </c>
      <c r="X407" s="117">
        <f t="shared" si="75"/>
        <v>30866.459999999963</v>
      </c>
      <c r="Y407" s="117">
        <v>0</v>
      </c>
      <c r="Z407" s="117">
        <f t="shared" si="76"/>
        <v>30866.459999999963</v>
      </c>
      <c r="AA407" s="150"/>
    </row>
    <row r="408" spans="1:26" ht="12.75" hidden="1" outlineLevel="1">
      <c r="A408" s="132" t="s">
        <v>44</v>
      </c>
      <c r="C408" s="171" t="s">
        <v>45</v>
      </c>
      <c r="D408" s="171" t="s">
        <v>46</v>
      </c>
      <c r="E408" s="132">
        <v>0</v>
      </c>
      <c r="F408" s="132">
        <v>-562250</v>
      </c>
      <c r="G408" s="171">
        <f t="shared" si="70"/>
        <v>-562250</v>
      </c>
      <c r="H408" s="132">
        <v>1403639.13</v>
      </c>
      <c r="I408" s="132">
        <v>0</v>
      </c>
      <c r="J408" s="132">
        <v>0</v>
      </c>
      <c r="K408" s="132">
        <v>-18987.5</v>
      </c>
      <c r="L408" s="132">
        <f t="shared" si="71"/>
        <v>-18987.5</v>
      </c>
      <c r="M408" s="132">
        <v>0</v>
      </c>
      <c r="N408" s="132">
        <v>1453279.23</v>
      </c>
      <c r="O408" s="132">
        <v>998761.95</v>
      </c>
      <c r="P408" s="132">
        <f t="shared" si="72"/>
        <v>2452041.1799999997</v>
      </c>
      <c r="Q408" s="171">
        <v>1508000.88</v>
      </c>
      <c r="R408" s="171">
        <v>592514.51</v>
      </c>
      <c r="S408" s="171">
        <v>0</v>
      </c>
      <c r="T408" s="171">
        <v>0</v>
      </c>
      <c r="U408" s="171">
        <f t="shared" si="73"/>
        <v>2100515.3899999997</v>
      </c>
      <c r="V408" s="171">
        <f t="shared" si="74"/>
        <v>5374958.199999999</v>
      </c>
      <c r="W408" s="132">
        <v>0</v>
      </c>
      <c r="X408" s="132">
        <f t="shared" si="75"/>
        <v>5374958.199999999</v>
      </c>
      <c r="Y408" s="171">
        <v>135000</v>
      </c>
      <c r="Z408" s="132">
        <f t="shared" si="76"/>
        <v>5509958.199999999</v>
      </c>
    </row>
    <row r="409" spans="1:26" ht="12.75" hidden="1" outlineLevel="1">
      <c r="A409" s="132" t="s">
        <v>3064</v>
      </c>
      <c r="C409" s="171" t="s">
        <v>3065</v>
      </c>
      <c r="D409" s="171" t="s">
        <v>3066</v>
      </c>
      <c r="E409" s="132">
        <v>0</v>
      </c>
      <c r="F409" s="132">
        <v>0</v>
      </c>
      <c r="G409" s="171">
        <f t="shared" si="70"/>
        <v>0</v>
      </c>
      <c r="H409" s="132">
        <v>0</v>
      </c>
      <c r="I409" s="132">
        <v>0</v>
      </c>
      <c r="J409" s="132">
        <v>0</v>
      </c>
      <c r="K409" s="132">
        <v>0</v>
      </c>
      <c r="L409" s="132">
        <f t="shared" si="71"/>
        <v>0</v>
      </c>
      <c r="M409" s="132">
        <v>0</v>
      </c>
      <c r="N409" s="132">
        <v>0</v>
      </c>
      <c r="O409" s="132">
        <v>0</v>
      </c>
      <c r="P409" s="132">
        <f t="shared" si="72"/>
        <v>0</v>
      </c>
      <c r="Q409" s="171">
        <v>2863720.86</v>
      </c>
      <c r="R409" s="171">
        <v>-2703438</v>
      </c>
      <c r="S409" s="171">
        <v>0</v>
      </c>
      <c r="T409" s="171">
        <v>0</v>
      </c>
      <c r="U409" s="171">
        <f t="shared" si="73"/>
        <v>160282.85999999987</v>
      </c>
      <c r="V409" s="171">
        <f t="shared" si="74"/>
        <v>160282.85999999987</v>
      </c>
      <c r="W409" s="132">
        <v>0</v>
      </c>
      <c r="X409" s="132">
        <f t="shared" si="75"/>
        <v>160282.85999999987</v>
      </c>
      <c r="Y409" s="171">
        <v>0</v>
      </c>
      <c r="Z409" s="132">
        <f t="shared" si="76"/>
        <v>160282.85999999987</v>
      </c>
    </row>
    <row r="410" spans="1:26" ht="12.75" hidden="1" outlineLevel="1">
      <c r="A410" s="132" t="s">
        <v>3067</v>
      </c>
      <c r="C410" s="171" t="s">
        <v>3068</v>
      </c>
      <c r="D410" s="171" t="s">
        <v>3069</v>
      </c>
      <c r="E410" s="132">
        <v>0</v>
      </c>
      <c r="F410" s="132">
        <v>0</v>
      </c>
      <c r="G410" s="171">
        <f t="shared" si="70"/>
        <v>0</v>
      </c>
      <c r="H410" s="132">
        <v>0</v>
      </c>
      <c r="I410" s="132">
        <v>0</v>
      </c>
      <c r="J410" s="132">
        <v>0</v>
      </c>
      <c r="K410" s="132">
        <v>0</v>
      </c>
      <c r="L410" s="132">
        <f t="shared" si="71"/>
        <v>0</v>
      </c>
      <c r="M410" s="132">
        <v>0</v>
      </c>
      <c r="N410" s="132">
        <v>0</v>
      </c>
      <c r="O410" s="132">
        <v>0</v>
      </c>
      <c r="P410" s="132">
        <f t="shared" si="72"/>
        <v>0</v>
      </c>
      <c r="Q410" s="171">
        <v>1375019</v>
      </c>
      <c r="R410" s="171">
        <v>0</v>
      </c>
      <c r="S410" s="171">
        <v>0</v>
      </c>
      <c r="T410" s="171">
        <v>0</v>
      </c>
      <c r="U410" s="171">
        <f t="shared" si="73"/>
        <v>1375019</v>
      </c>
      <c r="V410" s="171">
        <f t="shared" si="74"/>
        <v>1375019</v>
      </c>
      <c r="W410" s="132">
        <v>0</v>
      </c>
      <c r="X410" s="132">
        <f t="shared" si="75"/>
        <v>1375019</v>
      </c>
      <c r="Y410" s="171">
        <v>0</v>
      </c>
      <c r="Z410" s="132">
        <f t="shared" si="76"/>
        <v>1375019</v>
      </c>
    </row>
    <row r="411" spans="1:26" ht="12.75" hidden="1" outlineLevel="1">
      <c r="A411" s="132" t="s">
        <v>47</v>
      </c>
      <c r="C411" s="171" t="s">
        <v>48</v>
      </c>
      <c r="D411" s="171" t="s">
        <v>49</v>
      </c>
      <c r="E411" s="132">
        <v>0</v>
      </c>
      <c r="F411" s="132">
        <v>75000</v>
      </c>
      <c r="G411" s="171">
        <f t="shared" si="70"/>
        <v>75000</v>
      </c>
      <c r="H411" s="132">
        <v>128868.93</v>
      </c>
      <c r="I411" s="132">
        <v>0</v>
      </c>
      <c r="J411" s="132">
        <v>0</v>
      </c>
      <c r="K411" s="132">
        <v>-0.09</v>
      </c>
      <c r="L411" s="132">
        <f t="shared" si="71"/>
        <v>-0.09</v>
      </c>
      <c r="M411" s="132">
        <v>0</v>
      </c>
      <c r="N411" s="132">
        <v>700</v>
      </c>
      <c r="O411" s="132">
        <v>0</v>
      </c>
      <c r="P411" s="132">
        <f t="shared" si="72"/>
        <v>700</v>
      </c>
      <c r="Q411" s="171">
        <v>4269018.67</v>
      </c>
      <c r="R411" s="171">
        <v>878420.33</v>
      </c>
      <c r="S411" s="171">
        <v>0</v>
      </c>
      <c r="T411" s="171">
        <v>0</v>
      </c>
      <c r="U411" s="171">
        <f t="shared" si="73"/>
        <v>5147439</v>
      </c>
      <c r="V411" s="171">
        <f t="shared" si="74"/>
        <v>5352007.84</v>
      </c>
      <c r="W411" s="132">
        <v>0</v>
      </c>
      <c r="X411" s="132">
        <f t="shared" si="75"/>
        <v>5352007.84</v>
      </c>
      <c r="Y411" s="171">
        <v>0</v>
      </c>
      <c r="Z411" s="132">
        <f t="shared" si="76"/>
        <v>5352007.84</v>
      </c>
    </row>
    <row r="412" spans="1:26" ht="12.75" hidden="1" outlineLevel="1">
      <c r="A412" s="132" t="s">
        <v>50</v>
      </c>
      <c r="C412" s="171" t="s">
        <v>51</v>
      </c>
      <c r="D412" s="171" t="s">
        <v>52</v>
      </c>
      <c r="E412" s="132">
        <v>0</v>
      </c>
      <c r="F412" s="132">
        <v>-121063.25</v>
      </c>
      <c r="G412" s="171">
        <f t="shared" si="70"/>
        <v>-121063.25</v>
      </c>
      <c r="H412" s="132">
        <v>-2778769.97</v>
      </c>
      <c r="I412" s="132">
        <v>0</v>
      </c>
      <c r="J412" s="132">
        <v>0</v>
      </c>
      <c r="K412" s="132">
        <v>0</v>
      </c>
      <c r="L412" s="132">
        <f t="shared" si="71"/>
        <v>0</v>
      </c>
      <c r="M412" s="132">
        <v>0</v>
      </c>
      <c r="N412" s="132">
        <v>-1400872.81</v>
      </c>
      <c r="O412" s="132">
        <v>-620.27</v>
      </c>
      <c r="P412" s="132">
        <f t="shared" si="72"/>
        <v>-1401493.08</v>
      </c>
      <c r="Q412" s="171">
        <v>-74331.9</v>
      </c>
      <c r="R412" s="171">
        <v>0</v>
      </c>
      <c r="S412" s="171">
        <v>0</v>
      </c>
      <c r="T412" s="171">
        <v>0</v>
      </c>
      <c r="U412" s="171">
        <f t="shared" si="73"/>
        <v>-74331.9</v>
      </c>
      <c r="V412" s="171">
        <f t="shared" si="74"/>
        <v>-4375658.200000001</v>
      </c>
      <c r="W412" s="132">
        <v>0</v>
      </c>
      <c r="X412" s="132">
        <f t="shared" si="75"/>
        <v>-4375658.200000001</v>
      </c>
      <c r="Y412" s="171">
        <v>-135000</v>
      </c>
      <c r="Z412" s="132">
        <f t="shared" si="76"/>
        <v>-4510658.200000001</v>
      </c>
    </row>
    <row r="413" spans="1:26" ht="12.75" hidden="1" outlineLevel="1">
      <c r="A413" s="132" t="s">
        <v>53</v>
      </c>
      <c r="C413" s="171" t="s">
        <v>54</v>
      </c>
      <c r="D413" s="171" t="s">
        <v>55</v>
      </c>
      <c r="E413" s="132">
        <v>0</v>
      </c>
      <c r="F413" s="132">
        <v>-44388</v>
      </c>
      <c r="G413" s="171">
        <f t="shared" si="70"/>
        <v>-44388</v>
      </c>
      <c r="H413" s="132">
        <v>0</v>
      </c>
      <c r="I413" s="132">
        <v>0</v>
      </c>
      <c r="J413" s="132">
        <v>0</v>
      </c>
      <c r="K413" s="132">
        <v>0</v>
      </c>
      <c r="L413" s="132">
        <f t="shared" si="71"/>
        <v>0</v>
      </c>
      <c r="M413" s="132">
        <v>0</v>
      </c>
      <c r="N413" s="132">
        <v>0</v>
      </c>
      <c r="O413" s="132">
        <v>0</v>
      </c>
      <c r="P413" s="132">
        <f t="shared" si="72"/>
        <v>0</v>
      </c>
      <c r="Q413" s="171">
        <v>0</v>
      </c>
      <c r="R413" s="171">
        <v>0</v>
      </c>
      <c r="S413" s="171">
        <v>0</v>
      </c>
      <c r="T413" s="171">
        <v>0</v>
      </c>
      <c r="U413" s="171">
        <f t="shared" si="73"/>
        <v>0</v>
      </c>
      <c r="V413" s="171">
        <f t="shared" si="74"/>
        <v>-44388</v>
      </c>
      <c r="W413" s="132">
        <v>0</v>
      </c>
      <c r="X413" s="132">
        <f t="shared" si="75"/>
        <v>-44388</v>
      </c>
      <c r="Y413" s="171">
        <v>0</v>
      </c>
      <c r="Z413" s="132">
        <f t="shared" si="76"/>
        <v>-44388</v>
      </c>
    </row>
    <row r="414" spans="1:26" ht="12.75" hidden="1" outlineLevel="1">
      <c r="A414" s="132" t="s">
        <v>56</v>
      </c>
      <c r="C414" s="171" t="s">
        <v>57</v>
      </c>
      <c r="D414" s="171" t="s">
        <v>58</v>
      </c>
      <c r="E414" s="132">
        <v>0</v>
      </c>
      <c r="F414" s="132">
        <v>-311520</v>
      </c>
      <c r="G414" s="171">
        <f t="shared" si="70"/>
        <v>-311520</v>
      </c>
      <c r="H414" s="132">
        <v>0</v>
      </c>
      <c r="I414" s="132">
        <v>0</v>
      </c>
      <c r="J414" s="132">
        <v>0</v>
      </c>
      <c r="K414" s="132">
        <v>0</v>
      </c>
      <c r="L414" s="132">
        <f t="shared" si="71"/>
        <v>0</v>
      </c>
      <c r="M414" s="132">
        <v>0</v>
      </c>
      <c r="N414" s="132">
        <v>0</v>
      </c>
      <c r="O414" s="132">
        <v>0</v>
      </c>
      <c r="P414" s="132">
        <f t="shared" si="72"/>
        <v>0</v>
      </c>
      <c r="Q414" s="171">
        <v>-1365848</v>
      </c>
      <c r="R414" s="171">
        <v>0</v>
      </c>
      <c r="S414" s="171">
        <v>0</v>
      </c>
      <c r="T414" s="171">
        <v>0</v>
      </c>
      <c r="U414" s="171">
        <f t="shared" si="73"/>
        <v>-1365848</v>
      </c>
      <c r="V414" s="171">
        <f t="shared" si="74"/>
        <v>-1677368</v>
      </c>
      <c r="W414" s="132">
        <v>0</v>
      </c>
      <c r="X414" s="132">
        <f t="shared" si="75"/>
        <v>-1677368</v>
      </c>
      <c r="Y414" s="171">
        <v>0</v>
      </c>
      <c r="Z414" s="132">
        <f t="shared" si="76"/>
        <v>-1677368</v>
      </c>
    </row>
    <row r="415" spans="1:26" ht="12.75" hidden="1" outlineLevel="1">
      <c r="A415" s="132" t="s">
        <v>59</v>
      </c>
      <c r="C415" s="171" t="s">
        <v>60</v>
      </c>
      <c r="D415" s="171" t="s">
        <v>61</v>
      </c>
      <c r="E415" s="132">
        <v>0</v>
      </c>
      <c r="F415" s="132">
        <v>-240000</v>
      </c>
      <c r="G415" s="171">
        <f t="shared" si="70"/>
        <v>-240000</v>
      </c>
      <c r="H415" s="132">
        <v>-1508569.96</v>
      </c>
      <c r="I415" s="132">
        <v>0</v>
      </c>
      <c r="J415" s="132">
        <v>0</v>
      </c>
      <c r="K415" s="132">
        <v>607369.95</v>
      </c>
      <c r="L415" s="132">
        <f t="shared" si="71"/>
        <v>607369.95</v>
      </c>
      <c r="M415" s="132">
        <v>0</v>
      </c>
      <c r="N415" s="132">
        <v>-3343.7</v>
      </c>
      <c r="O415" s="132">
        <v>0</v>
      </c>
      <c r="P415" s="132">
        <f t="shared" si="72"/>
        <v>-3343.7</v>
      </c>
      <c r="Q415" s="171">
        <v>-4025439.41</v>
      </c>
      <c r="R415" s="171">
        <v>508783.13</v>
      </c>
      <c r="S415" s="171">
        <v>0</v>
      </c>
      <c r="T415" s="171">
        <v>0</v>
      </c>
      <c r="U415" s="171">
        <f t="shared" si="73"/>
        <v>-3516656.2800000003</v>
      </c>
      <c r="V415" s="171">
        <f t="shared" si="74"/>
        <v>-4661199.99</v>
      </c>
      <c r="W415" s="132">
        <v>0</v>
      </c>
      <c r="X415" s="132">
        <f t="shared" si="75"/>
        <v>-4661199.99</v>
      </c>
      <c r="Y415" s="171">
        <v>0</v>
      </c>
      <c r="Z415" s="132">
        <f t="shared" si="76"/>
        <v>-4661199.99</v>
      </c>
    </row>
    <row r="416" spans="1:27" ht="12.75" collapsed="1">
      <c r="A416" s="150" t="s">
        <v>62</v>
      </c>
      <c r="B416" s="148"/>
      <c r="C416" s="150" t="s">
        <v>3732</v>
      </c>
      <c r="D416" s="157"/>
      <c r="E416" s="155">
        <v>0</v>
      </c>
      <c r="F416" s="155">
        <v>-1204221.25</v>
      </c>
      <c r="G416" s="117">
        <f t="shared" si="70"/>
        <v>-1204221.25</v>
      </c>
      <c r="H416" s="117">
        <v>-2754831.87</v>
      </c>
      <c r="I416" s="117">
        <v>0</v>
      </c>
      <c r="J416" s="117">
        <v>0</v>
      </c>
      <c r="K416" s="117">
        <v>588382.36</v>
      </c>
      <c r="L416" s="117">
        <f t="shared" si="71"/>
        <v>588382.36</v>
      </c>
      <c r="M416" s="117">
        <v>0</v>
      </c>
      <c r="N416" s="117">
        <v>49762.71999999993</v>
      </c>
      <c r="O416" s="117">
        <v>998141.68</v>
      </c>
      <c r="P416" s="117">
        <f t="shared" si="72"/>
        <v>1047904.4</v>
      </c>
      <c r="Q416" s="117">
        <v>4550140.1</v>
      </c>
      <c r="R416" s="117">
        <v>-723720.03</v>
      </c>
      <c r="S416" s="117">
        <v>0</v>
      </c>
      <c r="T416" s="117">
        <v>0</v>
      </c>
      <c r="U416" s="117">
        <f t="shared" si="73"/>
        <v>3826420.0699999994</v>
      </c>
      <c r="V416" s="117">
        <f t="shared" si="74"/>
        <v>1503653.709999999</v>
      </c>
      <c r="W416" s="117">
        <v>0</v>
      </c>
      <c r="X416" s="117">
        <f t="shared" si="75"/>
        <v>1503653.709999999</v>
      </c>
      <c r="Y416" s="117">
        <v>0</v>
      </c>
      <c r="Z416" s="117">
        <f t="shared" si="76"/>
        <v>1503653.709999999</v>
      </c>
      <c r="AA416" s="150"/>
    </row>
    <row r="417" spans="1:26" ht="12.75" hidden="1" outlineLevel="1">
      <c r="A417" s="132" t="s">
        <v>63</v>
      </c>
      <c r="C417" s="171" t="s">
        <v>64</v>
      </c>
      <c r="D417" s="171" t="s">
        <v>65</v>
      </c>
      <c r="E417" s="132">
        <v>3318.19</v>
      </c>
      <c r="F417" s="132">
        <v>286769.55</v>
      </c>
      <c r="G417" s="171">
        <f t="shared" si="70"/>
        <v>290087.74</v>
      </c>
      <c r="H417" s="132">
        <v>-313170.17</v>
      </c>
      <c r="I417" s="132">
        <v>0</v>
      </c>
      <c r="J417" s="132">
        <v>0</v>
      </c>
      <c r="K417" s="132">
        <v>0</v>
      </c>
      <c r="L417" s="132">
        <f t="shared" si="71"/>
        <v>0</v>
      </c>
      <c r="M417" s="132">
        <v>0</v>
      </c>
      <c r="N417" s="132">
        <v>24082.43</v>
      </c>
      <c r="O417" s="132">
        <v>0</v>
      </c>
      <c r="P417" s="132">
        <f t="shared" si="72"/>
        <v>24082.43</v>
      </c>
      <c r="Q417" s="171">
        <v>-1000</v>
      </c>
      <c r="R417" s="171">
        <v>0</v>
      </c>
      <c r="S417" s="171">
        <v>0</v>
      </c>
      <c r="T417" s="171">
        <v>0</v>
      </c>
      <c r="U417" s="171">
        <f t="shared" si="73"/>
        <v>-1000</v>
      </c>
      <c r="V417" s="171">
        <f t="shared" si="74"/>
        <v>7.275957614183426E-12</v>
      </c>
      <c r="W417" s="132">
        <v>0</v>
      </c>
      <c r="X417" s="132">
        <f t="shared" si="75"/>
        <v>7.275957614183426E-12</v>
      </c>
      <c r="Y417" s="171">
        <v>0</v>
      </c>
      <c r="Z417" s="132">
        <f t="shared" si="76"/>
        <v>7.275957614183426E-12</v>
      </c>
    </row>
    <row r="418" spans="1:26" ht="12.75" hidden="1" outlineLevel="1">
      <c r="A418" s="132" t="s">
        <v>66</v>
      </c>
      <c r="C418" s="171" t="s">
        <v>67</v>
      </c>
      <c r="D418" s="171" t="s">
        <v>68</v>
      </c>
      <c r="E418" s="132">
        <v>0</v>
      </c>
      <c r="F418" s="132">
        <v>-574</v>
      </c>
      <c r="G418" s="171">
        <f t="shared" si="70"/>
        <v>-574</v>
      </c>
      <c r="H418" s="132">
        <v>574</v>
      </c>
      <c r="I418" s="132">
        <v>0</v>
      </c>
      <c r="J418" s="132">
        <v>0</v>
      </c>
      <c r="K418" s="132">
        <v>0</v>
      </c>
      <c r="L418" s="132">
        <f t="shared" si="71"/>
        <v>0</v>
      </c>
      <c r="M418" s="132">
        <v>0</v>
      </c>
      <c r="N418" s="132">
        <v>0</v>
      </c>
      <c r="O418" s="132">
        <v>0</v>
      </c>
      <c r="P418" s="132">
        <f t="shared" si="72"/>
        <v>0</v>
      </c>
      <c r="Q418" s="171">
        <v>5105662.18</v>
      </c>
      <c r="R418" s="171">
        <v>0</v>
      </c>
      <c r="S418" s="171">
        <v>472467.95</v>
      </c>
      <c r="T418" s="171">
        <v>0</v>
      </c>
      <c r="U418" s="171">
        <f t="shared" si="73"/>
        <v>5578130.13</v>
      </c>
      <c r="V418" s="171">
        <f t="shared" si="74"/>
        <v>5578130.13</v>
      </c>
      <c r="W418" s="132">
        <v>0</v>
      </c>
      <c r="X418" s="132">
        <f t="shared" si="75"/>
        <v>5578130.13</v>
      </c>
      <c r="Y418" s="171">
        <v>0</v>
      </c>
      <c r="Z418" s="132">
        <f t="shared" si="76"/>
        <v>5578130.13</v>
      </c>
    </row>
    <row r="419" spans="1:26" ht="12.75" hidden="1" outlineLevel="1">
      <c r="A419" s="132" t="s">
        <v>69</v>
      </c>
      <c r="C419" s="171" t="s">
        <v>70</v>
      </c>
      <c r="D419" s="171" t="s">
        <v>71</v>
      </c>
      <c r="E419" s="132">
        <v>692.83</v>
      </c>
      <c r="F419" s="132">
        <v>3728488.36</v>
      </c>
      <c r="G419" s="171">
        <f t="shared" si="70"/>
        <v>3729181.19</v>
      </c>
      <c r="H419" s="132">
        <v>-14145.02</v>
      </c>
      <c r="I419" s="132">
        <v>0</v>
      </c>
      <c r="J419" s="132">
        <v>0</v>
      </c>
      <c r="K419" s="132">
        <v>0.09</v>
      </c>
      <c r="L419" s="132">
        <f t="shared" si="71"/>
        <v>0.09</v>
      </c>
      <c r="M419" s="132">
        <v>0</v>
      </c>
      <c r="N419" s="132">
        <v>5706526.46</v>
      </c>
      <c r="O419" s="132">
        <v>269091.63</v>
      </c>
      <c r="P419" s="132">
        <f t="shared" si="72"/>
        <v>5975618.09</v>
      </c>
      <c r="Q419" s="171">
        <v>-299649</v>
      </c>
      <c r="R419" s="171">
        <v>0</v>
      </c>
      <c r="S419" s="171">
        <v>0</v>
      </c>
      <c r="T419" s="171">
        <v>0</v>
      </c>
      <c r="U419" s="171">
        <f t="shared" si="73"/>
        <v>-299649</v>
      </c>
      <c r="V419" s="171">
        <f t="shared" si="74"/>
        <v>9391005.35</v>
      </c>
      <c r="W419" s="132">
        <v>0</v>
      </c>
      <c r="X419" s="132">
        <f t="shared" si="75"/>
        <v>9391005.35</v>
      </c>
      <c r="Y419" s="171">
        <v>0</v>
      </c>
      <c r="Z419" s="132">
        <f t="shared" si="76"/>
        <v>9391005.35</v>
      </c>
    </row>
    <row r="420" spans="1:26" ht="12.75" hidden="1" outlineLevel="1">
      <c r="A420" s="132" t="s">
        <v>72</v>
      </c>
      <c r="C420" s="171" t="s">
        <v>73</v>
      </c>
      <c r="D420" s="171" t="s">
        <v>74</v>
      </c>
      <c r="E420" s="132">
        <v>0</v>
      </c>
      <c r="F420" s="132">
        <v>140.5</v>
      </c>
      <c r="G420" s="171">
        <f t="shared" si="70"/>
        <v>140.5</v>
      </c>
      <c r="H420" s="132">
        <v>0</v>
      </c>
      <c r="I420" s="132">
        <v>0</v>
      </c>
      <c r="J420" s="132">
        <v>0</v>
      </c>
      <c r="K420" s="132">
        <v>0</v>
      </c>
      <c r="L420" s="132">
        <f t="shared" si="71"/>
        <v>0</v>
      </c>
      <c r="M420" s="132">
        <v>0</v>
      </c>
      <c r="N420" s="132">
        <v>0</v>
      </c>
      <c r="O420" s="132">
        <v>0</v>
      </c>
      <c r="P420" s="132">
        <f t="shared" si="72"/>
        <v>0</v>
      </c>
      <c r="Q420" s="171">
        <v>0</v>
      </c>
      <c r="R420" s="171">
        <v>0</v>
      </c>
      <c r="S420" s="171">
        <v>0</v>
      </c>
      <c r="T420" s="171">
        <v>0</v>
      </c>
      <c r="U420" s="171">
        <f t="shared" si="73"/>
        <v>0</v>
      </c>
      <c r="V420" s="171">
        <f t="shared" si="74"/>
        <v>140.5</v>
      </c>
      <c r="W420" s="132">
        <v>0</v>
      </c>
      <c r="X420" s="132">
        <f t="shared" si="75"/>
        <v>140.5</v>
      </c>
      <c r="Y420" s="171">
        <v>0</v>
      </c>
      <c r="Z420" s="132">
        <f t="shared" si="76"/>
        <v>140.5</v>
      </c>
    </row>
    <row r="421" spans="1:26" ht="12.75" hidden="1" outlineLevel="1">
      <c r="A421" s="132" t="s">
        <v>75</v>
      </c>
      <c r="C421" s="171" t="s">
        <v>76</v>
      </c>
      <c r="D421" s="171" t="s">
        <v>77</v>
      </c>
      <c r="E421" s="132">
        <v>0</v>
      </c>
      <c r="F421" s="132">
        <v>336659.43</v>
      </c>
      <c r="G421" s="171">
        <f t="shared" si="70"/>
        <v>336659.43</v>
      </c>
      <c r="H421" s="132">
        <v>-328.14</v>
      </c>
      <c r="I421" s="132">
        <v>0</v>
      </c>
      <c r="J421" s="132">
        <v>0</v>
      </c>
      <c r="K421" s="132">
        <v>0</v>
      </c>
      <c r="L421" s="132">
        <f t="shared" si="71"/>
        <v>0</v>
      </c>
      <c r="M421" s="132">
        <v>0</v>
      </c>
      <c r="N421" s="132">
        <v>0</v>
      </c>
      <c r="O421" s="132">
        <v>0</v>
      </c>
      <c r="P421" s="132">
        <f t="shared" si="72"/>
        <v>0</v>
      </c>
      <c r="Q421" s="171">
        <v>0</v>
      </c>
      <c r="R421" s="171">
        <v>0</v>
      </c>
      <c r="S421" s="171">
        <v>0</v>
      </c>
      <c r="T421" s="171">
        <v>0</v>
      </c>
      <c r="U421" s="171">
        <f t="shared" si="73"/>
        <v>0</v>
      </c>
      <c r="V421" s="171">
        <f t="shared" si="74"/>
        <v>336331.29</v>
      </c>
      <c r="W421" s="132">
        <v>0</v>
      </c>
      <c r="X421" s="132">
        <f t="shared" si="75"/>
        <v>336331.29</v>
      </c>
      <c r="Y421" s="171">
        <v>0</v>
      </c>
      <c r="Z421" s="132">
        <f t="shared" si="76"/>
        <v>336331.29</v>
      </c>
    </row>
    <row r="422" spans="1:26" ht="12.75" hidden="1" outlineLevel="1">
      <c r="A422" s="132" t="s">
        <v>78</v>
      </c>
      <c r="C422" s="171" t="s">
        <v>79</v>
      </c>
      <c r="D422" s="171" t="s">
        <v>80</v>
      </c>
      <c r="E422" s="132">
        <v>0</v>
      </c>
      <c r="F422" s="132">
        <v>-3989020.49</v>
      </c>
      <c r="G422" s="171">
        <f t="shared" si="70"/>
        <v>-3989020.49</v>
      </c>
      <c r="H422" s="132">
        <v>-876348.03</v>
      </c>
      <c r="I422" s="132">
        <v>0</v>
      </c>
      <c r="J422" s="132">
        <v>0</v>
      </c>
      <c r="K422" s="132">
        <v>-628542.8</v>
      </c>
      <c r="L422" s="132">
        <f t="shared" si="71"/>
        <v>-628542.8</v>
      </c>
      <c r="M422" s="132">
        <v>0</v>
      </c>
      <c r="N422" s="132">
        <v>-5420494.17</v>
      </c>
      <c r="O422" s="132">
        <v>-290070</v>
      </c>
      <c r="P422" s="132">
        <f t="shared" si="72"/>
        <v>-5710564.17</v>
      </c>
      <c r="Q422" s="171">
        <v>38323.64</v>
      </c>
      <c r="R422" s="171">
        <v>0</v>
      </c>
      <c r="S422" s="171">
        <v>0</v>
      </c>
      <c r="T422" s="171">
        <v>0</v>
      </c>
      <c r="U422" s="171">
        <f t="shared" si="73"/>
        <v>38323.64</v>
      </c>
      <c r="V422" s="171">
        <f t="shared" si="74"/>
        <v>-11166151.85</v>
      </c>
      <c r="W422" s="132">
        <v>0</v>
      </c>
      <c r="X422" s="132">
        <f t="shared" si="75"/>
        <v>-11166151.85</v>
      </c>
      <c r="Y422" s="171">
        <v>0</v>
      </c>
      <c r="Z422" s="132">
        <f t="shared" si="76"/>
        <v>-11166151.85</v>
      </c>
    </row>
    <row r="423" spans="1:26" ht="12.75" hidden="1" outlineLevel="1">
      <c r="A423" s="132" t="s">
        <v>81</v>
      </c>
      <c r="C423" s="171" t="s">
        <v>82</v>
      </c>
      <c r="D423" s="171" t="s">
        <v>83</v>
      </c>
      <c r="E423" s="132">
        <v>0</v>
      </c>
      <c r="F423" s="132">
        <v>-516571.24</v>
      </c>
      <c r="G423" s="171">
        <f t="shared" si="70"/>
        <v>-516571.24</v>
      </c>
      <c r="H423" s="132">
        <v>516571.24</v>
      </c>
      <c r="I423" s="132">
        <v>0</v>
      </c>
      <c r="J423" s="132">
        <v>0</v>
      </c>
      <c r="K423" s="132">
        <v>0</v>
      </c>
      <c r="L423" s="132">
        <f t="shared" si="71"/>
        <v>0</v>
      </c>
      <c r="M423" s="132">
        <v>0</v>
      </c>
      <c r="N423" s="132">
        <v>0</v>
      </c>
      <c r="O423" s="132">
        <v>0</v>
      </c>
      <c r="P423" s="132">
        <f t="shared" si="72"/>
        <v>0</v>
      </c>
      <c r="Q423" s="171">
        <v>0</v>
      </c>
      <c r="R423" s="171">
        <v>0</v>
      </c>
      <c r="S423" s="171">
        <v>0</v>
      </c>
      <c r="T423" s="171">
        <v>0</v>
      </c>
      <c r="U423" s="171">
        <f t="shared" si="73"/>
        <v>0</v>
      </c>
      <c r="V423" s="171">
        <f t="shared" si="74"/>
        <v>0</v>
      </c>
      <c r="W423" s="132">
        <v>0</v>
      </c>
      <c r="X423" s="132">
        <f t="shared" si="75"/>
        <v>0</v>
      </c>
      <c r="Y423" s="171">
        <v>0</v>
      </c>
      <c r="Z423" s="132">
        <f t="shared" si="76"/>
        <v>0</v>
      </c>
    </row>
    <row r="424" spans="1:26" ht="12.75" hidden="1" outlineLevel="1">
      <c r="A424" s="132" t="s">
        <v>3070</v>
      </c>
      <c r="C424" s="171" t="s">
        <v>3071</v>
      </c>
      <c r="D424" s="171" t="s">
        <v>3072</v>
      </c>
      <c r="E424" s="132">
        <v>0</v>
      </c>
      <c r="F424" s="132">
        <v>0</v>
      </c>
      <c r="G424" s="171">
        <f t="shared" si="70"/>
        <v>0</v>
      </c>
      <c r="H424" s="132">
        <v>138259.21</v>
      </c>
      <c r="I424" s="132">
        <v>0</v>
      </c>
      <c r="J424" s="132">
        <v>0</v>
      </c>
      <c r="K424" s="132">
        <v>0</v>
      </c>
      <c r="L424" s="132">
        <f t="shared" si="71"/>
        <v>0</v>
      </c>
      <c r="M424" s="132">
        <v>0</v>
      </c>
      <c r="N424" s="132">
        <v>0</v>
      </c>
      <c r="O424" s="132">
        <v>0</v>
      </c>
      <c r="P424" s="132">
        <f t="shared" si="72"/>
        <v>0</v>
      </c>
      <c r="Q424" s="171">
        <v>0</v>
      </c>
      <c r="R424" s="171">
        <v>0</v>
      </c>
      <c r="S424" s="171">
        <v>0</v>
      </c>
      <c r="T424" s="171">
        <v>0</v>
      </c>
      <c r="U424" s="171">
        <f t="shared" si="73"/>
        <v>0</v>
      </c>
      <c r="V424" s="171">
        <f t="shared" si="74"/>
        <v>138259.21</v>
      </c>
      <c r="W424" s="132">
        <v>0</v>
      </c>
      <c r="X424" s="132">
        <f t="shared" si="75"/>
        <v>138259.21</v>
      </c>
      <c r="Y424" s="171">
        <v>0</v>
      </c>
      <c r="Z424" s="132">
        <f t="shared" si="76"/>
        <v>138259.21</v>
      </c>
    </row>
    <row r="425" spans="1:26" ht="12.75" hidden="1" outlineLevel="1">
      <c r="A425" s="132" t="s">
        <v>3073</v>
      </c>
      <c r="C425" s="171" t="s">
        <v>2441</v>
      </c>
      <c r="D425" s="171" t="s">
        <v>3074</v>
      </c>
      <c r="E425" s="132">
        <v>0</v>
      </c>
      <c r="F425" s="132">
        <v>0</v>
      </c>
      <c r="G425" s="171">
        <f t="shared" si="70"/>
        <v>0</v>
      </c>
      <c r="H425" s="132">
        <v>13261.8</v>
      </c>
      <c r="I425" s="132">
        <v>0</v>
      </c>
      <c r="J425" s="132">
        <v>0</v>
      </c>
      <c r="K425" s="132">
        <v>0</v>
      </c>
      <c r="L425" s="132">
        <f t="shared" si="71"/>
        <v>0</v>
      </c>
      <c r="M425" s="132">
        <v>0</v>
      </c>
      <c r="N425" s="132">
        <v>0</v>
      </c>
      <c r="O425" s="132">
        <v>0</v>
      </c>
      <c r="P425" s="132">
        <f t="shared" si="72"/>
        <v>0</v>
      </c>
      <c r="Q425" s="171">
        <v>0</v>
      </c>
      <c r="R425" s="171">
        <v>0</v>
      </c>
      <c r="S425" s="171">
        <v>0</v>
      </c>
      <c r="T425" s="171">
        <v>0</v>
      </c>
      <c r="U425" s="171">
        <f t="shared" si="73"/>
        <v>0</v>
      </c>
      <c r="V425" s="171">
        <f t="shared" si="74"/>
        <v>13261.8</v>
      </c>
      <c r="W425" s="132">
        <v>0</v>
      </c>
      <c r="X425" s="132">
        <f t="shared" si="75"/>
        <v>13261.8</v>
      </c>
      <c r="Y425" s="171">
        <v>0</v>
      </c>
      <c r="Z425" s="132">
        <f t="shared" si="76"/>
        <v>13261.8</v>
      </c>
    </row>
    <row r="426" spans="1:27" ht="12.75" collapsed="1">
      <c r="A426" s="171" t="s">
        <v>84</v>
      </c>
      <c r="B426" s="148"/>
      <c r="C426" s="150" t="s">
        <v>3719</v>
      </c>
      <c r="D426" s="157"/>
      <c r="E426" s="155">
        <v>4011.02</v>
      </c>
      <c r="F426" s="155">
        <v>-154107.89</v>
      </c>
      <c r="G426" s="117">
        <f t="shared" si="70"/>
        <v>-150096.87000000002</v>
      </c>
      <c r="H426" s="117">
        <v>-535325.11</v>
      </c>
      <c r="I426" s="117">
        <v>0</v>
      </c>
      <c r="J426" s="117">
        <v>0</v>
      </c>
      <c r="K426" s="117">
        <v>-628542.71</v>
      </c>
      <c r="L426" s="117">
        <f t="shared" si="71"/>
        <v>-628542.71</v>
      </c>
      <c r="M426" s="117">
        <v>0</v>
      </c>
      <c r="N426" s="117">
        <v>310114.72</v>
      </c>
      <c r="O426" s="117">
        <v>-20978.37</v>
      </c>
      <c r="P426" s="117">
        <f t="shared" si="72"/>
        <v>289136.35</v>
      </c>
      <c r="Q426" s="117">
        <v>4843336.82</v>
      </c>
      <c r="R426" s="117">
        <v>0</v>
      </c>
      <c r="S426" s="117">
        <v>472467.95</v>
      </c>
      <c r="T426" s="117">
        <v>0</v>
      </c>
      <c r="U426" s="117">
        <f t="shared" si="73"/>
        <v>5315804.7700000005</v>
      </c>
      <c r="V426" s="117">
        <f t="shared" si="74"/>
        <v>4290976.430000001</v>
      </c>
      <c r="W426" s="117">
        <v>0</v>
      </c>
      <c r="X426" s="117">
        <f t="shared" si="75"/>
        <v>4290976.430000001</v>
      </c>
      <c r="Y426" s="117">
        <v>0</v>
      </c>
      <c r="Z426" s="117">
        <f t="shared" si="76"/>
        <v>4290976.430000001</v>
      </c>
      <c r="AA426" s="171"/>
    </row>
    <row r="427" spans="1:27" ht="12.75">
      <c r="A427" s="171" t="s">
        <v>85</v>
      </c>
      <c r="B427" s="148"/>
      <c r="C427" s="150" t="s">
        <v>86</v>
      </c>
      <c r="D427" s="157"/>
      <c r="E427" s="155">
        <v>0</v>
      </c>
      <c r="F427" s="155">
        <v>0</v>
      </c>
      <c r="G427" s="117">
        <f t="shared" si="70"/>
        <v>0</v>
      </c>
      <c r="H427" s="117">
        <v>0</v>
      </c>
      <c r="I427" s="117">
        <v>0</v>
      </c>
      <c r="J427" s="117">
        <v>0</v>
      </c>
      <c r="K427" s="117">
        <v>0</v>
      </c>
      <c r="L427" s="117">
        <f t="shared" si="71"/>
        <v>0</v>
      </c>
      <c r="M427" s="117">
        <v>0</v>
      </c>
      <c r="N427" s="117">
        <v>0</v>
      </c>
      <c r="O427" s="117">
        <v>0</v>
      </c>
      <c r="P427" s="117">
        <f t="shared" si="72"/>
        <v>0</v>
      </c>
      <c r="Q427" s="117">
        <v>0</v>
      </c>
      <c r="R427" s="117">
        <v>0</v>
      </c>
      <c r="S427" s="117">
        <v>0</v>
      </c>
      <c r="T427" s="117">
        <v>0</v>
      </c>
      <c r="U427" s="117">
        <f t="shared" si="73"/>
        <v>0</v>
      </c>
      <c r="V427" s="117">
        <f t="shared" si="74"/>
        <v>0</v>
      </c>
      <c r="W427" s="117">
        <v>0</v>
      </c>
      <c r="X427" s="117">
        <f t="shared" si="75"/>
        <v>0</v>
      </c>
      <c r="Y427" s="117">
        <v>0</v>
      </c>
      <c r="Z427" s="117">
        <f t="shared" si="76"/>
        <v>0</v>
      </c>
      <c r="AA427" s="171"/>
    </row>
    <row r="428" spans="1:27" ht="15">
      <c r="A428" s="167"/>
      <c r="B428" s="148"/>
      <c r="C428" s="150"/>
      <c r="D428" s="157"/>
      <c r="E428" s="155"/>
      <c r="F428" s="155"/>
      <c r="G428" s="117"/>
      <c r="H428" s="117"/>
      <c r="I428" s="117"/>
      <c r="J428" s="117"/>
      <c r="K428" s="117"/>
      <c r="L428" s="117"/>
      <c r="M428" s="117"/>
      <c r="N428" s="117"/>
      <c r="O428" s="117"/>
      <c r="P428" s="117"/>
      <c r="Q428" s="117"/>
      <c r="R428" s="117"/>
      <c r="S428" s="117"/>
      <c r="T428" s="117"/>
      <c r="U428" s="117"/>
      <c r="V428" s="117"/>
      <c r="W428" s="117"/>
      <c r="X428" s="117"/>
      <c r="Y428" s="117"/>
      <c r="Z428" s="117"/>
      <c r="AA428" s="167"/>
    </row>
    <row r="429" spans="1:27" s="209" customFormat="1" ht="15.75">
      <c r="A429" s="166"/>
      <c r="B429" s="160"/>
      <c r="C429" s="161" t="s">
        <v>3075</v>
      </c>
      <c r="D429" s="72"/>
      <c r="E429" s="208">
        <f aca="true" t="shared" si="77" ref="E429:Z429">E399+E407+E416+E426+E427</f>
        <v>4011.02</v>
      </c>
      <c r="F429" s="208">
        <f t="shared" si="77"/>
        <v>-3686673.06</v>
      </c>
      <c r="G429" s="101">
        <f t="shared" si="77"/>
        <v>-3682662.04</v>
      </c>
      <c r="H429" s="101">
        <f t="shared" si="77"/>
        <v>13901873.059999999</v>
      </c>
      <c r="I429" s="101">
        <f t="shared" si="77"/>
        <v>8539.59</v>
      </c>
      <c r="J429" s="101">
        <f t="shared" si="77"/>
        <v>0</v>
      </c>
      <c r="K429" s="101">
        <f t="shared" si="77"/>
        <v>114622.41000000003</v>
      </c>
      <c r="L429" s="101">
        <f t="shared" si="77"/>
        <v>123162</v>
      </c>
      <c r="M429" s="101">
        <f t="shared" si="77"/>
        <v>0</v>
      </c>
      <c r="N429" s="101">
        <f t="shared" si="77"/>
        <v>9410500.3</v>
      </c>
      <c r="O429" s="101">
        <f t="shared" si="77"/>
        <v>3110479.4</v>
      </c>
      <c r="P429" s="101">
        <f t="shared" si="77"/>
        <v>12520979.7</v>
      </c>
      <c r="Q429" s="101">
        <f t="shared" si="77"/>
        <v>9628929.77</v>
      </c>
      <c r="R429" s="101">
        <f t="shared" si="77"/>
        <v>8963053.620000001</v>
      </c>
      <c r="S429" s="101">
        <f t="shared" si="77"/>
        <v>297209.5500000001</v>
      </c>
      <c r="T429" s="101">
        <f t="shared" si="77"/>
        <v>1266420.42</v>
      </c>
      <c r="U429" s="101">
        <f t="shared" si="77"/>
        <v>20155613.36</v>
      </c>
      <c r="V429" s="101">
        <f t="shared" si="77"/>
        <v>43018966.08</v>
      </c>
      <c r="W429" s="101">
        <f t="shared" si="77"/>
        <v>0</v>
      </c>
      <c r="X429" s="101">
        <f t="shared" si="77"/>
        <v>43018966.08</v>
      </c>
      <c r="Y429" s="101">
        <f t="shared" si="77"/>
        <v>2956183.49</v>
      </c>
      <c r="Z429" s="101">
        <f t="shared" si="77"/>
        <v>45975149.57</v>
      </c>
      <c r="AA429" s="166"/>
    </row>
    <row r="430" spans="1:27" ht="15">
      <c r="A430" s="167"/>
      <c r="B430" s="148"/>
      <c r="C430" s="161"/>
      <c r="D430" s="157"/>
      <c r="E430" s="155"/>
      <c r="F430" s="155"/>
      <c r="G430" s="117"/>
      <c r="H430" s="117"/>
      <c r="I430" s="117"/>
      <c r="J430" s="117"/>
      <c r="K430" s="117"/>
      <c r="L430" s="117"/>
      <c r="M430" s="117"/>
      <c r="N430" s="117"/>
      <c r="O430" s="117"/>
      <c r="P430" s="117"/>
      <c r="Q430" s="117"/>
      <c r="R430" s="117"/>
      <c r="S430" s="117"/>
      <c r="T430" s="117"/>
      <c r="U430" s="117"/>
      <c r="V430" s="117"/>
      <c r="W430" s="117"/>
      <c r="X430" s="117"/>
      <c r="Y430" s="117"/>
      <c r="Z430" s="117"/>
      <c r="AA430" s="167"/>
    </row>
    <row r="431" spans="1:27" ht="15.75">
      <c r="A431" s="172"/>
      <c r="B431" s="160"/>
      <c r="C431" s="161" t="s">
        <v>89</v>
      </c>
      <c r="D431" s="72"/>
      <c r="E431" s="208">
        <f aca="true" t="shared" si="78" ref="E431:Z431">E429+E364</f>
        <v>60258.992</v>
      </c>
      <c r="F431" s="208">
        <f t="shared" si="78"/>
        <v>-1382932.7179999328</v>
      </c>
      <c r="G431" s="208">
        <f t="shared" si="78"/>
        <v>-1322673.7259999001</v>
      </c>
      <c r="H431" s="208">
        <f t="shared" si="78"/>
        <v>147671.9459999837</v>
      </c>
      <c r="I431" s="208">
        <f t="shared" si="78"/>
        <v>5198.3200000000015</v>
      </c>
      <c r="J431" s="208">
        <f t="shared" si="78"/>
        <v>0</v>
      </c>
      <c r="K431" s="208">
        <f t="shared" si="78"/>
        <v>439311.9</v>
      </c>
      <c r="L431" s="208">
        <f t="shared" si="78"/>
        <v>444510.22</v>
      </c>
      <c r="M431" s="208">
        <f t="shared" si="78"/>
        <v>0</v>
      </c>
      <c r="N431" s="208">
        <f t="shared" si="78"/>
        <v>9425128.84</v>
      </c>
      <c r="O431" s="208">
        <f t="shared" si="78"/>
        <v>3721108.38</v>
      </c>
      <c r="P431" s="101">
        <f t="shared" si="78"/>
        <v>13146237.219999999</v>
      </c>
      <c r="Q431" s="101">
        <f t="shared" si="78"/>
        <v>-6109743.580000002</v>
      </c>
      <c r="R431" s="101">
        <f t="shared" si="78"/>
        <v>-1742955.0899999999</v>
      </c>
      <c r="S431" s="101">
        <f t="shared" si="78"/>
        <v>297209.5500000001</v>
      </c>
      <c r="T431" s="101">
        <f t="shared" si="78"/>
        <v>21550722.750000007</v>
      </c>
      <c r="U431" s="101">
        <f t="shared" si="78"/>
        <v>13995233.630000003</v>
      </c>
      <c r="V431" s="101">
        <f t="shared" si="78"/>
        <v>26410979.290000066</v>
      </c>
      <c r="W431" s="101">
        <f t="shared" si="78"/>
        <v>0</v>
      </c>
      <c r="X431" s="101">
        <f t="shared" si="78"/>
        <v>26410979.290000066</v>
      </c>
      <c r="Y431" s="101">
        <f t="shared" si="78"/>
        <v>1096594.7999999942</v>
      </c>
      <c r="Z431" s="101">
        <f t="shared" si="78"/>
        <v>27507574.09000007</v>
      </c>
      <c r="AA431" s="173"/>
    </row>
    <row r="432" spans="1:27" ht="15">
      <c r="A432" s="167"/>
      <c r="B432" s="148"/>
      <c r="C432" s="150"/>
      <c r="D432" s="157"/>
      <c r="E432" s="155"/>
      <c r="F432" s="155"/>
      <c r="G432" s="155"/>
      <c r="H432" s="155"/>
      <c r="I432" s="155"/>
      <c r="J432" s="155"/>
      <c r="K432" s="155"/>
      <c r="L432" s="155"/>
      <c r="M432" s="155"/>
      <c r="N432" s="155"/>
      <c r="O432" s="155"/>
      <c r="P432" s="117"/>
      <c r="Q432" s="117"/>
      <c r="R432" s="117"/>
      <c r="S432" s="117"/>
      <c r="T432" s="117"/>
      <c r="U432" s="117"/>
      <c r="V432" s="117"/>
      <c r="W432" s="117"/>
      <c r="X432" s="117"/>
      <c r="Y432" s="117"/>
      <c r="Z432" s="117"/>
      <c r="AA432" s="167"/>
    </row>
    <row r="433" spans="1:26" ht="12.75" hidden="1" outlineLevel="1">
      <c r="A433" s="132" t="s">
        <v>90</v>
      </c>
      <c r="C433" s="171" t="s">
        <v>91</v>
      </c>
      <c r="D433" s="171" t="s">
        <v>92</v>
      </c>
      <c r="E433" s="132">
        <v>-59666.922</v>
      </c>
      <c r="F433" s="132">
        <v>35796328.167</v>
      </c>
      <c r="G433" s="171">
        <f>E433+F433</f>
        <v>35736661.245000005</v>
      </c>
      <c r="H433" s="132">
        <v>28020147.7</v>
      </c>
      <c r="I433" s="132">
        <v>506989.6</v>
      </c>
      <c r="J433" s="132">
        <v>0</v>
      </c>
      <c r="K433" s="132">
        <v>21478408.44</v>
      </c>
      <c r="L433" s="132">
        <f>J433+I433+K433</f>
        <v>21985398.040000003</v>
      </c>
      <c r="M433" s="132">
        <v>0</v>
      </c>
      <c r="N433" s="132">
        <v>75216464.93</v>
      </c>
      <c r="O433" s="132">
        <v>22770777.07</v>
      </c>
      <c r="P433" s="132">
        <f>M433+N433+O433</f>
        <v>97987242</v>
      </c>
      <c r="Q433" s="171">
        <v>2207490.86</v>
      </c>
      <c r="R433" s="171">
        <v>3224233.58</v>
      </c>
      <c r="S433" s="171">
        <v>-574790.91</v>
      </c>
      <c r="T433" s="171">
        <v>129862344.48</v>
      </c>
      <c r="U433" s="171">
        <f>Q433+R433+S433+T433</f>
        <v>134719278.01</v>
      </c>
      <c r="V433" s="171">
        <f>G433+H433+L433+P433+U433</f>
        <v>318448726.995</v>
      </c>
      <c r="W433" s="132">
        <v>0</v>
      </c>
      <c r="X433" s="132">
        <f>V433+W433</f>
        <v>318448726.995</v>
      </c>
      <c r="Y433" s="171">
        <v>18897113.92</v>
      </c>
      <c r="Z433" s="132">
        <f>X433+Y433</f>
        <v>337345840.915</v>
      </c>
    </row>
    <row r="434" spans="1:27" ht="15.75" collapsed="1">
      <c r="A434" s="166" t="s">
        <v>93</v>
      </c>
      <c r="B434" s="160" t="s">
        <v>3782</v>
      </c>
      <c r="D434" s="72"/>
      <c r="E434" s="208">
        <v>-59666.922</v>
      </c>
      <c r="F434" s="208">
        <v>35796328.167</v>
      </c>
      <c r="G434" s="208">
        <f>E434+F434</f>
        <v>35736661.245000005</v>
      </c>
      <c r="H434" s="208">
        <v>28020147.7</v>
      </c>
      <c r="I434" s="208">
        <v>506989.6</v>
      </c>
      <c r="J434" s="208">
        <v>0</v>
      </c>
      <c r="K434" s="208">
        <v>21478408.44</v>
      </c>
      <c r="L434" s="208">
        <f>J434+I434+K434</f>
        <v>21985398.040000003</v>
      </c>
      <c r="M434" s="208">
        <v>0</v>
      </c>
      <c r="N434" s="208">
        <v>75216464.93</v>
      </c>
      <c r="O434" s="208">
        <v>22770777.07</v>
      </c>
      <c r="P434" s="101">
        <f>M434+N434+O434</f>
        <v>97987242</v>
      </c>
      <c r="Q434" s="101">
        <v>2207490.86</v>
      </c>
      <c r="R434" s="101">
        <v>3224233.58</v>
      </c>
      <c r="S434" s="101">
        <v>-574790.91</v>
      </c>
      <c r="T434" s="101">
        <v>129862344.48</v>
      </c>
      <c r="U434" s="101">
        <f>Q434+R434+S434+T434</f>
        <v>134719278.01</v>
      </c>
      <c r="V434" s="101">
        <f>G434+H434+L434+P434+U434</f>
        <v>318448726.995</v>
      </c>
      <c r="W434" s="101">
        <v>0</v>
      </c>
      <c r="X434" s="101">
        <f>V434+W434</f>
        <v>318448726.995</v>
      </c>
      <c r="Y434" s="101">
        <v>18897113.92</v>
      </c>
      <c r="Z434" s="101">
        <f>X434+Y434</f>
        <v>337345840.915</v>
      </c>
      <c r="AA434" s="166"/>
    </row>
    <row r="435" spans="1:27" ht="15.75">
      <c r="A435" s="166"/>
      <c r="B435" s="148"/>
      <c r="C435" s="161"/>
      <c r="D435" s="72"/>
      <c r="E435" s="208"/>
      <c r="F435" s="208"/>
      <c r="G435" s="208"/>
      <c r="H435" s="208"/>
      <c r="I435" s="208"/>
      <c r="J435" s="208"/>
      <c r="K435" s="208"/>
      <c r="L435" s="208"/>
      <c r="M435" s="208"/>
      <c r="N435" s="208"/>
      <c r="O435" s="208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  <c r="AA435" s="166"/>
    </row>
    <row r="436" spans="1:27" ht="16.5" customHeight="1" hidden="1">
      <c r="A436" s="166" t="s">
        <v>94</v>
      </c>
      <c r="B436" s="148"/>
      <c r="C436" s="161" t="s">
        <v>95</v>
      </c>
      <c r="D436" s="72"/>
      <c r="E436" s="208">
        <v>0</v>
      </c>
      <c r="F436" s="208">
        <v>0</v>
      </c>
      <c r="G436" s="208">
        <f>E436+F436</f>
        <v>0</v>
      </c>
      <c r="H436" s="208">
        <v>0</v>
      </c>
      <c r="I436" s="208">
        <v>0</v>
      </c>
      <c r="J436" s="208">
        <v>0</v>
      </c>
      <c r="K436" s="208">
        <v>0</v>
      </c>
      <c r="L436" s="208">
        <f>J436+I436+K436</f>
        <v>0</v>
      </c>
      <c r="M436" s="208">
        <v>0</v>
      </c>
      <c r="N436" s="208">
        <v>0</v>
      </c>
      <c r="O436" s="208">
        <v>0</v>
      </c>
      <c r="P436" s="101">
        <f>M436+N436+O436</f>
        <v>0</v>
      </c>
      <c r="Q436" s="101">
        <v>0</v>
      </c>
      <c r="R436" s="101">
        <v>0</v>
      </c>
      <c r="S436" s="101">
        <v>0</v>
      </c>
      <c r="T436" s="101">
        <v>0</v>
      </c>
      <c r="U436" s="101">
        <f>Q436+R436+S436+T436</f>
        <v>0</v>
      </c>
      <c r="V436" s="101">
        <f>G436+H436+L436+P436+U436</f>
        <v>0</v>
      </c>
      <c r="W436" s="101">
        <v>0</v>
      </c>
      <c r="X436" s="101">
        <f>V436+W436</f>
        <v>0</v>
      </c>
      <c r="Y436" s="101">
        <v>0</v>
      </c>
      <c r="Z436" s="101">
        <f>X436+Y436</f>
        <v>0</v>
      </c>
      <c r="AA436" s="166"/>
    </row>
    <row r="437" spans="1:27" s="210" customFormat="1" ht="15.75" hidden="1">
      <c r="A437" s="162" t="s">
        <v>96</v>
      </c>
      <c r="B437" s="160"/>
      <c r="C437" s="161" t="s">
        <v>97</v>
      </c>
      <c r="D437" s="72"/>
      <c r="E437" s="208">
        <v>0</v>
      </c>
      <c r="F437" s="208">
        <v>0</v>
      </c>
      <c r="G437" s="208">
        <f>E437+F437</f>
        <v>0</v>
      </c>
      <c r="H437" s="208">
        <v>0</v>
      </c>
      <c r="I437" s="208">
        <v>0</v>
      </c>
      <c r="J437" s="208">
        <v>0</v>
      </c>
      <c r="K437" s="208">
        <v>0</v>
      </c>
      <c r="L437" s="208">
        <f>J437+I437+K437</f>
        <v>0</v>
      </c>
      <c r="M437" s="208">
        <v>0</v>
      </c>
      <c r="N437" s="208">
        <v>0</v>
      </c>
      <c r="O437" s="208">
        <v>0</v>
      </c>
      <c r="P437" s="101">
        <f>M437+N437+O437</f>
        <v>0</v>
      </c>
      <c r="Q437" s="101">
        <v>0</v>
      </c>
      <c r="R437" s="101">
        <v>0</v>
      </c>
      <c r="S437" s="101">
        <v>0</v>
      </c>
      <c r="T437" s="101">
        <v>0</v>
      </c>
      <c r="U437" s="101">
        <f>Q437+R437+S437+T437</f>
        <v>0</v>
      </c>
      <c r="V437" s="101">
        <f>G437+H437+L437+P437+U437</f>
        <v>0</v>
      </c>
      <c r="W437" s="101">
        <v>0</v>
      </c>
      <c r="X437" s="101">
        <f>V437+W437</f>
        <v>0</v>
      </c>
      <c r="Y437" s="101">
        <v>0</v>
      </c>
      <c r="Z437" s="101">
        <f>X437+Y437</f>
        <v>0</v>
      </c>
      <c r="AA437" s="162"/>
    </row>
    <row r="438" spans="1:27" ht="15.75" hidden="1">
      <c r="A438" s="166"/>
      <c r="B438" s="148"/>
      <c r="C438" s="161"/>
      <c r="D438" s="72"/>
      <c r="E438" s="208"/>
      <c r="F438" s="208"/>
      <c r="G438" s="208"/>
      <c r="H438" s="208"/>
      <c r="I438" s="208"/>
      <c r="J438" s="208"/>
      <c r="K438" s="208"/>
      <c r="L438" s="208"/>
      <c r="M438" s="208"/>
      <c r="N438" s="208"/>
      <c r="O438" s="208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  <c r="AA438" s="166"/>
    </row>
    <row r="439" spans="1:27" ht="15.75" hidden="1">
      <c r="A439" s="166"/>
      <c r="B439" s="148"/>
      <c r="C439" s="161" t="s">
        <v>98</v>
      </c>
      <c r="D439" s="72"/>
      <c r="E439" s="208">
        <f aca="true" t="shared" si="79" ref="E439:Z439">E434-E436-E437</f>
        <v>-59666.922</v>
      </c>
      <c r="F439" s="208">
        <f t="shared" si="79"/>
        <v>35796328.167</v>
      </c>
      <c r="G439" s="208">
        <f t="shared" si="79"/>
        <v>35736661.245000005</v>
      </c>
      <c r="H439" s="208">
        <f t="shared" si="79"/>
        <v>28020147.7</v>
      </c>
      <c r="I439" s="208">
        <f t="shared" si="79"/>
        <v>506989.6</v>
      </c>
      <c r="J439" s="208">
        <f t="shared" si="79"/>
        <v>0</v>
      </c>
      <c r="K439" s="208">
        <f t="shared" si="79"/>
        <v>21478408.44</v>
      </c>
      <c r="L439" s="208">
        <f t="shared" si="79"/>
        <v>21985398.040000003</v>
      </c>
      <c r="M439" s="208">
        <f t="shared" si="79"/>
        <v>0</v>
      </c>
      <c r="N439" s="208">
        <f t="shared" si="79"/>
        <v>75216464.93</v>
      </c>
      <c r="O439" s="208">
        <f t="shared" si="79"/>
        <v>22770777.07</v>
      </c>
      <c r="P439" s="101">
        <f t="shared" si="79"/>
        <v>97987242</v>
      </c>
      <c r="Q439" s="101">
        <f t="shared" si="79"/>
        <v>2207490.86</v>
      </c>
      <c r="R439" s="101">
        <f t="shared" si="79"/>
        <v>3224233.58</v>
      </c>
      <c r="S439" s="101">
        <f t="shared" si="79"/>
        <v>-574790.91</v>
      </c>
      <c r="T439" s="101">
        <f t="shared" si="79"/>
        <v>129862344.48</v>
      </c>
      <c r="U439" s="101">
        <f t="shared" si="79"/>
        <v>134719278.01</v>
      </c>
      <c r="V439" s="101">
        <f t="shared" si="79"/>
        <v>318448726.995</v>
      </c>
      <c r="W439" s="101">
        <f t="shared" si="79"/>
        <v>0</v>
      </c>
      <c r="X439" s="101">
        <f t="shared" si="79"/>
        <v>318448726.995</v>
      </c>
      <c r="Y439" s="101">
        <f t="shared" si="79"/>
        <v>18897113.92</v>
      </c>
      <c r="Z439" s="101">
        <f t="shared" si="79"/>
        <v>337345840.915</v>
      </c>
      <c r="AA439" s="166"/>
    </row>
    <row r="440" spans="1:27" ht="15" hidden="1">
      <c r="A440" s="167"/>
      <c r="B440" s="148"/>
      <c r="C440" s="150"/>
      <c r="D440" s="157"/>
      <c r="E440" s="155"/>
      <c r="F440" s="155"/>
      <c r="G440" s="155"/>
      <c r="H440" s="155"/>
      <c r="I440" s="155"/>
      <c r="J440" s="155"/>
      <c r="K440" s="155"/>
      <c r="L440" s="155"/>
      <c r="M440" s="155"/>
      <c r="N440" s="155"/>
      <c r="O440" s="155"/>
      <c r="P440" s="117"/>
      <c r="Q440" s="117"/>
      <c r="R440" s="117"/>
      <c r="S440" s="117"/>
      <c r="T440" s="117"/>
      <c r="U440" s="117"/>
      <c r="V440" s="117"/>
      <c r="W440" s="117"/>
      <c r="X440" s="117"/>
      <c r="Y440" s="117"/>
      <c r="Z440" s="117"/>
      <c r="AA440" s="167"/>
    </row>
    <row r="441" spans="1:27" ht="15.75">
      <c r="A441" s="166"/>
      <c r="B441" s="160" t="s">
        <v>3733</v>
      </c>
      <c r="C441" s="150"/>
      <c r="D441" s="72"/>
      <c r="E441" s="208">
        <f aca="true" t="shared" si="80" ref="E441:Z441">E431+E439</f>
        <v>592.0699999999997</v>
      </c>
      <c r="F441" s="208">
        <f t="shared" si="80"/>
        <v>34413395.44900007</v>
      </c>
      <c r="G441" s="175">
        <f t="shared" si="80"/>
        <v>34413987.519000106</v>
      </c>
      <c r="H441" s="175">
        <f t="shared" si="80"/>
        <v>28167819.645999983</v>
      </c>
      <c r="I441" s="175">
        <f t="shared" si="80"/>
        <v>512187.92</v>
      </c>
      <c r="J441" s="175">
        <f t="shared" si="80"/>
        <v>0</v>
      </c>
      <c r="K441" s="175">
        <f t="shared" si="80"/>
        <v>21917720.34</v>
      </c>
      <c r="L441" s="175">
        <f t="shared" si="80"/>
        <v>22429908.26</v>
      </c>
      <c r="M441" s="175">
        <f t="shared" si="80"/>
        <v>0</v>
      </c>
      <c r="N441" s="175">
        <f t="shared" si="80"/>
        <v>84641593.77000001</v>
      </c>
      <c r="O441" s="175">
        <f t="shared" si="80"/>
        <v>26491885.45</v>
      </c>
      <c r="P441" s="175">
        <f t="shared" si="80"/>
        <v>111133479.22</v>
      </c>
      <c r="Q441" s="175">
        <f t="shared" si="80"/>
        <v>-3902252.720000002</v>
      </c>
      <c r="R441" s="175">
        <f t="shared" si="80"/>
        <v>1481278.4900000002</v>
      </c>
      <c r="S441" s="175">
        <f t="shared" si="80"/>
        <v>-277581.3599999999</v>
      </c>
      <c r="T441" s="175">
        <f t="shared" si="80"/>
        <v>151413067.23000002</v>
      </c>
      <c r="U441" s="175">
        <f t="shared" si="80"/>
        <v>148714511.64</v>
      </c>
      <c r="V441" s="175">
        <f t="shared" si="80"/>
        <v>344859706.2850001</v>
      </c>
      <c r="W441" s="175">
        <f t="shared" si="80"/>
        <v>0</v>
      </c>
      <c r="X441" s="175">
        <f t="shared" si="80"/>
        <v>344859706.2850001</v>
      </c>
      <c r="Y441" s="175">
        <f t="shared" si="80"/>
        <v>19993708.719999995</v>
      </c>
      <c r="Z441" s="175">
        <f t="shared" si="80"/>
        <v>364853415.0050001</v>
      </c>
      <c r="AA441" s="166"/>
    </row>
    <row r="442" spans="5:25" ht="12.75">
      <c r="E442" s="211"/>
      <c r="F442" s="211"/>
      <c r="G442" s="132"/>
      <c r="U442" s="132"/>
      <c r="V442" s="132"/>
      <c r="Y442" s="132"/>
    </row>
    <row r="443" spans="5:25" ht="12.75">
      <c r="E443" s="211"/>
      <c r="F443" s="211"/>
      <c r="G443" s="132"/>
      <c r="U443" s="132"/>
      <c r="V443" s="132"/>
      <c r="Y443" s="132"/>
    </row>
    <row r="444" spans="5:25" ht="12.75">
      <c r="E444" s="211"/>
      <c r="F444" s="211"/>
      <c r="G444" s="132"/>
      <c r="I444" s="211"/>
      <c r="J444" s="211"/>
      <c r="K444" s="211"/>
      <c r="M444" s="211"/>
      <c r="N444" s="211"/>
      <c r="O444" s="211"/>
      <c r="Q444" s="211"/>
      <c r="R444" s="211"/>
      <c r="S444" s="211"/>
      <c r="T444" s="211"/>
      <c r="U444" s="132"/>
      <c r="V444" s="132"/>
      <c r="Y444" s="132"/>
    </row>
    <row r="445" spans="5:25" ht="12.75">
      <c r="E445" s="211"/>
      <c r="F445" s="211"/>
      <c r="G445" s="132"/>
      <c r="I445" s="211"/>
      <c r="J445" s="211"/>
      <c r="K445" s="211"/>
      <c r="M445" s="211"/>
      <c r="N445" s="211"/>
      <c r="O445" s="211"/>
      <c r="Q445" s="211"/>
      <c r="R445" s="211"/>
      <c r="S445" s="211"/>
      <c r="T445" s="211"/>
      <c r="U445" s="132"/>
      <c r="V445" s="132"/>
      <c r="Y445" s="132"/>
    </row>
    <row r="446" spans="5:25" ht="12.75">
      <c r="E446" s="211"/>
      <c r="F446" s="211"/>
      <c r="G446" s="132"/>
      <c r="I446" s="211"/>
      <c r="J446" s="211"/>
      <c r="K446" s="211"/>
      <c r="M446" s="211"/>
      <c r="N446" s="211"/>
      <c r="O446" s="211"/>
      <c r="Q446" s="211"/>
      <c r="R446" s="211"/>
      <c r="S446" s="211"/>
      <c r="T446" s="211"/>
      <c r="U446" s="132"/>
      <c r="V446" s="132"/>
      <c r="Y446" s="132"/>
    </row>
    <row r="447" spans="5:25" ht="12.75">
      <c r="E447" s="211"/>
      <c r="F447" s="211"/>
      <c r="G447" s="132"/>
      <c r="I447" s="211"/>
      <c r="J447" s="211"/>
      <c r="K447" s="211"/>
      <c r="M447" s="211"/>
      <c r="N447" s="211"/>
      <c r="O447" s="211"/>
      <c r="Q447" s="211"/>
      <c r="R447" s="211"/>
      <c r="S447" s="211"/>
      <c r="T447" s="211"/>
      <c r="U447" s="132"/>
      <c r="V447" s="132"/>
      <c r="Y447" s="132"/>
    </row>
    <row r="448" spans="5:25" ht="12.75">
      <c r="E448" s="211"/>
      <c r="F448" s="211"/>
      <c r="G448" s="132"/>
      <c r="I448" s="211"/>
      <c r="J448" s="211"/>
      <c r="K448" s="211"/>
      <c r="M448" s="211"/>
      <c r="N448" s="211"/>
      <c r="O448" s="211"/>
      <c r="Q448" s="211"/>
      <c r="R448" s="211"/>
      <c r="S448" s="211"/>
      <c r="T448" s="211"/>
      <c r="U448" s="132"/>
      <c r="V448" s="132"/>
      <c r="Y448" s="132"/>
    </row>
    <row r="449" spans="5:25" ht="12.75">
      <c r="E449" s="211"/>
      <c r="F449" s="211"/>
      <c r="G449" s="132"/>
      <c r="I449" s="211"/>
      <c r="J449" s="211"/>
      <c r="K449" s="211"/>
      <c r="M449" s="211"/>
      <c r="N449" s="211"/>
      <c r="O449" s="211"/>
      <c r="Q449" s="211"/>
      <c r="R449" s="211"/>
      <c r="S449" s="211"/>
      <c r="T449" s="211"/>
      <c r="U449" s="132"/>
      <c r="V449" s="132"/>
      <c r="Y449" s="132"/>
    </row>
    <row r="450" spans="5:25" ht="12.75">
      <c r="E450" s="211"/>
      <c r="F450" s="211"/>
      <c r="G450" s="132"/>
      <c r="I450" s="211"/>
      <c r="J450" s="211"/>
      <c r="K450" s="211"/>
      <c r="M450" s="211"/>
      <c r="N450" s="211"/>
      <c r="O450" s="211"/>
      <c r="Q450" s="211"/>
      <c r="R450" s="211"/>
      <c r="S450" s="211"/>
      <c r="T450" s="211"/>
      <c r="U450" s="132"/>
      <c r="V450" s="132"/>
      <c r="Y450" s="132"/>
    </row>
    <row r="451" spans="5:25" ht="12.75">
      <c r="E451" s="211"/>
      <c r="F451" s="211"/>
      <c r="G451" s="132"/>
      <c r="I451" s="211"/>
      <c r="J451" s="211"/>
      <c r="K451" s="211"/>
      <c r="M451" s="211"/>
      <c r="N451" s="211"/>
      <c r="O451" s="211"/>
      <c r="Q451" s="211"/>
      <c r="R451" s="211"/>
      <c r="S451" s="211"/>
      <c r="T451" s="211"/>
      <c r="U451" s="132"/>
      <c r="V451" s="132"/>
      <c r="Y451" s="132"/>
    </row>
    <row r="452" spans="5:25" ht="12.75">
      <c r="E452" s="211"/>
      <c r="F452" s="211"/>
      <c r="G452" s="132"/>
      <c r="I452" s="211"/>
      <c r="J452" s="211"/>
      <c r="K452" s="211"/>
      <c r="M452" s="211"/>
      <c r="N452" s="211"/>
      <c r="O452" s="211"/>
      <c r="Q452" s="211"/>
      <c r="R452" s="211"/>
      <c r="S452" s="211"/>
      <c r="T452" s="211"/>
      <c r="U452" s="132"/>
      <c r="V452" s="132"/>
      <c r="Y452" s="132"/>
    </row>
    <row r="453" spans="5:25" ht="12.75">
      <c r="E453" s="211"/>
      <c r="F453" s="211"/>
      <c r="G453" s="132"/>
      <c r="I453" s="211"/>
      <c r="J453" s="211"/>
      <c r="K453" s="211"/>
      <c r="M453" s="211"/>
      <c r="N453" s="211"/>
      <c r="O453" s="211"/>
      <c r="Q453" s="211"/>
      <c r="R453" s="211"/>
      <c r="S453" s="211"/>
      <c r="T453" s="211"/>
      <c r="U453" s="132"/>
      <c r="V453" s="132"/>
      <c r="Y453" s="132"/>
    </row>
    <row r="454" spans="5:25" ht="12.75">
      <c r="E454" s="211"/>
      <c r="F454" s="211"/>
      <c r="G454" s="132"/>
      <c r="I454" s="211"/>
      <c r="J454" s="211"/>
      <c r="K454" s="211"/>
      <c r="M454" s="211"/>
      <c r="N454" s="211"/>
      <c r="O454" s="211"/>
      <c r="Q454" s="211"/>
      <c r="R454" s="211"/>
      <c r="S454" s="211"/>
      <c r="T454" s="211"/>
      <c r="U454" s="132"/>
      <c r="V454" s="132"/>
      <c r="Y454" s="132"/>
    </row>
    <row r="455" spans="5:25" ht="12.75">
      <c r="E455" s="211"/>
      <c r="F455" s="211"/>
      <c r="G455" s="132"/>
      <c r="I455" s="211"/>
      <c r="J455" s="211"/>
      <c r="K455" s="211"/>
      <c r="M455" s="211"/>
      <c r="N455" s="211"/>
      <c r="O455" s="211"/>
      <c r="Q455" s="211"/>
      <c r="R455" s="211"/>
      <c r="S455" s="211"/>
      <c r="T455" s="211"/>
      <c r="U455" s="132"/>
      <c r="V455" s="132"/>
      <c r="Y455" s="132"/>
    </row>
    <row r="456" spans="5:25" ht="12.75">
      <c r="E456" s="211"/>
      <c r="F456" s="211"/>
      <c r="G456" s="132"/>
      <c r="I456" s="211"/>
      <c r="J456" s="211"/>
      <c r="K456" s="211"/>
      <c r="M456" s="211"/>
      <c r="N456" s="211"/>
      <c r="O456" s="211"/>
      <c r="Q456" s="211"/>
      <c r="R456" s="211"/>
      <c r="S456" s="211"/>
      <c r="T456" s="211"/>
      <c r="U456" s="132"/>
      <c r="V456" s="132"/>
      <c r="Y456" s="132"/>
    </row>
    <row r="457" spans="5:25" ht="12.75">
      <c r="E457" s="211"/>
      <c r="F457" s="211"/>
      <c r="G457" s="132"/>
      <c r="I457" s="211"/>
      <c r="J457" s="211"/>
      <c r="K457" s="211"/>
      <c r="M457" s="211"/>
      <c r="N457" s="211"/>
      <c r="O457" s="211"/>
      <c r="Q457" s="211"/>
      <c r="R457" s="211"/>
      <c r="S457" s="211"/>
      <c r="T457" s="211"/>
      <c r="U457" s="132"/>
      <c r="V457" s="132"/>
      <c r="Y457" s="132"/>
    </row>
    <row r="458" spans="5:25" ht="12.75">
      <c r="E458" s="211"/>
      <c r="F458" s="211"/>
      <c r="G458" s="132"/>
      <c r="I458" s="211"/>
      <c r="J458" s="211"/>
      <c r="K458" s="211"/>
      <c r="M458" s="211"/>
      <c r="N458" s="211"/>
      <c r="O458" s="211"/>
      <c r="Q458" s="211"/>
      <c r="R458" s="211"/>
      <c r="S458" s="211"/>
      <c r="T458" s="211"/>
      <c r="U458" s="132"/>
      <c r="V458" s="132"/>
      <c r="Y458" s="132"/>
    </row>
    <row r="459" spans="5:25" ht="12.75">
      <c r="E459" s="211"/>
      <c r="F459" s="211"/>
      <c r="G459" s="132"/>
      <c r="I459" s="211"/>
      <c r="J459" s="211"/>
      <c r="K459" s="211"/>
      <c r="M459" s="211"/>
      <c r="N459" s="211"/>
      <c r="O459" s="211"/>
      <c r="Q459" s="211"/>
      <c r="R459" s="211"/>
      <c r="S459" s="211"/>
      <c r="T459" s="211"/>
      <c r="U459" s="132"/>
      <c r="V459" s="132"/>
      <c r="Y459" s="132"/>
    </row>
    <row r="460" spans="5:25" ht="12.75">
      <c r="E460" s="211"/>
      <c r="F460" s="211"/>
      <c r="G460" s="132"/>
      <c r="I460" s="211"/>
      <c r="J460" s="211"/>
      <c r="K460" s="211"/>
      <c r="M460" s="211"/>
      <c r="N460" s="211"/>
      <c r="O460" s="211"/>
      <c r="Q460" s="211"/>
      <c r="R460" s="211"/>
      <c r="S460" s="211"/>
      <c r="T460" s="211"/>
      <c r="U460" s="132"/>
      <c r="V460" s="132"/>
      <c r="Y460" s="132"/>
    </row>
    <row r="461" spans="5:25" ht="12.75">
      <c r="E461" s="211"/>
      <c r="F461" s="211"/>
      <c r="G461" s="132"/>
      <c r="I461" s="211"/>
      <c r="J461" s="211"/>
      <c r="K461" s="211"/>
      <c r="M461" s="211"/>
      <c r="N461" s="211"/>
      <c r="O461" s="211"/>
      <c r="Q461" s="211"/>
      <c r="R461" s="211"/>
      <c r="S461" s="211"/>
      <c r="T461" s="211"/>
      <c r="U461" s="132"/>
      <c r="V461" s="132"/>
      <c r="Y461" s="132"/>
    </row>
    <row r="462" spans="5:25" ht="12.75">
      <c r="E462" s="211"/>
      <c r="F462" s="211"/>
      <c r="G462" s="132"/>
      <c r="I462" s="211"/>
      <c r="J462" s="211"/>
      <c r="K462" s="211"/>
      <c r="M462" s="211"/>
      <c r="N462" s="211"/>
      <c r="O462" s="211"/>
      <c r="Q462" s="211"/>
      <c r="R462" s="211"/>
      <c r="S462" s="211"/>
      <c r="T462" s="211"/>
      <c r="U462" s="132"/>
      <c r="V462" s="132"/>
      <c r="Y462" s="132"/>
    </row>
    <row r="463" spans="5:25" ht="12.75">
      <c r="E463" s="211"/>
      <c r="F463" s="211"/>
      <c r="G463" s="132"/>
      <c r="I463" s="211"/>
      <c r="J463" s="211"/>
      <c r="K463" s="211"/>
      <c r="M463" s="211"/>
      <c r="N463" s="211"/>
      <c r="O463" s="211"/>
      <c r="Q463" s="211"/>
      <c r="R463" s="211"/>
      <c r="S463" s="211"/>
      <c r="T463" s="211"/>
      <c r="U463" s="132"/>
      <c r="V463" s="132"/>
      <c r="Y463" s="132"/>
    </row>
    <row r="464" spans="5:25" ht="12.75">
      <c r="E464" s="211"/>
      <c r="F464" s="211"/>
      <c r="G464" s="132"/>
      <c r="I464" s="211"/>
      <c r="J464" s="211"/>
      <c r="K464" s="211"/>
      <c r="M464" s="211"/>
      <c r="N464" s="211"/>
      <c r="O464" s="211"/>
      <c r="Q464" s="211"/>
      <c r="R464" s="211"/>
      <c r="S464" s="211"/>
      <c r="T464" s="211"/>
      <c r="U464" s="132"/>
      <c r="V464" s="132"/>
      <c r="Y464" s="132"/>
    </row>
    <row r="465" spans="5:25" ht="12.75">
      <c r="E465" s="211"/>
      <c r="F465" s="211"/>
      <c r="G465" s="132"/>
      <c r="I465" s="211"/>
      <c r="J465" s="211"/>
      <c r="K465" s="211"/>
      <c r="M465" s="211"/>
      <c r="N465" s="211"/>
      <c r="O465" s="211"/>
      <c r="Q465" s="211"/>
      <c r="R465" s="211"/>
      <c r="S465" s="211"/>
      <c r="T465" s="211"/>
      <c r="U465" s="132"/>
      <c r="V465" s="132"/>
      <c r="Y465" s="132"/>
    </row>
    <row r="466" spans="5:25" ht="12.75">
      <c r="E466" s="211"/>
      <c r="F466" s="211"/>
      <c r="G466" s="132"/>
      <c r="I466" s="211"/>
      <c r="J466" s="211"/>
      <c r="K466" s="211"/>
      <c r="M466" s="211"/>
      <c r="N466" s="211"/>
      <c r="O466" s="211"/>
      <c r="Q466" s="211"/>
      <c r="R466" s="211"/>
      <c r="S466" s="211"/>
      <c r="T466" s="211"/>
      <c r="U466" s="132"/>
      <c r="V466" s="132"/>
      <c r="Y466" s="132"/>
    </row>
    <row r="467" spans="5:25" ht="12.75">
      <c r="E467" s="211"/>
      <c r="F467" s="211"/>
      <c r="G467" s="132"/>
      <c r="I467" s="211"/>
      <c r="J467" s="211"/>
      <c r="K467" s="211"/>
      <c r="M467" s="211"/>
      <c r="N467" s="211"/>
      <c r="O467" s="211"/>
      <c r="Q467" s="211"/>
      <c r="R467" s="211"/>
      <c r="S467" s="211"/>
      <c r="T467" s="211"/>
      <c r="U467" s="132"/>
      <c r="V467" s="132"/>
      <c r="Y467" s="132"/>
    </row>
    <row r="468" spans="5:25" ht="12.75">
      <c r="E468" s="211"/>
      <c r="F468" s="211"/>
      <c r="G468" s="132"/>
      <c r="I468" s="211"/>
      <c r="J468" s="211"/>
      <c r="K468" s="211"/>
      <c r="M468" s="211"/>
      <c r="N468" s="211"/>
      <c r="O468" s="211"/>
      <c r="Q468" s="211"/>
      <c r="R468" s="211"/>
      <c r="S468" s="211"/>
      <c r="T468" s="211"/>
      <c r="U468" s="132"/>
      <c r="V468" s="132"/>
      <c r="Y468" s="132"/>
    </row>
    <row r="469" spans="5:25" ht="12.75">
      <c r="E469" s="211"/>
      <c r="F469" s="211"/>
      <c r="G469" s="132"/>
      <c r="I469" s="211"/>
      <c r="J469" s="211"/>
      <c r="K469" s="211"/>
      <c r="M469" s="211"/>
      <c r="N469" s="211"/>
      <c r="O469" s="211"/>
      <c r="Q469" s="211"/>
      <c r="R469" s="211"/>
      <c r="S469" s="211"/>
      <c r="T469" s="211"/>
      <c r="U469" s="132"/>
      <c r="V469" s="132"/>
      <c r="Y469" s="132"/>
    </row>
    <row r="470" spans="5:25" ht="12.75">
      <c r="E470" s="211"/>
      <c r="F470" s="211"/>
      <c r="G470" s="132"/>
      <c r="I470" s="211"/>
      <c r="J470" s="211"/>
      <c r="K470" s="211"/>
      <c r="M470" s="211"/>
      <c r="N470" s="211"/>
      <c r="O470" s="211"/>
      <c r="Q470" s="211"/>
      <c r="R470" s="211"/>
      <c r="S470" s="211"/>
      <c r="T470" s="211"/>
      <c r="U470" s="132"/>
      <c r="V470" s="132"/>
      <c r="Y470" s="132"/>
    </row>
    <row r="471" spans="5:25" ht="12.75">
      <c r="E471" s="211"/>
      <c r="F471" s="211"/>
      <c r="G471" s="132"/>
      <c r="I471" s="211"/>
      <c r="J471" s="211"/>
      <c r="K471" s="211"/>
      <c r="M471" s="211"/>
      <c r="N471" s="211"/>
      <c r="O471" s="211"/>
      <c r="Q471" s="211"/>
      <c r="R471" s="211"/>
      <c r="S471" s="211"/>
      <c r="T471" s="211"/>
      <c r="U471" s="132"/>
      <c r="V471" s="132"/>
      <c r="Y471" s="132"/>
    </row>
    <row r="472" spans="5:25" ht="12.75">
      <c r="E472" s="211"/>
      <c r="F472" s="211"/>
      <c r="G472" s="132"/>
      <c r="I472" s="211"/>
      <c r="J472" s="211"/>
      <c r="K472" s="211"/>
      <c r="M472" s="211"/>
      <c r="N472" s="211"/>
      <c r="O472" s="211"/>
      <c r="Q472" s="211"/>
      <c r="R472" s="211"/>
      <c r="S472" s="211"/>
      <c r="T472" s="211"/>
      <c r="U472" s="132"/>
      <c r="V472" s="132"/>
      <c r="Y472" s="132"/>
    </row>
    <row r="473" spans="5:25" ht="12.75">
      <c r="E473" s="211"/>
      <c r="F473" s="211"/>
      <c r="G473" s="132"/>
      <c r="I473" s="211"/>
      <c r="J473" s="211"/>
      <c r="K473" s="211"/>
      <c r="M473" s="211"/>
      <c r="N473" s="211"/>
      <c r="O473" s="211"/>
      <c r="Q473" s="211"/>
      <c r="R473" s="211"/>
      <c r="S473" s="211"/>
      <c r="T473" s="211"/>
      <c r="U473" s="132"/>
      <c r="V473" s="132"/>
      <c r="Y473" s="132"/>
    </row>
    <row r="474" spans="5:25" ht="12.75">
      <c r="E474" s="211"/>
      <c r="F474" s="211"/>
      <c r="G474" s="132"/>
      <c r="I474" s="211"/>
      <c r="J474" s="211"/>
      <c r="K474" s="211"/>
      <c r="M474" s="211"/>
      <c r="N474" s="211"/>
      <c r="O474" s="211"/>
      <c r="Q474" s="211"/>
      <c r="R474" s="211"/>
      <c r="S474" s="211"/>
      <c r="T474" s="211"/>
      <c r="U474" s="132"/>
      <c r="V474" s="132"/>
      <c r="Y474" s="132"/>
    </row>
    <row r="475" spans="5:25" ht="12.75">
      <c r="E475" s="211"/>
      <c r="F475" s="211"/>
      <c r="G475" s="132"/>
      <c r="I475" s="211"/>
      <c r="J475" s="211"/>
      <c r="K475" s="211"/>
      <c r="M475" s="211"/>
      <c r="N475" s="211"/>
      <c r="O475" s="211"/>
      <c r="Q475" s="211"/>
      <c r="R475" s="211"/>
      <c r="S475" s="211"/>
      <c r="T475" s="211"/>
      <c r="U475" s="132"/>
      <c r="V475" s="132"/>
      <c r="Y475" s="132"/>
    </row>
    <row r="476" spans="5:25" ht="12.75">
      <c r="E476" s="211"/>
      <c r="F476" s="211"/>
      <c r="G476" s="132"/>
      <c r="I476" s="211"/>
      <c r="J476" s="211"/>
      <c r="K476" s="211"/>
      <c r="M476" s="211"/>
      <c r="N476" s="211"/>
      <c r="O476" s="211"/>
      <c r="Q476" s="211"/>
      <c r="R476" s="211"/>
      <c r="S476" s="211"/>
      <c r="T476" s="211"/>
      <c r="U476" s="132"/>
      <c r="V476" s="132"/>
      <c r="Y476" s="132"/>
    </row>
    <row r="477" spans="5:25" ht="12.75">
      <c r="E477" s="211"/>
      <c r="F477" s="211"/>
      <c r="G477" s="132"/>
      <c r="I477" s="211"/>
      <c r="J477" s="211"/>
      <c r="K477" s="211"/>
      <c r="M477" s="211"/>
      <c r="N477" s="211"/>
      <c r="O477" s="211"/>
      <c r="Q477" s="211"/>
      <c r="R477" s="211"/>
      <c r="S477" s="211"/>
      <c r="T477" s="211"/>
      <c r="U477" s="132"/>
      <c r="V477" s="132"/>
      <c r="Y477" s="132"/>
    </row>
    <row r="478" spans="5:25" ht="12.75">
      <c r="E478" s="211"/>
      <c r="F478" s="211"/>
      <c r="G478" s="132"/>
      <c r="I478" s="211"/>
      <c r="J478" s="211"/>
      <c r="K478" s="211"/>
      <c r="M478" s="211"/>
      <c r="N478" s="211"/>
      <c r="O478" s="211"/>
      <c r="Q478" s="211"/>
      <c r="R478" s="211"/>
      <c r="S478" s="211"/>
      <c r="T478" s="211"/>
      <c r="U478" s="132"/>
      <c r="V478" s="132"/>
      <c r="Y478" s="132"/>
    </row>
    <row r="479" spans="5:25" ht="12.75">
      <c r="E479" s="211"/>
      <c r="F479" s="211"/>
      <c r="G479" s="132"/>
      <c r="I479" s="211"/>
      <c r="J479" s="211"/>
      <c r="K479" s="211"/>
      <c r="M479" s="211"/>
      <c r="N479" s="211"/>
      <c r="O479" s="211"/>
      <c r="Q479" s="211"/>
      <c r="R479" s="211"/>
      <c r="S479" s="211"/>
      <c r="T479" s="211"/>
      <c r="U479" s="132"/>
      <c r="V479" s="132"/>
      <c r="Y479" s="132"/>
    </row>
    <row r="480" spans="5:25" ht="12.75">
      <c r="E480" s="211"/>
      <c r="F480" s="211"/>
      <c r="G480" s="132"/>
      <c r="I480" s="211"/>
      <c r="J480" s="211"/>
      <c r="K480" s="211"/>
      <c r="M480" s="211"/>
      <c r="N480" s="211"/>
      <c r="O480" s="211"/>
      <c r="Q480" s="211"/>
      <c r="R480" s="211"/>
      <c r="S480" s="211"/>
      <c r="T480" s="211"/>
      <c r="U480" s="132"/>
      <c r="V480" s="132"/>
      <c r="Y480" s="132"/>
    </row>
    <row r="481" spans="5:25" ht="12.75">
      <c r="E481" s="211"/>
      <c r="F481" s="211"/>
      <c r="G481" s="132"/>
      <c r="I481" s="211"/>
      <c r="J481" s="211"/>
      <c r="K481" s="211"/>
      <c r="M481" s="211"/>
      <c r="N481" s="211"/>
      <c r="O481" s="211"/>
      <c r="Q481" s="211"/>
      <c r="R481" s="211"/>
      <c r="S481" s="211"/>
      <c r="T481" s="211"/>
      <c r="U481" s="132"/>
      <c r="V481" s="132"/>
      <c r="Y481" s="132"/>
    </row>
    <row r="482" spans="5:25" ht="12.75">
      <c r="E482" s="211"/>
      <c r="F482" s="211"/>
      <c r="G482" s="132"/>
      <c r="I482" s="211"/>
      <c r="J482" s="211"/>
      <c r="K482" s="211"/>
      <c r="M482" s="211"/>
      <c r="N482" s="211"/>
      <c r="O482" s="211"/>
      <c r="Q482" s="211"/>
      <c r="R482" s="211"/>
      <c r="S482" s="211"/>
      <c r="T482" s="211"/>
      <c r="U482" s="132"/>
      <c r="V482" s="132"/>
      <c r="Y482" s="132"/>
    </row>
    <row r="483" spans="5:25" ht="12.75">
      <c r="E483" s="211"/>
      <c r="F483" s="211"/>
      <c r="G483" s="132"/>
      <c r="I483" s="211"/>
      <c r="J483" s="211"/>
      <c r="K483" s="211"/>
      <c r="M483" s="211"/>
      <c r="N483" s="211"/>
      <c r="O483" s="211"/>
      <c r="Q483" s="211"/>
      <c r="R483" s="211"/>
      <c r="S483" s="211"/>
      <c r="T483" s="211"/>
      <c r="U483" s="132"/>
      <c r="V483" s="132"/>
      <c r="Y483" s="132"/>
    </row>
    <row r="484" spans="5:25" ht="12.75">
      <c r="E484" s="211"/>
      <c r="F484" s="211"/>
      <c r="G484" s="132"/>
      <c r="I484" s="211"/>
      <c r="J484" s="211"/>
      <c r="K484" s="211"/>
      <c r="M484" s="211"/>
      <c r="N484" s="211"/>
      <c r="O484" s="211"/>
      <c r="Q484" s="211"/>
      <c r="R484" s="211"/>
      <c r="S484" s="211"/>
      <c r="T484" s="211"/>
      <c r="U484" s="132"/>
      <c r="V484" s="132"/>
      <c r="Y484" s="132"/>
    </row>
    <row r="485" spans="5:25" ht="12.75">
      <c r="E485" s="211"/>
      <c r="F485" s="211"/>
      <c r="G485" s="132"/>
      <c r="I485" s="211"/>
      <c r="J485" s="211"/>
      <c r="K485" s="211"/>
      <c r="M485" s="211"/>
      <c r="N485" s="211"/>
      <c r="O485" s="211"/>
      <c r="Q485" s="211"/>
      <c r="R485" s="211"/>
      <c r="S485" s="211"/>
      <c r="T485" s="211"/>
      <c r="U485" s="132"/>
      <c r="V485" s="132"/>
      <c r="Y485" s="132"/>
    </row>
    <row r="486" spans="5:25" ht="12.75">
      <c r="E486" s="211"/>
      <c r="F486" s="211"/>
      <c r="G486" s="132"/>
      <c r="I486" s="211"/>
      <c r="J486" s="211"/>
      <c r="K486" s="211"/>
      <c r="M486" s="211"/>
      <c r="N486" s="211"/>
      <c r="O486" s="211"/>
      <c r="Q486" s="211"/>
      <c r="R486" s="211"/>
      <c r="S486" s="211"/>
      <c r="T486" s="211"/>
      <c r="U486" s="132"/>
      <c r="V486" s="132"/>
      <c r="Y486" s="132"/>
    </row>
    <row r="487" spans="5:25" ht="12.75">
      <c r="E487" s="211"/>
      <c r="F487" s="211"/>
      <c r="G487" s="132"/>
      <c r="I487" s="211"/>
      <c r="J487" s="211"/>
      <c r="K487" s="211"/>
      <c r="M487" s="211"/>
      <c r="N487" s="211"/>
      <c r="O487" s="211"/>
      <c r="Q487" s="211"/>
      <c r="R487" s="211"/>
      <c r="S487" s="211"/>
      <c r="T487" s="211"/>
      <c r="U487" s="132"/>
      <c r="V487" s="132"/>
      <c r="Y487" s="132"/>
    </row>
    <row r="488" spans="5:25" ht="12.75">
      <c r="E488" s="211"/>
      <c r="F488" s="211"/>
      <c r="G488" s="132"/>
      <c r="I488" s="211"/>
      <c r="J488" s="211"/>
      <c r="K488" s="211"/>
      <c r="M488" s="211"/>
      <c r="N488" s="211"/>
      <c r="O488" s="211"/>
      <c r="Q488" s="211"/>
      <c r="R488" s="211"/>
      <c r="S488" s="211"/>
      <c r="T488" s="211"/>
      <c r="U488" s="132"/>
      <c r="V488" s="132"/>
      <c r="Y488" s="132"/>
    </row>
    <row r="489" spans="5:25" ht="12.75">
      <c r="E489" s="211"/>
      <c r="F489" s="211"/>
      <c r="G489" s="132"/>
      <c r="I489" s="211"/>
      <c r="J489" s="211"/>
      <c r="K489" s="211"/>
      <c r="M489" s="211"/>
      <c r="N489" s="211"/>
      <c r="O489" s="211"/>
      <c r="Q489" s="211"/>
      <c r="R489" s="211"/>
      <c r="S489" s="211"/>
      <c r="T489" s="211"/>
      <c r="U489" s="132"/>
      <c r="V489" s="132"/>
      <c r="Y489" s="132"/>
    </row>
    <row r="490" spans="5:25" ht="12.75">
      <c r="E490" s="211"/>
      <c r="F490" s="211"/>
      <c r="G490" s="132"/>
      <c r="I490" s="211"/>
      <c r="J490" s="211"/>
      <c r="K490" s="211"/>
      <c r="M490" s="211"/>
      <c r="N490" s="211"/>
      <c r="O490" s="211"/>
      <c r="Q490" s="211"/>
      <c r="R490" s="211"/>
      <c r="S490" s="211"/>
      <c r="T490" s="211"/>
      <c r="U490" s="132"/>
      <c r="V490" s="132"/>
      <c r="Y490" s="132"/>
    </row>
    <row r="491" spans="5:25" ht="12.75">
      <c r="E491" s="211"/>
      <c r="F491" s="211"/>
      <c r="G491" s="132"/>
      <c r="I491" s="211"/>
      <c r="J491" s="211"/>
      <c r="K491" s="211"/>
      <c r="M491" s="211"/>
      <c r="N491" s="211"/>
      <c r="O491" s="211"/>
      <c r="Q491" s="211"/>
      <c r="R491" s="211"/>
      <c r="S491" s="211"/>
      <c r="T491" s="211"/>
      <c r="U491" s="132"/>
      <c r="V491" s="132"/>
      <c r="Y491" s="132"/>
    </row>
    <row r="492" spans="5:25" ht="12.75">
      <c r="E492" s="211"/>
      <c r="F492" s="211"/>
      <c r="G492" s="132"/>
      <c r="I492" s="211"/>
      <c r="J492" s="211"/>
      <c r="K492" s="211"/>
      <c r="M492" s="211"/>
      <c r="N492" s="211"/>
      <c r="O492" s="211"/>
      <c r="Q492" s="211"/>
      <c r="R492" s="211"/>
      <c r="S492" s="211"/>
      <c r="T492" s="211"/>
      <c r="U492" s="132"/>
      <c r="V492" s="132"/>
      <c r="Y492" s="132"/>
    </row>
    <row r="493" spans="5:25" ht="12.75">
      <c r="E493" s="211"/>
      <c r="F493" s="211"/>
      <c r="G493" s="132"/>
      <c r="I493" s="211"/>
      <c r="J493" s="211"/>
      <c r="K493" s="211"/>
      <c r="M493" s="211"/>
      <c r="N493" s="211"/>
      <c r="O493" s="211"/>
      <c r="Q493" s="211"/>
      <c r="R493" s="211"/>
      <c r="S493" s="211"/>
      <c r="T493" s="211"/>
      <c r="U493" s="132"/>
      <c r="V493" s="132"/>
      <c r="Y493" s="132"/>
    </row>
    <row r="494" spans="5:25" ht="12.75">
      <c r="E494" s="211"/>
      <c r="F494" s="211"/>
      <c r="G494" s="132"/>
      <c r="I494" s="211"/>
      <c r="J494" s="211"/>
      <c r="K494" s="211"/>
      <c r="M494" s="211"/>
      <c r="N494" s="211"/>
      <c r="O494" s="211"/>
      <c r="Q494" s="211"/>
      <c r="R494" s="211"/>
      <c r="S494" s="211"/>
      <c r="T494" s="211"/>
      <c r="U494" s="132"/>
      <c r="V494" s="132"/>
      <c r="Y494" s="132"/>
    </row>
    <row r="495" spans="5:25" ht="12.75">
      <c r="E495" s="211"/>
      <c r="F495" s="211"/>
      <c r="G495" s="132"/>
      <c r="I495" s="211"/>
      <c r="J495" s="211"/>
      <c r="K495" s="211"/>
      <c r="M495" s="211"/>
      <c r="N495" s="211"/>
      <c r="O495" s="211"/>
      <c r="Q495" s="211"/>
      <c r="R495" s="211"/>
      <c r="S495" s="211"/>
      <c r="T495" s="211"/>
      <c r="U495" s="132"/>
      <c r="V495" s="132"/>
      <c r="Y495" s="132"/>
    </row>
    <row r="496" spans="5:25" ht="12.75">
      <c r="E496" s="211"/>
      <c r="F496" s="211"/>
      <c r="G496" s="132"/>
      <c r="I496" s="211"/>
      <c r="J496" s="211"/>
      <c r="K496" s="211"/>
      <c r="M496" s="211"/>
      <c r="N496" s="211"/>
      <c r="O496" s="211"/>
      <c r="Q496" s="211"/>
      <c r="R496" s="211"/>
      <c r="S496" s="211"/>
      <c r="T496" s="211"/>
      <c r="U496" s="132"/>
      <c r="V496" s="132"/>
      <c r="Y496" s="132"/>
    </row>
    <row r="497" spans="5:25" ht="12.75">
      <c r="E497" s="211"/>
      <c r="F497" s="211"/>
      <c r="G497" s="132"/>
      <c r="I497" s="211"/>
      <c r="J497" s="211"/>
      <c r="K497" s="211"/>
      <c r="M497" s="211"/>
      <c r="N497" s="211"/>
      <c r="O497" s="211"/>
      <c r="Q497" s="211"/>
      <c r="R497" s="211"/>
      <c r="S497" s="211"/>
      <c r="T497" s="211"/>
      <c r="U497" s="132"/>
      <c r="V497" s="132"/>
      <c r="Y497" s="132"/>
    </row>
    <row r="498" spans="5:25" ht="12.75">
      <c r="E498" s="211"/>
      <c r="F498" s="211"/>
      <c r="G498" s="132"/>
      <c r="I498" s="211"/>
      <c r="J498" s="211"/>
      <c r="K498" s="211"/>
      <c r="M498" s="211"/>
      <c r="N498" s="211"/>
      <c r="O498" s="211"/>
      <c r="Q498" s="211"/>
      <c r="R498" s="211"/>
      <c r="S498" s="211"/>
      <c r="T498" s="211"/>
      <c r="U498" s="132"/>
      <c r="V498" s="132"/>
      <c r="Y498" s="132"/>
    </row>
    <row r="499" spans="5:25" ht="12.75">
      <c r="E499" s="211"/>
      <c r="F499" s="211"/>
      <c r="G499" s="132"/>
      <c r="I499" s="211"/>
      <c r="J499" s="211"/>
      <c r="K499" s="211"/>
      <c r="M499" s="211"/>
      <c r="N499" s="211"/>
      <c r="O499" s="211"/>
      <c r="Q499" s="211"/>
      <c r="R499" s="211"/>
      <c r="S499" s="211"/>
      <c r="T499" s="211"/>
      <c r="U499" s="132"/>
      <c r="V499" s="132"/>
      <c r="Y499" s="132"/>
    </row>
    <row r="500" spans="5:25" ht="12.75">
      <c r="E500" s="211"/>
      <c r="F500" s="211"/>
      <c r="G500" s="132"/>
      <c r="I500" s="211"/>
      <c r="J500" s="211"/>
      <c r="K500" s="211"/>
      <c r="M500" s="211"/>
      <c r="N500" s="211"/>
      <c r="O500" s="211"/>
      <c r="Q500" s="211"/>
      <c r="R500" s="211"/>
      <c r="S500" s="211"/>
      <c r="T500" s="211"/>
      <c r="U500" s="132"/>
      <c r="V500" s="132"/>
      <c r="Y500" s="132"/>
    </row>
    <row r="501" spans="5:25" ht="12.75">
      <c r="E501" s="211"/>
      <c r="F501" s="211"/>
      <c r="G501" s="132"/>
      <c r="I501" s="211"/>
      <c r="J501" s="211"/>
      <c r="K501" s="211"/>
      <c r="M501" s="211"/>
      <c r="N501" s="211"/>
      <c r="O501" s="211"/>
      <c r="Q501" s="211"/>
      <c r="R501" s="211"/>
      <c r="S501" s="211"/>
      <c r="T501" s="211"/>
      <c r="U501" s="132"/>
      <c r="V501" s="132"/>
      <c r="Y501" s="132"/>
    </row>
    <row r="502" spans="5:25" ht="12.75">
      <c r="E502" s="211"/>
      <c r="F502" s="211"/>
      <c r="G502" s="132"/>
      <c r="I502" s="211"/>
      <c r="J502" s="211"/>
      <c r="K502" s="211"/>
      <c r="M502" s="211"/>
      <c r="N502" s="211"/>
      <c r="O502" s="211"/>
      <c r="Q502" s="211"/>
      <c r="R502" s="211"/>
      <c r="S502" s="211"/>
      <c r="T502" s="211"/>
      <c r="U502" s="132"/>
      <c r="V502" s="132"/>
      <c r="Y502" s="132"/>
    </row>
    <row r="503" spans="5:25" ht="12.75">
      <c r="E503" s="211"/>
      <c r="F503" s="211"/>
      <c r="G503" s="132"/>
      <c r="I503" s="211"/>
      <c r="J503" s="211"/>
      <c r="K503" s="211"/>
      <c r="M503" s="211"/>
      <c r="N503" s="211"/>
      <c r="O503" s="211"/>
      <c r="Q503" s="211"/>
      <c r="R503" s="211"/>
      <c r="S503" s="211"/>
      <c r="T503" s="211"/>
      <c r="U503" s="132"/>
      <c r="V503" s="132"/>
      <c r="Y503" s="132"/>
    </row>
    <row r="504" spans="5:25" ht="12.75">
      <c r="E504" s="211"/>
      <c r="F504" s="211"/>
      <c r="G504" s="132"/>
      <c r="I504" s="211"/>
      <c r="J504" s="211"/>
      <c r="K504" s="211"/>
      <c r="M504" s="211"/>
      <c r="N504" s="211"/>
      <c r="O504" s="211"/>
      <c r="Q504" s="211"/>
      <c r="R504" s="211"/>
      <c r="S504" s="211"/>
      <c r="T504" s="211"/>
      <c r="U504" s="132"/>
      <c r="V504" s="132"/>
      <c r="Y504" s="132"/>
    </row>
    <row r="505" spans="5:25" ht="12.75">
      <c r="E505" s="211"/>
      <c r="F505" s="211"/>
      <c r="G505" s="132"/>
      <c r="I505" s="211"/>
      <c r="J505" s="211"/>
      <c r="K505" s="211"/>
      <c r="M505" s="211"/>
      <c r="N505" s="211"/>
      <c r="O505" s="211"/>
      <c r="Q505" s="211"/>
      <c r="R505" s="211"/>
      <c r="S505" s="211"/>
      <c r="T505" s="211"/>
      <c r="U505" s="132"/>
      <c r="V505" s="132"/>
      <c r="Y505" s="132"/>
    </row>
    <row r="506" spans="5:25" ht="12.75">
      <c r="E506" s="211"/>
      <c r="F506" s="211"/>
      <c r="G506" s="132"/>
      <c r="I506" s="211"/>
      <c r="J506" s="211"/>
      <c r="K506" s="211"/>
      <c r="M506" s="211"/>
      <c r="N506" s="211"/>
      <c r="O506" s="211"/>
      <c r="Q506" s="211"/>
      <c r="R506" s="211"/>
      <c r="S506" s="211"/>
      <c r="T506" s="211"/>
      <c r="U506" s="132"/>
      <c r="V506" s="132"/>
      <c r="Y506" s="132"/>
    </row>
    <row r="507" spans="5:25" ht="12.75">
      <c r="E507" s="211"/>
      <c r="F507" s="211"/>
      <c r="G507" s="132"/>
      <c r="I507" s="211"/>
      <c r="J507" s="211"/>
      <c r="K507" s="211"/>
      <c r="M507" s="211"/>
      <c r="N507" s="211"/>
      <c r="O507" s="211"/>
      <c r="Q507" s="211"/>
      <c r="R507" s="211"/>
      <c r="S507" s="211"/>
      <c r="T507" s="211"/>
      <c r="U507" s="132"/>
      <c r="V507" s="132"/>
      <c r="Y507" s="132"/>
    </row>
    <row r="508" spans="5:25" ht="12.75">
      <c r="E508" s="211"/>
      <c r="F508" s="211"/>
      <c r="G508" s="132"/>
      <c r="I508" s="211"/>
      <c r="J508" s="211"/>
      <c r="K508" s="211"/>
      <c r="M508" s="211"/>
      <c r="N508" s="211"/>
      <c r="O508" s="211"/>
      <c r="Q508" s="211"/>
      <c r="R508" s="211"/>
      <c r="S508" s="211"/>
      <c r="T508" s="211"/>
      <c r="U508" s="132"/>
      <c r="V508" s="132"/>
      <c r="Y508" s="132"/>
    </row>
    <row r="509" spans="5:25" ht="12.75">
      <c r="E509" s="211"/>
      <c r="F509" s="211"/>
      <c r="G509" s="132"/>
      <c r="I509" s="211"/>
      <c r="J509" s="211"/>
      <c r="K509" s="211"/>
      <c r="M509" s="211"/>
      <c r="N509" s="211"/>
      <c r="O509" s="211"/>
      <c r="Q509" s="211"/>
      <c r="R509" s="211"/>
      <c r="S509" s="211"/>
      <c r="T509" s="211"/>
      <c r="U509" s="132"/>
      <c r="V509" s="132"/>
      <c r="Y509" s="132"/>
    </row>
    <row r="510" spans="5:25" ht="12.75">
      <c r="E510" s="211"/>
      <c r="F510" s="211"/>
      <c r="G510" s="132"/>
      <c r="I510" s="211"/>
      <c r="J510" s="211"/>
      <c r="K510" s="211"/>
      <c r="M510" s="211"/>
      <c r="N510" s="211"/>
      <c r="O510" s="211"/>
      <c r="Q510" s="211"/>
      <c r="R510" s="211"/>
      <c r="S510" s="211"/>
      <c r="T510" s="211"/>
      <c r="U510" s="132"/>
      <c r="V510" s="132"/>
      <c r="Y510" s="132"/>
    </row>
    <row r="511" spans="5:25" ht="12.75">
      <c r="E511" s="211"/>
      <c r="F511" s="211"/>
      <c r="G511" s="132"/>
      <c r="I511" s="211"/>
      <c r="J511" s="211"/>
      <c r="K511" s="211"/>
      <c r="M511" s="211"/>
      <c r="N511" s="211"/>
      <c r="O511" s="211"/>
      <c r="Q511" s="211"/>
      <c r="R511" s="211"/>
      <c r="S511" s="211"/>
      <c r="T511" s="211"/>
      <c r="U511" s="132"/>
      <c r="V511" s="132"/>
      <c r="Y511" s="132"/>
    </row>
    <row r="512" spans="5:25" ht="12.75">
      <c r="E512" s="211"/>
      <c r="F512" s="211"/>
      <c r="G512" s="132"/>
      <c r="I512" s="211"/>
      <c r="J512" s="211"/>
      <c r="K512" s="211"/>
      <c r="M512" s="211"/>
      <c r="N512" s="211"/>
      <c r="O512" s="211"/>
      <c r="Q512" s="211"/>
      <c r="R512" s="211"/>
      <c r="S512" s="211"/>
      <c r="T512" s="211"/>
      <c r="U512" s="132"/>
      <c r="V512" s="132"/>
      <c r="Y512" s="132"/>
    </row>
    <row r="513" spans="5:25" ht="12.75">
      <c r="E513" s="211"/>
      <c r="F513" s="211"/>
      <c r="G513" s="132"/>
      <c r="I513" s="211"/>
      <c r="J513" s="211"/>
      <c r="K513" s="211"/>
      <c r="M513" s="211"/>
      <c r="N513" s="211"/>
      <c r="O513" s="211"/>
      <c r="Q513" s="211"/>
      <c r="R513" s="211"/>
      <c r="S513" s="211"/>
      <c r="T513" s="211"/>
      <c r="U513" s="132"/>
      <c r="V513" s="132"/>
      <c r="Y513" s="132"/>
    </row>
    <row r="514" spans="5:25" ht="12.75">
      <c r="E514" s="211"/>
      <c r="F514" s="211"/>
      <c r="G514" s="132"/>
      <c r="I514" s="211"/>
      <c r="J514" s="211"/>
      <c r="K514" s="211"/>
      <c r="M514" s="211"/>
      <c r="N514" s="211"/>
      <c r="O514" s="211"/>
      <c r="Q514" s="211"/>
      <c r="R514" s="211"/>
      <c r="S514" s="211"/>
      <c r="T514" s="211"/>
      <c r="U514" s="132"/>
      <c r="V514" s="132"/>
      <c r="Y514" s="132"/>
    </row>
    <row r="515" spans="5:25" ht="12.75">
      <c r="E515" s="211"/>
      <c r="F515" s="211"/>
      <c r="G515" s="132"/>
      <c r="I515" s="211"/>
      <c r="J515" s="211"/>
      <c r="K515" s="211"/>
      <c r="M515" s="211"/>
      <c r="N515" s="211"/>
      <c r="O515" s="211"/>
      <c r="Q515" s="211"/>
      <c r="R515" s="211"/>
      <c r="S515" s="211"/>
      <c r="T515" s="211"/>
      <c r="U515" s="132"/>
      <c r="V515" s="132"/>
      <c r="Y515" s="132"/>
    </row>
    <row r="516" spans="5:25" ht="12.75">
      <c r="E516" s="211"/>
      <c r="F516" s="211"/>
      <c r="G516" s="132"/>
      <c r="I516" s="211"/>
      <c r="J516" s="211"/>
      <c r="K516" s="211"/>
      <c r="M516" s="211"/>
      <c r="N516" s="211"/>
      <c r="O516" s="211"/>
      <c r="Q516" s="211"/>
      <c r="R516" s="211"/>
      <c r="S516" s="211"/>
      <c r="T516" s="211"/>
      <c r="U516" s="132"/>
      <c r="V516" s="132"/>
      <c r="Y516" s="132"/>
    </row>
    <row r="517" spans="5:25" ht="12.75">
      <c r="E517" s="211"/>
      <c r="F517" s="211"/>
      <c r="G517" s="132"/>
      <c r="I517" s="211"/>
      <c r="J517" s="211"/>
      <c r="K517" s="211"/>
      <c r="M517" s="211"/>
      <c r="N517" s="211"/>
      <c r="O517" s="211"/>
      <c r="Q517" s="211"/>
      <c r="R517" s="211"/>
      <c r="S517" s="211"/>
      <c r="T517" s="211"/>
      <c r="U517" s="132"/>
      <c r="V517" s="132"/>
      <c r="Y517" s="132"/>
    </row>
    <row r="518" spans="5:25" ht="12.75">
      <c r="E518" s="211"/>
      <c r="F518" s="211"/>
      <c r="G518" s="132"/>
      <c r="I518" s="211"/>
      <c r="J518" s="211"/>
      <c r="K518" s="211"/>
      <c r="M518" s="211"/>
      <c r="N518" s="211"/>
      <c r="O518" s="211"/>
      <c r="Q518" s="211"/>
      <c r="R518" s="211"/>
      <c r="S518" s="211"/>
      <c r="T518" s="211"/>
      <c r="U518" s="132"/>
      <c r="V518" s="132"/>
      <c r="Y518" s="132"/>
    </row>
    <row r="519" spans="5:25" ht="12.75">
      <c r="E519" s="211"/>
      <c r="F519" s="211"/>
      <c r="G519" s="132"/>
      <c r="I519" s="211"/>
      <c r="J519" s="211"/>
      <c r="K519" s="211"/>
      <c r="M519" s="211"/>
      <c r="N519" s="211"/>
      <c r="O519" s="211"/>
      <c r="Q519" s="211"/>
      <c r="R519" s="211"/>
      <c r="S519" s="211"/>
      <c r="T519" s="211"/>
      <c r="U519" s="132"/>
      <c r="V519" s="132"/>
      <c r="Y519" s="132"/>
    </row>
    <row r="520" spans="5:25" ht="12.75">
      <c r="E520" s="211"/>
      <c r="F520" s="211"/>
      <c r="G520" s="132"/>
      <c r="I520" s="211"/>
      <c r="J520" s="211"/>
      <c r="K520" s="211"/>
      <c r="M520" s="211"/>
      <c r="N520" s="211"/>
      <c r="O520" s="211"/>
      <c r="Q520" s="211"/>
      <c r="R520" s="211"/>
      <c r="S520" s="211"/>
      <c r="T520" s="211"/>
      <c r="U520" s="132"/>
      <c r="V520" s="132"/>
      <c r="Y520" s="132"/>
    </row>
    <row r="521" spans="5:25" ht="12.75">
      <c r="E521" s="211"/>
      <c r="F521" s="211"/>
      <c r="G521" s="132"/>
      <c r="I521" s="211"/>
      <c r="J521" s="211"/>
      <c r="K521" s="211"/>
      <c r="M521" s="211"/>
      <c r="N521" s="211"/>
      <c r="O521" s="211"/>
      <c r="Q521" s="211"/>
      <c r="R521" s="211"/>
      <c r="S521" s="211"/>
      <c r="T521" s="211"/>
      <c r="U521" s="132"/>
      <c r="V521" s="132"/>
      <c r="Y521" s="132"/>
    </row>
    <row r="522" spans="5:25" ht="12.75">
      <c r="E522" s="211"/>
      <c r="F522" s="211"/>
      <c r="G522" s="132"/>
      <c r="I522" s="211"/>
      <c r="J522" s="211"/>
      <c r="K522" s="211"/>
      <c r="M522" s="211"/>
      <c r="N522" s="211"/>
      <c r="O522" s="211"/>
      <c r="Q522" s="211"/>
      <c r="R522" s="211"/>
      <c r="S522" s="211"/>
      <c r="T522" s="211"/>
      <c r="U522" s="132"/>
      <c r="V522" s="132"/>
      <c r="Y522" s="132"/>
    </row>
    <row r="523" spans="5:25" ht="12.75">
      <c r="E523" s="211"/>
      <c r="F523" s="211"/>
      <c r="G523" s="132"/>
      <c r="I523" s="211"/>
      <c r="J523" s="211"/>
      <c r="K523" s="211"/>
      <c r="M523" s="211"/>
      <c r="N523" s="211"/>
      <c r="O523" s="211"/>
      <c r="Q523" s="211"/>
      <c r="R523" s="211"/>
      <c r="S523" s="211"/>
      <c r="T523" s="211"/>
      <c r="U523" s="132"/>
      <c r="V523" s="132"/>
      <c r="Y523" s="132"/>
    </row>
    <row r="524" spans="5:25" ht="12.75">
      <c r="E524" s="211"/>
      <c r="F524" s="211"/>
      <c r="G524" s="132"/>
      <c r="I524" s="211"/>
      <c r="J524" s="211"/>
      <c r="K524" s="211"/>
      <c r="M524" s="211"/>
      <c r="N524" s="211"/>
      <c r="O524" s="211"/>
      <c r="Q524" s="211"/>
      <c r="R524" s="211"/>
      <c r="S524" s="211"/>
      <c r="T524" s="211"/>
      <c r="U524" s="132"/>
      <c r="V524" s="132"/>
      <c r="Y524" s="132"/>
    </row>
    <row r="525" spans="5:25" ht="12.75">
      <c r="E525" s="211"/>
      <c r="F525" s="211"/>
      <c r="G525" s="132"/>
      <c r="I525" s="211"/>
      <c r="J525" s="211"/>
      <c r="K525" s="211"/>
      <c r="M525" s="211"/>
      <c r="N525" s="211"/>
      <c r="O525" s="211"/>
      <c r="Q525" s="211"/>
      <c r="R525" s="211"/>
      <c r="S525" s="211"/>
      <c r="T525" s="211"/>
      <c r="U525" s="132"/>
      <c r="V525" s="132"/>
      <c r="Y525" s="132"/>
    </row>
    <row r="526" spans="5:25" ht="12.75">
      <c r="E526" s="211"/>
      <c r="F526" s="211"/>
      <c r="G526" s="132"/>
      <c r="I526" s="211"/>
      <c r="J526" s="211"/>
      <c r="K526" s="211"/>
      <c r="M526" s="211"/>
      <c r="N526" s="211"/>
      <c r="O526" s="211"/>
      <c r="Q526" s="211"/>
      <c r="R526" s="211"/>
      <c r="S526" s="211"/>
      <c r="T526" s="211"/>
      <c r="U526" s="132"/>
      <c r="V526" s="132"/>
      <c r="Y526" s="132"/>
    </row>
    <row r="527" spans="5:25" ht="12.75">
      <c r="E527" s="211"/>
      <c r="F527" s="211"/>
      <c r="G527" s="132"/>
      <c r="I527" s="211"/>
      <c r="J527" s="211"/>
      <c r="K527" s="211"/>
      <c r="M527" s="211"/>
      <c r="N527" s="211"/>
      <c r="O527" s="211"/>
      <c r="Q527" s="211"/>
      <c r="R527" s="211"/>
      <c r="S527" s="211"/>
      <c r="T527" s="211"/>
      <c r="U527" s="132"/>
      <c r="V527" s="132"/>
      <c r="Y527" s="132"/>
    </row>
    <row r="528" spans="5:25" ht="12.75">
      <c r="E528" s="211"/>
      <c r="F528" s="211"/>
      <c r="G528" s="132"/>
      <c r="I528" s="211"/>
      <c r="J528" s="211"/>
      <c r="K528" s="211"/>
      <c r="M528" s="211"/>
      <c r="N528" s="211"/>
      <c r="O528" s="211"/>
      <c r="Q528" s="211"/>
      <c r="R528" s="211"/>
      <c r="S528" s="211"/>
      <c r="T528" s="211"/>
      <c r="U528" s="132"/>
      <c r="V528" s="132"/>
      <c r="Y528" s="132"/>
    </row>
    <row r="529" spans="5:25" ht="12.75">
      <c r="E529" s="211"/>
      <c r="F529" s="211"/>
      <c r="G529" s="132"/>
      <c r="I529" s="211"/>
      <c r="J529" s="211"/>
      <c r="K529" s="211"/>
      <c r="M529" s="211"/>
      <c r="N529" s="211"/>
      <c r="O529" s="211"/>
      <c r="Q529" s="211"/>
      <c r="R529" s="211"/>
      <c r="S529" s="211"/>
      <c r="T529" s="211"/>
      <c r="U529" s="132"/>
      <c r="V529" s="132"/>
      <c r="Y529" s="132"/>
    </row>
    <row r="530" spans="5:25" ht="12.75">
      <c r="E530" s="211"/>
      <c r="F530" s="211"/>
      <c r="G530" s="132"/>
      <c r="I530" s="211"/>
      <c r="J530" s="211"/>
      <c r="K530" s="211"/>
      <c r="M530" s="211"/>
      <c r="N530" s="211"/>
      <c r="O530" s="211"/>
      <c r="Q530" s="211"/>
      <c r="R530" s="211"/>
      <c r="S530" s="211"/>
      <c r="T530" s="211"/>
      <c r="U530" s="132"/>
      <c r="V530" s="132"/>
      <c r="Y530" s="132"/>
    </row>
    <row r="531" spans="5:25" ht="12.75">
      <c r="E531" s="211"/>
      <c r="F531" s="211"/>
      <c r="G531" s="132"/>
      <c r="I531" s="211"/>
      <c r="J531" s="211"/>
      <c r="K531" s="211"/>
      <c r="M531" s="211"/>
      <c r="N531" s="211"/>
      <c r="O531" s="211"/>
      <c r="Q531" s="211"/>
      <c r="R531" s="211"/>
      <c r="S531" s="211"/>
      <c r="T531" s="211"/>
      <c r="U531" s="132"/>
      <c r="V531" s="132"/>
      <c r="Y531" s="132"/>
    </row>
    <row r="532" spans="5:25" ht="12.75">
      <c r="E532" s="211"/>
      <c r="F532" s="211"/>
      <c r="G532" s="132"/>
      <c r="I532" s="211"/>
      <c r="J532" s="211"/>
      <c r="K532" s="211"/>
      <c r="M532" s="211"/>
      <c r="N532" s="211"/>
      <c r="O532" s="211"/>
      <c r="Q532" s="211"/>
      <c r="R532" s="211"/>
      <c r="S532" s="211"/>
      <c r="T532" s="211"/>
      <c r="U532" s="132"/>
      <c r="V532" s="132"/>
      <c r="Y532" s="132"/>
    </row>
    <row r="533" spans="5:25" ht="12.75">
      <c r="E533" s="211"/>
      <c r="F533" s="211"/>
      <c r="G533" s="132"/>
      <c r="I533" s="211"/>
      <c r="J533" s="211"/>
      <c r="K533" s="211"/>
      <c r="M533" s="211"/>
      <c r="N533" s="211"/>
      <c r="O533" s="211"/>
      <c r="Q533" s="211"/>
      <c r="R533" s="211"/>
      <c r="S533" s="211"/>
      <c r="T533" s="211"/>
      <c r="U533" s="132"/>
      <c r="V533" s="132"/>
      <c r="Y533" s="132"/>
    </row>
    <row r="534" spans="5:25" ht="12.75">
      <c r="E534" s="211"/>
      <c r="F534" s="211"/>
      <c r="G534" s="132"/>
      <c r="I534" s="211"/>
      <c r="J534" s="211"/>
      <c r="K534" s="211"/>
      <c r="M534" s="211"/>
      <c r="N534" s="211"/>
      <c r="O534" s="211"/>
      <c r="Q534" s="211"/>
      <c r="R534" s="211"/>
      <c r="S534" s="211"/>
      <c r="T534" s="211"/>
      <c r="U534" s="132"/>
      <c r="V534" s="132"/>
      <c r="Y534" s="132"/>
    </row>
    <row r="535" spans="5:25" ht="12.75">
      <c r="E535" s="211"/>
      <c r="F535" s="211"/>
      <c r="G535" s="132"/>
      <c r="I535" s="211"/>
      <c r="J535" s="211"/>
      <c r="K535" s="211"/>
      <c r="M535" s="211"/>
      <c r="N535" s="211"/>
      <c r="O535" s="211"/>
      <c r="Q535" s="211"/>
      <c r="R535" s="211"/>
      <c r="S535" s="211"/>
      <c r="T535" s="211"/>
      <c r="U535" s="132"/>
      <c r="V535" s="132"/>
      <c r="Y535" s="132"/>
    </row>
    <row r="536" spans="5:25" ht="12.75">
      <c r="E536" s="211"/>
      <c r="F536" s="211"/>
      <c r="G536" s="132"/>
      <c r="I536" s="211"/>
      <c r="J536" s="211"/>
      <c r="K536" s="211"/>
      <c r="M536" s="211"/>
      <c r="N536" s="211"/>
      <c r="O536" s="211"/>
      <c r="Q536" s="211"/>
      <c r="R536" s="211"/>
      <c r="S536" s="211"/>
      <c r="T536" s="211"/>
      <c r="U536" s="132"/>
      <c r="V536" s="132"/>
      <c r="Y536" s="132"/>
    </row>
    <row r="537" spans="5:25" ht="12.75">
      <c r="E537" s="211"/>
      <c r="F537" s="211"/>
      <c r="G537" s="132"/>
      <c r="I537" s="211"/>
      <c r="J537" s="211"/>
      <c r="K537" s="211"/>
      <c r="M537" s="211"/>
      <c r="N537" s="211"/>
      <c r="O537" s="211"/>
      <c r="Q537" s="211"/>
      <c r="R537" s="211"/>
      <c r="S537" s="211"/>
      <c r="T537" s="211"/>
      <c r="U537" s="132"/>
      <c r="V537" s="132"/>
      <c r="Y537" s="132"/>
    </row>
    <row r="538" spans="5:25" ht="12.75">
      <c r="E538" s="211"/>
      <c r="F538" s="211"/>
      <c r="G538" s="132"/>
      <c r="I538" s="211"/>
      <c r="J538" s="211"/>
      <c r="K538" s="211"/>
      <c r="M538" s="211"/>
      <c r="N538" s="211"/>
      <c r="O538" s="211"/>
      <c r="Q538" s="211"/>
      <c r="R538" s="211"/>
      <c r="S538" s="211"/>
      <c r="T538" s="211"/>
      <c r="U538" s="132"/>
      <c r="V538" s="132"/>
      <c r="Y538" s="132"/>
    </row>
    <row r="539" spans="5:25" ht="12.75">
      <c r="E539" s="211"/>
      <c r="F539" s="211"/>
      <c r="G539" s="132"/>
      <c r="I539" s="211"/>
      <c r="J539" s="211"/>
      <c r="K539" s="211"/>
      <c r="M539" s="211"/>
      <c r="N539" s="211"/>
      <c r="O539" s="211"/>
      <c r="Q539" s="211"/>
      <c r="R539" s="211"/>
      <c r="S539" s="211"/>
      <c r="T539" s="211"/>
      <c r="U539" s="132"/>
      <c r="V539" s="132"/>
      <c r="Y539" s="132"/>
    </row>
    <row r="540" spans="5:25" ht="12.75">
      <c r="E540" s="211"/>
      <c r="F540" s="211"/>
      <c r="G540" s="132"/>
      <c r="I540" s="211"/>
      <c r="J540" s="211"/>
      <c r="K540" s="211"/>
      <c r="M540" s="211"/>
      <c r="N540" s="211"/>
      <c r="O540" s="211"/>
      <c r="Q540" s="211"/>
      <c r="R540" s="211"/>
      <c r="S540" s="211"/>
      <c r="T540" s="211"/>
      <c r="U540" s="132"/>
      <c r="V540" s="132"/>
      <c r="Y540" s="132"/>
    </row>
    <row r="541" spans="5:25" ht="12.75">
      <c r="E541" s="211"/>
      <c r="F541" s="211"/>
      <c r="G541" s="132"/>
      <c r="I541" s="211"/>
      <c r="J541" s="211"/>
      <c r="K541" s="211"/>
      <c r="M541" s="211"/>
      <c r="N541" s="211"/>
      <c r="O541" s="211"/>
      <c r="Q541" s="211"/>
      <c r="R541" s="211"/>
      <c r="S541" s="211"/>
      <c r="T541" s="211"/>
      <c r="U541" s="132"/>
      <c r="V541" s="132"/>
      <c r="Y541" s="132"/>
    </row>
    <row r="542" spans="5:25" ht="12.75">
      <c r="E542" s="211"/>
      <c r="F542" s="211"/>
      <c r="G542" s="132"/>
      <c r="I542" s="211"/>
      <c r="J542" s="211"/>
      <c r="K542" s="211"/>
      <c r="M542" s="211"/>
      <c r="N542" s="211"/>
      <c r="O542" s="211"/>
      <c r="Q542" s="211"/>
      <c r="R542" s="211"/>
      <c r="S542" s="211"/>
      <c r="T542" s="211"/>
      <c r="U542" s="132"/>
      <c r="V542" s="132"/>
      <c r="Y542" s="132"/>
    </row>
    <row r="543" spans="5:25" ht="12.75">
      <c r="E543" s="211"/>
      <c r="F543" s="211"/>
      <c r="G543" s="132"/>
      <c r="I543" s="211"/>
      <c r="J543" s="211"/>
      <c r="K543" s="211"/>
      <c r="M543" s="211"/>
      <c r="N543" s="211"/>
      <c r="O543" s="211"/>
      <c r="Q543" s="211"/>
      <c r="R543" s="211"/>
      <c r="S543" s="211"/>
      <c r="T543" s="211"/>
      <c r="U543" s="132"/>
      <c r="V543" s="132"/>
      <c r="Y543" s="132"/>
    </row>
    <row r="544" spans="5:25" ht="12.75">
      <c r="E544" s="211"/>
      <c r="F544" s="211"/>
      <c r="G544" s="132"/>
      <c r="I544" s="211"/>
      <c r="J544" s="211"/>
      <c r="K544" s="211"/>
      <c r="M544" s="211"/>
      <c r="N544" s="211"/>
      <c r="O544" s="211"/>
      <c r="Q544" s="211"/>
      <c r="R544" s="211"/>
      <c r="S544" s="211"/>
      <c r="T544" s="211"/>
      <c r="U544" s="132"/>
      <c r="V544" s="132"/>
      <c r="Y544" s="132"/>
    </row>
    <row r="545" spans="5:25" ht="12.75">
      <c r="E545" s="211"/>
      <c r="F545" s="211"/>
      <c r="G545" s="132"/>
      <c r="I545" s="211"/>
      <c r="J545" s="211"/>
      <c r="K545" s="211"/>
      <c r="M545" s="211"/>
      <c r="N545" s="211"/>
      <c r="O545" s="211"/>
      <c r="Q545" s="211"/>
      <c r="R545" s="211"/>
      <c r="S545" s="211"/>
      <c r="T545" s="211"/>
      <c r="U545" s="132"/>
      <c r="V545" s="132"/>
      <c r="Y545" s="132"/>
    </row>
    <row r="546" spans="5:25" ht="12.75">
      <c r="E546" s="211"/>
      <c r="F546" s="211"/>
      <c r="G546" s="132"/>
      <c r="I546" s="211"/>
      <c r="J546" s="211"/>
      <c r="K546" s="211"/>
      <c r="M546" s="211"/>
      <c r="N546" s="211"/>
      <c r="O546" s="211"/>
      <c r="Q546" s="211"/>
      <c r="R546" s="211"/>
      <c r="S546" s="211"/>
      <c r="T546" s="211"/>
      <c r="U546" s="132"/>
      <c r="V546" s="132"/>
      <c r="Y546" s="132"/>
    </row>
    <row r="547" spans="5:25" ht="12.75">
      <c r="E547" s="211"/>
      <c r="F547" s="211"/>
      <c r="G547" s="132"/>
      <c r="I547" s="211"/>
      <c r="J547" s="211"/>
      <c r="K547" s="211"/>
      <c r="M547" s="211"/>
      <c r="N547" s="211"/>
      <c r="O547" s="211"/>
      <c r="Q547" s="211"/>
      <c r="R547" s="211"/>
      <c r="S547" s="211"/>
      <c r="T547" s="211"/>
      <c r="U547" s="132"/>
      <c r="V547" s="132"/>
      <c r="Y547" s="132"/>
    </row>
    <row r="548" spans="5:25" ht="12.75">
      <c r="E548" s="211"/>
      <c r="F548" s="211"/>
      <c r="G548" s="132"/>
      <c r="I548" s="211"/>
      <c r="J548" s="211"/>
      <c r="K548" s="211"/>
      <c r="M548" s="211"/>
      <c r="N548" s="211"/>
      <c r="O548" s="211"/>
      <c r="Q548" s="211"/>
      <c r="R548" s="211"/>
      <c r="S548" s="211"/>
      <c r="T548" s="211"/>
      <c r="U548" s="132"/>
      <c r="V548" s="132"/>
      <c r="Y548" s="132"/>
    </row>
    <row r="549" spans="5:25" ht="12.75">
      <c r="E549" s="211"/>
      <c r="F549" s="211"/>
      <c r="G549" s="132"/>
      <c r="I549" s="211"/>
      <c r="J549" s="211"/>
      <c r="K549" s="211"/>
      <c r="M549" s="211"/>
      <c r="N549" s="211"/>
      <c r="O549" s="211"/>
      <c r="Q549" s="211"/>
      <c r="R549" s="211"/>
      <c r="S549" s="211"/>
      <c r="T549" s="211"/>
      <c r="U549" s="132"/>
      <c r="V549" s="132"/>
      <c r="Y549" s="132"/>
    </row>
    <row r="550" spans="5:25" ht="12.75">
      <c r="E550" s="211"/>
      <c r="F550" s="211"/>
      <c r="G550" s="132"/>
      <c r="I550" s="211"/>
      <c r="J550" s="211"/>
      <c r="K550" s="211"/>
      <c r="M550" s="211"/>
      <c r="N550" s="211"/>
      <c r="O550" s="211"/>
      <c r="Q550" s="211"/>
      <c r="R550" s="211"/>
      <c r="S550" s="211"/>
      <c r="T550" s="211"/>
      <c r="U550" s="132"/>
      <c r="V550" s="132"/>
      <c r="Y550" s="132"/>
    </row>
    <row r="551" spans="5:25" ht="12.75">
      <c r="E551" s="211"/>
      <c r="F551" s="211"/>
      <c r="G551" s="132"/>
      <c r="I551" s="211"/>
      <c r="J551" s="211"/>
      <c r="K551" s="211"/>
      <c r="M551" s="211"/>
      <c r="N551" s="211"/>
      <c r="O551" s="211"/>
      <c r="Q551" s="211"/>
      <c r="R551" s="211"/>
      <c r="S551" s="211"/>
      <c r="T551" s="211"/>
      <c r="U551" s="132"/>
      <c r="V551" s="132"/>
      <c r="Y551" s="132"/>
    </row>
    <row r="552" spans="5:25" ht="12.75">
      <c r="E552" s="211"/>
      <c r="F552" s="211"/>
      <c r="G552" s="132"/>
      <c r="I552" s="211"/>
      <c r="J552" s="211"/>
      <c r="K552" s="211"/>
      <c r="M552" s="211"/>
      <c r="N552" s="211"/>
      <c r="O552" s="211"/>
      <c r="Q552" s="211"/>
      <c r="R552" s="211"/>
      <c r="S552" s="211"/>
      <c r="T552" s="211"/>
      <c r="U552" s="132"/>
      <c r="V552" s="132"/>
      <c r="Y552" s="132"/>
    </row>
    <row r="553" spans="5:25" ht="12.75">
      <c r="E553" s="211"/>
      <c r="F553" s="211"/>
      <c r="G553" s="132"/>
      <c r="I553" s="211"/>
      <c r="J553" s="211"/>
      <c r="K553" s="211"/>
      <c r="M553" s="211"/>
      <c r="N553" s="211"/>
      <c r="O553" s="211"/>
      <c r="Q553" s="211"/>
      <c r="R553" s="211"/>
      <c r="S553" s="211"/>
      <c r="T553" s="211"/>
      <c r="U553" s="132"/>
      <c r="V553" s="132"/>
      <c r="Y553" s="132"/>
    </row>
    <row r="554" spans="5:25" ht="12.75">
      <c r="E554" s="211"/>
      <c r="F554" s="211"/>
      <c r="G554" s="132"/>
      <c r="I554" s="211"/>
      <c r="J554" s="211"/>
      <c r="K554" s="211"/>
      <c r="M554" s="211"/>
      <c r="N554" s="211"/>
      <c r="O554" s="211"/>
      <c r="Q554" s="211"/>
      <c r="R554" s="211"/>
      <c r="S554" s="211"/>
      <c r="T554" s="211"/>
      <c r="U554" s="132"/>
      <c r="V554" s="132"/>
      <c r="Y554" s="132"/>
    </row>
    <row r="555" spans="5:25" ht="12.75">
      <c r="E555" s="211"/>
      <c r="F555" s="211"/>
      <c r="G555" s="132"/>
      <c r="I555" s="211"/>
      <c r="J555" s="211"/>
      <c r="K555" s="211"/>
      <c r="M555" s="211"/>
      <c r="N555" s="211"/>
      <c r="O555" s="211"/>
      <c r="Q555" s="211"/>
      <c r="R555" s="211"/>
      <c r="S555" s="211"/>
      <c r="T555" s="211"/>
      <c r="U555" s="132"/>
      <c r="V555" s="132"/>
      <c r="Y555" s="132"/>
    </row>
    <row r="556" spans="5:25" ht="12.75">
      <c r="E556" s="211"/>
      <c r="F556" s="211"/>
      <c r="G556" s="132"/>
      <c r="I556" s="211"/>
      <c r="J556" s="211"/>
      <c r="K556" s="211"/>
      <c r="M556" s="211"/>
      <c r="N556" s="211"/>
      <c r="O556" s="211"/>
      <c r="Q556" s="211"/>
      <c r="R556" s="211"/>
      <c r="S556" s="211"/>
      <c r="T556" s="211"/>
      <c r="U556" s="132"/>
      <c r="V556" s="132"/>
      <c r="Y556" s="132"/>
    </row>
    <row r="557" spans="5:25" ht="12.75">
      <c r="E557" s="211"/>
      <c r="F557" s="211"/>
      <c r="G557" s="132"/>
      <c r="I557" s="211"/>
      <c r="J557" s="211"/>
      <c r="K557" s="211"/>
      <c r="M557" s="211"/>
      <c r="N557" s="211"/>
      <c r="O557" s="211"/>
      <c r="Q557" s="211"/>
      <c r="R557" s="211"/>
      <c r="S557" s="211"/>
      <c r="T557" s="211"/>
      <c r="U557" s="132"/>
      <c r="V557" s="132"/>
      <c r="Y557" s="132"/>
    </row>
    <row r="558" spans="5:25" ht="12.75">
      <c r="E558" s="211"/>
      <c r="F558" s="211"/>
      <c r="G558" s="132"/>
      <c r="I558" s="211"/>
      <c r="J558" s="211"/>
      <c r="K558" s="211"/>
      <c r="M558" s="211"/>
      <c r="N558" s="211"/>
      <c r="O558" s="211"/>
      <c r="Q558" s="211"/>
      <c r="R558" s="211"/>
      <c r="S558" s="211"/>
      <c r="T558" s="211"/>
      <c r="U558" s="132"/>
      <c r="V558" s="132"/>
      <c r="Y558" s="132"/>
    </row>
    <row r="559" spans="5:25" ht="12.75">
      <c r="E559" s="211"/>
      <c r="F559" s="211"/>
      <c r="G559" s="132"/>
      <c r="I559" s="211"/>
      <c r="J559" s="211"/>
      <c r="K559" s="211"/>
      <c r="M559" s="211"/>
      <c r="N559" s="211"/>
      <c r="O559" s="211"/>
      <c r="Q559" s="211"/>
      <c r="R559" s="211"/>
      <c r="S559" s="211"/>
      <c r="T559" s="211"/>
      <c r="U559" s="132"/>
      <c r="V559" s="132"/>
      <c r="Y559" s="132"/>
    </row>
    <row r="560" spans="5:25" ht="12.75">
      <c r="E560" s="211"/>
      <c r="F560" s="211"/>
      <c r="G560" s="132"/>
      <c r="I560" s="211"/>
      <c r="J560" s="211"/>
      <c r="K560" s="211"/>
      <c r="M560" s="211"/>
      <c r="N560" s="211"/>
      <c r="O560" s="211"/>
      <c r="Q560" s="211"/>
      <c r="R560" s="211"/>
      <c r="S560" s="211"/>
      <c r="T560" s="211"/>
      <c r="U560" s="132"/>
      <c r="V560" s="132"/>
      <c r="Y560" s="132"/>
    </row>
    <row r="561" spans="5:25" ht="12.75">
      <c r="E561" s="211"/>
      <c r="F561" s="211"/>
      <c r="G561" s="132"/>
      <c r="I561" s="211"/>
      <c r="J561" s="211"/>
      <c r="K561" s="211"/>
      <c r="M561" s="211"/>
      <c r="N561" s="211"/>
      <c r="O561" s="211"/>
      <c r="Q561" s="211"/>
      <c r="R561" s="211"/>
      <c r="S561" s="211"/>
      <c r="T561" s="211"/>
      <c r="U561" s="132"/>
      <c r="V561" s="132"/>
      <c r="Y561" s="132"/>
    </row>
    <row r="562" spans="5:25" ht="12.75">
      <c r="E562" s="211"/>
      <c r="F562" s="211"/>
      <c r="G562" s="132"/>
      <c r="I562" s="211"/>
      <c r="J562" s="211"/>
      <c r="K562" s="211"/>
      <c r="M562" s="211"/>
      <c r="N562" s="211"/>
      <c r="O562" s="211"/>
      <c r="Q562" s="211"/>
      <c r="R562" s="211"/>
      <c r="S562" s="211"/>
      <c r="T562" s="211"/>
      <c r="U562" s="132"/>
      <c r="V562" s="132"/>
      <c r="Y562" s="132"/>
    </row>
    <row r="563" spans="5:25" ht="12.75">
      <c r="E563" s="211"/>
      <c r="F563" s="211"/>
      <c r="G563" s="132"/>
      <c r="I563" s="211"/>
      <c r="J563" s="211"/>
      <c r="K563" s="211"/>
      <c r="M563" s="211"/>
      <c r="N563" s="211"/>
      <c r="O563" s="211"/>
      <c r="Q563" s="211"/>
      <c r="R563" s="211"/>
      <c r="S563" s="211"/>
      <c r="T563" s="211"/>
      <c r="U563" s="132"/>
      <c r="V563" s="132"/>
      <c r="Y563" s="132"/>
    </row>
    <row r="564" spans="5:25" ht="12.75">
      <c r="E564" s="211"/>
      <c r="F564" s="211"/>
      <c r="G564" s="132"/>
      <c r="I564" s="211"/>
      <c r="J564" s="211"/>
      <c r="K564" s="211"/>
      <c r="M564" s="211"/>
      <c r="N564" s="211"/>
      <c r="O564" s="211"/>
      <c r="Q564" s="211"/>
      <c r="R564" s="211"/>
      <c r="S564" s="211"/>
      <c r="T564" s="211"/>
      <c r="U564" s="132"/>
      <c r="V564" s="132"/>
      <c r="Y564" s="132"/>
    </row>
    <row r="565" spans="5:25" ht="12.75">
      <c r="E565" s="211"/>
      <c r="F565" s="211"/>
      <c r="G565" s="132"/>
      <c r="I565" s="211"/>
      <c r="J565" s="211"/>
      <c r="K565" s="211"/>
      <c r="M565" s="211"/>
      <c r="N565" s="211"/>
      <c r="O565" s="211"/>
      <c r="Q565" s="211"/>
      <c r="R565" s="211"/>
      <c r="S565" s="211"/>
      <c r="T565" s="211"/>
      <c r="U565" s="132"/>
      <c r="V565" s="132"/>
      <c r="Y565" s="132"/>
    </row>
    <row r="566" spans="5:25" ht="12.75">
      <c r="E566" s="211"/>
      <c r="F566" s="211"/>
      <c r="G566" s="132"/>
      <c r="I566" s="211"/>
      <c r="J566" s="211"/>
      <c r="K566" s="211"/>
      <c r="M566" s="211"/>
      <c r="N566" s="211"/>
      <c r="O566" s="211"/>
      <c r="Q566" s="211"/>
      <c r="R566" s="211"/>
      <c r="S566" s="211"/>
      <c r="T566" s="211"/>
      <c r="U566" s="132"/>
      <c r="V566" s="132"/>
      <c r="Y566" s="132"/>
    </row>
    <row r="567" spans="5:25" ht="12.75">
      <c r="E567" s="211"/>
      <c r="F567" s="211"/>
      <c r="G567" s="132"/>
      <c r="I567" s="211"/>
      <c r="J567" s="211"/>
      <c r="K567" s="211"/>
      <c r="M567" s="211"/>
      <c r="N567" s="211"/>
      <c r="O567" s="211"/>
      <c r="Q567" s="211"/>
      <c r="R567" s="211"/>
      <c r="S567" s="211"/>
      <c r="T567" s="211"/>
      <c r="U567" s="132"/>
      <c r="V567" s="132"/>
      <c r="Y567" s="132"/>
    </row>
    <row r="568" spans="5:25" ht="12.75">
      <c r="E568" s="211"/>
      <c r="F568" s="211"/>
      <c r="G568" s="132"/>
      <c r="I568" s="211"/>
      <c r="J568" s="211"/>
      <c r="K568" s="211"/>
      <c r="M568" s="211"/>
      <c r="N568" s="211"/>
      <c r="O568" s="211"/>
      <c r="Q568" s="211"/>
      <c r="R568" s="211"/>
      <c r="S568" s="211"/>
      <c r="T568" s="211"/>
      <c r="U568" s="132"/>
      <c r="V568" s="132"/>
      <c r="Y568" s="132"/>
    </row>
    <row r="569" spans="5:25" ht="12.75">
      <c r="E569" s="211"/>
      <c r="F569" s="211"/>
      <c r="G569" s="132"/>
      <c r="I569" s="211"/>
      <c r="J569" s="211"/>
      <c r="K569" s="211"/>
      <c r="M569" s="211"/>
      <c r="N569" s="211"/>
      <c r="O569" s="211"/>
      <c r="Q569" s="211"/>
      <c r="R569" s="211"/>
      <c r="S569" s="211"/>
      <c r="T569" s="211"/>
      <c r="U569" s="132"/>
      <c r="V569" s="132"/>
      <c r="Y569" s="132"/>
    </row>
    <row r="570" spans="5:25" ht="12.75">
      <c r="E570" s="211"/>
      <c r="F570" s="211"/>
      <c r="G570" s="132"/>
      <c r="I570" s="211"/>
      <c r="J570" s="211"/>
      <c r="K570" s="211"/>
      <c r="M570" s="211"/>
      <c r="N570" s="211"/>
      <c r="O570" s="211"/>
      <c r="Q570" s="211"/>
      <c r="R570" s="211"/>
      <c r="S570" s="211"/>
      <c r="T570" s="211"/>
      <c r="U570" s="132"/>
      <c r="V570" s="132"/>
      <c r="Y570" s="132"/>
    </row>
    <row r="571" spans="5:25" ht="12.75">
      <c r="E571" s="211"/>
      <c r="F571" s="211"/>
      <c r="G571" s="132"/>
      <c r="I571" s="211"/>
      <c r="J571" s="211"/>
      <c r="K571" s="211"/>
      <c r="M571" s="211"/>
      <c r="N571" s="211"/>
      <c r="O571" s="211"/>
      <c r="Q571" s="211"/>
      <c r="R571" s="211"/>
      <c r="S571" s="211"/>
      <c r="T571" s="211"/>
      <c r="U571" s="132"/>
      <c r="V571" s="132"/>
      <c r="Y571" s="132"/>
    </row>
    <row r="572" spans="5:25" ht="12.75">
      <c r="E572" s="211"/>
      <c r="F572" s="211"/>
      <c r="G572" s="132"/>
      <c r="I572" s="211"/>
      <c r="J572" s="211"/>
      <c r="K572" s="211"/>
      <c r="M572" s="211"/>
      <c r="N572" s="211"/>
      <c r="O572" s="211"/>
      <c r="Q572" s="211"/>
      <c r="R572" s="211"/>
      <c r="S572" s="211"/>
      <c r="T572" s="211"/>
      <c r="U572" s="132"/>
      <c r="V572" s="132"/>
      <c r="Y572" s="132"/>
    </row>
    <row r="573" spans="5:25" ht="12.75">
      <c r="E573" s="211"/>
      <c r="F573" s="211"/>
      <c r="G573" s="132"/>
      <c r="I573" s="211"/>
      <c r="J573" s="211"/>
      <c r="K573" s="211"/>
      <c r="M573" s="211"/>
      <c r="N573" s="211"/>
      <c r="O573" s="211"/>
      <c r="Q573" s="211"/>
      <c r="R573" s="211"/>
      <c r="S573" s="211"/>
      <c r="T573" s="211"/>
      <c r="U573" s="132"/>
      <c r="V573" s="132"/>
      <c r="Y573" s="132"/>
    </row>
    <row r="574" spans="5:25" ht="12.75">
      <c r="E574" s="211"/>
      <c r="F574" s="211"/>
      <c r="G574" s="132"/>
      <c r="I574" s="211"/>
      <c r="J574" s="211"/>
      <c r="K574" s="211"/>
      <c r="M574" s="211"/>
      <c r="N574" s="211"/>
      <c r="O574" s="211"/>
      <c r="Q574" s="211"/>
      <c r="R574" s="211"/>
      <c r="S574" s="211"/>
      <c r="T574" s="211"/>
      <c r="U574" s="132"/>
      <c r="V574" s="132"/>
      <c r="Y574" s="132"/>
    </row>
    <row r="575" spans="5:25" ht="12.75">
      <c r="E575" s="211"/>
      <c r="F575" s="211"/>
      <c r="G575" s="132"/>
      <c r="I575" s="211"/>
      <c r="J575" s="211"/>
      <c r="K575" s="211"/>
      <c r="M575" s="211"/>
      <c r="N575" s="211"/>
      <c r="O575" s="211"/>
      <c r="Q575" s="211"/>
      <c r="R575" s="211"/>
      <c r="S575" s="211"/>
      <c r="T575" s="211"/>
      <c r="U575" s="132"/>
      <c r="V575" s="132"/>
      <c r="Y575" s="132"/>
    </row>
    <row r="576" spans="5:25" ht="12.75">
      <c r="E576" s="211"/>
      <c r="F576" s="211"/>
      <c r="G576" s="132"/>
      <c r="I576" s="211"/>
      <c r="J576" s="211"/>
      <c r="K576" s="211"/>
      <c r="M576" s="211"/>
      <c r="N576" s="211"/>
      <c r="O576" s="211"/>
      <c r="Q576" s="211"/>
      <c r="R576" s="211"/>
      <c r="S576" s="211"/>
      <c r="T576" s="211"/>
      <c r="U576" s="132"/>
      <c r="V576" s="132"/>
      <c r="Y576" s="132"/>
    </row>
    <row r="577" spans="7:25" ht="12.75">
      <c r="G577" s="132"/>
      <c r="U577" s="132"/>
      <c r="V577" s="132"/>
      <c r="Y577" s="132"/>
    </row>
    <row r="578" spans="7:25" ht="12.75">
      <c r="G578" s="132"/>
      <c r="U578" s="132"/>
      <c r="V578" s="132"/>
      <c r="Y578" s="132"/>
    </row>
    <row r="579" spans="7:25" ht="12.75">
      <c r="G579" s="132"/>
      <c r="U579" s="132"/>
      <c r="V579" s="132"/>
      <c r="Y579" s="132"/>
    </row>
    <row r="580" spans="7:25" ht="12.75">
      <c r="G580" s="132"/>
      <c r="U580" s="132"/>
      <c r="V580" s="132"/>
      <c r="Y580" s="132"/>
    </row>
    <row r="581" spans="7:25" ht="12.75">
      <c r="G581" s="132"/>
      <c r="U581" s="132"/>
      <c r="V581" s="132"/>
      <c r="Y581" s="132"/>
    </row>
    <row r="582" spans="7:25" ht="12.75">
      <c r="G582" s="132"/>
      <c r="U582" s="132"/>
      <c r="V582" s="132"/>
      <c r="Y582" s="132"/>
    </row>
    <row r="583" spans="7:25" ht="12.75">
      <c r="G583" s="132"/>
      <c r="U583" s="132"/>
      <c r="V583" s="132"/>
      <c r="Y583" s="132"/>
    </row>
    <row r="584" spans="7:25" ht="12.75">
      <c r="G584" s="132"/>
      <c r="U584" s="132"/>
      <c r="V584" s="132"/>
      <c r="Y584" s="132"/>
    </row>
    <row r="585" spans="7:25" ht="12.75">
      <c r="G585" s="132"/>
      <c r="U585" s="132"/>
      <c r="V585" s="132"/>
      <c r="Y585" s="132"/>
    </row>
    <row r="586" spans="7:25" ht="12.75">
      <c r="G586" s="132"/>
      <c r="U586" s="132"/>
      <c r="V586" s="132"/>
      <c r="Y586" s="132"/>
    </row>
    <row r="587" spans="7:25" ht="12.75">
      <c r="G587" s="132"/>
      <c r="U587" s="132"/>
      <c r="V587" s="132"/>
      <c r="Y587" s="132"/>
    </row>
    <row r="588" spans="7:25" ht="12.75">
      <c r="G588" s="132"/>
      <c r="U588" s="132"/>
      <c r="V588" s="132"/>
      <c r="Y588" s="132"/>
    </row>
    <row r="589" spans="7:25" ht="12.75">
      <c r="G589" s="132"/>
      <c r="U589" s="132"/>
      <c r="V589" s="132"/>
      <c r="Y589" s="132"/>
    </row>
    <row r="590" spans="7:25" ht="12.75">
      <c r="G590" s="132"/>
      <c r="U590" s="132"/>
      <c r="V590" s="132"/>
      <c r="Y590" s="132"/>
    </row>
    <row r="591" spans="7:25" ht="12.75">
      <c r="G591" s="132"/>
      <c r="U591" s="132"/>
      <c r="V591" s="132"/>
      <c r="Y591" s="132"/>
    </row>
    <row r="592" spans="7:25" ht="12.75">
      <c r="G592" s="132"/>
      <c r="U592" s="132"/>
      <c r="V592" s="132"/>
      <c r="Y592" s="132"/>
    </row>
    <row r="593" spans="7:25" ht="12.75">
      <c r="G593" s="132"/>
      <c r="U593" s="132"/>
      <c r="V593" s="132"/>
      <c r="Y593" s="132"/>
    </row>
    <row r="594" spans="7:25" ht="12.75">
      <c r="G594" s="132"/>
      <c r="U594" s="132"/>
      <c r="V594" s="132"/>
      <c r="Y594" s="132"/>
    </row>
    <row r="595" spans="7:25" ht="12.75">
      <c r="G595" s="132"/>
      <c r="U595" s="132"/>
      <c r="V595" s="132"/>
      <c r="Y595" s="132"/>
    </row>
    <row r="596" spans="7:25" ht="12.75">
      <c r="G596" s="132"/>
      <c r="U596" s="132"/>
      <c r="V596" s="132"/>
      <c r="Y596" s="132"/>
    </row>
    <row r="597" spans="7:25" ht="12.75">
      <c r="G597" s="132"/>
      <c r="U597" s="132"/>
      <c r="V597" s="132"/>
      <c r="Y597" s="132"/>
    </row>
    <row r="598" spans="7:25" ht="12.75">
      <c r="G598" s="132"/>
      <c r="U598" s="132"/>
      <c r="V598" s="132"/>
      <c r="Y598" s="132"/>
    </row>
    <row r="599" spans="7:25" ht="12.75">
      <c r="G599" s="132"/>
      <c r="U599" s="132"/>
      <c r="V599" s="132"/>
      <c r="Y599" s="132"/>
    </row>
    <row r="600" spans="7:25" ht="12.75">
      <c r="G600" s="132"/>
      <c r="U600" s="132"/>
      <c r="V600" s="132"/>
      <c r="Y600" s="132"/>
    </row>
    <row r="601" spans="7:25" ht="12.75">
      <c r="G601" s="132"/>
      <c r="U601" s="132"/>
      <c r="V601" s="132"/>
      <c r="Y601" s="132"/>
    </row>
    <row r="602" spans="7:25" ht="12.75">
      <c r="G602" s="132"/>
      <c r="U602" s="132"/>
      <c r="V602" s="132"/>
      <c r="Y602" s="132"/>
    </row>
    <row r="603" spans="7:25" ht="12.75">
      <c r="G603" s="132"/>
      <c r="U603" s="132"/>
      <c r="V603" s="132"/>
      <c r="Y603" s="132"/>
    </row>
    <row r="604" spans="7:25" ht="12.75">
      <c r="G604" s="132"/>
      <c r="U604" s="132"/>
      <c r="V604" s="132"/>
      <c r="Y604" s="132"/>
    </row>
    <row r="605" spans="7:25" ht="12.75">
      <c r="G605" s="132"/>
      <c r="U605" s="132"/>
      <c r="V605" s="132"/>
      <c r="Y605" s="132"/>
    </row>
    <row r="606" spans="7:25" ht="12.75">
      <c r="G606" s="132"/>
      <c r="U606" s="132"/>
      <c r="V606" s="132"/>
      <c r="Y606" s="132"/>
    </row>
    <row r="607" spans="7:25" ht="12.75">
      <c r="G607" s="132"/>
      <c r="U607" s="132"/>
      <c r="V607" s="132"/>
      <c r="Y607" s="132"/>
    </row>
    <row r="608" spans="7:25" ht="12.75">
      <c r="G608" s="132"/>
      <c r="U608" s="132"/>
      <c r="V608" s="132"/>
      <c r="Y608" s="132"/>
    </row>
    <row r="609" spans="7:25" ht="12.75">
      <c r="G609" s="132"/>
      <c r="U609" s="132"/>
      <c r="V609" s="132"/>
      <c r="Y609" s="132"/>
    </row>
    <row r="610" spans="7:25" ht="12.75">
      <c r="G610" s="132"/>
      <c r="U610" s="132"/>
      <c r="V610" s="132"/>
      <c r="Y610" s="132"/>
    </row>
    <row r="611" spans="7:25" ht="12.75">
      <c r="G611" s="132"/>
      <c r="U611" s="132"/>
      <c r="V611" s="132"/>
      <c r="Y611" s="132"/>
    </row>
    <row r="612" spans="7:25" ht="12.75">
      <c r="G612" s="132"/>
      <c r="U612" s="132"/>
      <c r="V612" s="132"/>
      <c r="Y612" s="132"/>
    </row>
    <row r="613" spans="7:25" ht="12.75">
      <c r="G613" s="132"/>
      <c r="U613" s="132"/>
      <c r="V613" s="132"/>
      <c r="Y613" s="132"/>
    </row>
    <row r="614" spans="7:25" ht="12.75">
      <c r="G614" s="132"/>
      <c r="U614" s="132"/>
      <c r="V614" s="132"/>
      <c r="Y614" s="132"/>
    </row>
    <row r="615" spans="7:25" ht="12.75">
      <c r="G615" s="132"/>
      <c r="U615" s="132"/>
      <c r="V615" s="132"/>
      <c r="Y615" s="132"/>
    </row>
    <row r="616" spans="7:25" ht="12.75">
      <c r="G616" s="132"/>
      <c r="U616" s="132"/>
      <c r="V616" s="132"/>
      <c r="Y616" s="132"/>
    </row>
    <row r="617" spans="7:25" ht="12.75">
      <c r="G617" s="132"/>
      <c r="U617" s="132"/>
      <c r="V617" s="132"/>
      <c r="Y617" s="132"/>
    </row>
    <row r="618" spans="7:25" ht="12.75">
      <c r="G618" s="132"/>
      <c r="U618" s="132"/>
      <c r="V618" s="132"/>
      <c r="Y618" s="132"/>
    </row>
    <row r="619" spans="7:25" ht="12.75">
      <c r="G619" s="132"/>
      <c r="U619" s="132"/>
      <c r="V619" s="132"/>
      <c r="Y619" s="132"/>
    </row>
    <row r="620" spans="7:25" ht="12.75">
      <c r="G620" s="132"/>
      <c r="U620" s="132"/>
      <c r="V620" s="132"/>
      <c r="Y620" s="132"/>
    </row>
    <row r="621" spans="7:25" ht="12.75">
      <c r="G621" s="132"/>
      <c r="U621" s="132"/>
      <c r="V621" s="132"/>
      <c r="Y621" s="132"/>
    </row>
    <row r="622" spans="7:25" ht="12.75">
      <c r="G622" s="132"/>
      <c r="U622" s="132"/>
      <c r="V622" s="132"/>
      <c r="Y622" s="132"/>
    </row>
    <row r="623" spans="7:25" ht="12.75">
      <c r="G623" s="132"/>
      <c r="U623" s="132"/>
      <c r="V623" s="132"/>
      <c r="Y623" s="132"/>
    </row>
    <row r="624" spans="7:25" ht="12.75">
      <c r="G624" s="132"/>
      <c r="U624" s="132"/>
      <c r="V624" s="132"/>
      <c r="Y624" s="132"/>
    </row>
    <row r="625" spans="7:25" ht="12.75">
      <c r="G625" s="132"/>
      <c r="U625" s="132"/>
      <c r="V625" s="132"/>
      <c r="Y625" s="132"/>
    </row>
    <row r="626" spans="7:25" ht="12.75">
      <c r="G626" s="132"/>
      <c r="U626" s="132"/>
      <c r="V626" s="132"/>
      <c r="Y626" s="132"/>
    </row>
    <row r="627" spans="7:25" ht="12.75">
      <c r="G627" s="132"/>
      <c r="U627" s="132"/>
      <c r="V627" s="132"/>
      <c r="Y627" s="132"/>
    </row>
    <row r="628" spans="7:25" ht="12.75">
      <c r="G628" s="132"/>
      <c r="U628" s="132"/>
      <c r="V628" s="132"/>
      <c r="Y628" s="132"/>
    </row>
    <row r="629" spans="7:25" ht="12.75">
      <c r="G629" s="132"/>
      <c r="U629" s="132"/>
      <c r="V629" s="132"/>
      <c r="Y629" s="132"/>
    </row>
    <row r="630" spans="7:25" ht="12.75">
      <c r="G630" s="132"/>
      <c r="U630" s="132"/>
      <c r="V630" s="132"/>
      <c r="Y630" s="132"/>
    </row>
    <row r="631" spans="7:25" ht="12.75">
      <c r="G631" s="132"/>
      <c r="U631" s="132"/>
      <c r="V631" s="132"/>
      <c r="Y631" s="132"/>
    </row>
    <row r="632" spans="7:25" ht="12.75">
      <c r="G632" s="132"/>
      <c r="U632" s="132"/>
      <c r="V632" s="132"/>
      <c r="Y632" s="132"/>
    </row>
    <row r="633" spans="7:25" ht="12.75">
      <c r="G633" s="132"/>
      <c r="U633" s="132"/>
      <c r="V633" s="132"/>
      <c r="Y633" s="132"/>
    </row>
    <row r="634" spans="7:25" ht="12.75">
      <c r="G634" s="132"/>
      <c r="U634" s="132"/>
      <c r="V634" s="132"/>
      <c r="Y634" s="132"/>
    </row>
    <row r="635" spans="7:25" ht="12.75">
      <c r="G635" s="132"/>
      <c r="U635" s="132"/>
      <c r="V635" s="132"/>
      <c r="Y635" s="132"/>
    </row>
    <row r="636" spans="7:25" ht="12.75">
      <c r="G636" s="132"/>
      <c r="U636" s="132"/>
      <c r="V636" s="132"/>
      <c r="Y636" s="132"/>
    </row>
    <row r="637" spans="7:25" ht="12.75">
      <c r="G637" s="132"/>
      <c r="U637" s="132"/>
      <c r="V637" s="132"/>
      <c r="Y637" s="132"/>
    </row>
    <row r="638" spans="7:25" ht="12.75">
      <c r="G638" s="132"/>
      <c r="U638" s="132"/>
      <c r="V638" s="132"/>
      <c r="Y638" s="132"/>
    </row>
    <row r="639" spans="7:25" ht="12.75">
      <c r="G639" s="132"/>
      <c r="U639" s="132"/>
      <c r="V639" s="132"/>
      <c r="Y639" s="132"/>
    </row>
    <row r="640" spans="7:25" ht="12.75">
      <c r="G640" s="132"/>
      <c r="U640" s="132"/>
      <c r="V640" s="132"/>
      <c r="Y640" s="132"/>
    </row>
    <row r="641" spans="7:25" ht="12.75">
      <c r="G641" s="132"/>
      <c r="U641" s="132"/>
      <c r="V641" s="132"/>
      <c r="Y641" s="132"/>
    </row>
    <row r="642" spans="7:25" ht="12.75">
      <c r="G642" s="132"/>
      <c r="U642" s="132"/>
      <c r="V642" s="132"/>
      <c r="Y642" s="132"/>
    </row>
    <row r="643" spans="7:25" ht="12.75">
      <c r="G643" s="132"/>
      <c r="U643" s="132"/>
      <c r="V643" s="132"/>
      <c r="Y643" s="132"/>
    </row>
    <row r="644" spans="7:25" ht="12.75">
      <c r="G644" s="132"/>
      <c r="U644" s="132"/>
      <c r="V644" s="132"/>
      <c r="Y644" s="132"/>
    </row>
    <row r="645" spans="7:25" ht="12.75">
      <c r="G645" s="132"/>
      <c r="U645" s="132"/>
      <c r="V645" s="132"/>
      <c r="Y645" s="132"/>
    </row>
    <row r="646" spans="7:25" ht="12.75">
      <c r="G646" s="132"/>
      <c r="U646" s="132"/>
      <c r="V646" s="132"/>
      <c r="Y646" s="132"/>
    </row>
    <row r="647" spans="7:25" ht="12.75">
      <c r="G647" s="132"/>
      <c r="U647" s="132"/>
      <c r="V647" s="132"/>
      <c r="Y647" s="132"/>
    </row>
    <row r="648" spans="7:25" ht="12.75">
      <c r="G648" s="132"/>
      <c r="U648" s="132"/>
      <c r="V648" s="132"/>
      <c r="Y648" s="132"/>
    </row>
    <row r="649" spans="7:25" ht="12.75">
      <c r="G649" s="132"/>
      <c r="U649" s="132"/>
      <c r="V649" s="132"/>
      <c r="Y649" s="132"/>
    </row>
    <row r="650" spans="7:25" ht="12.75">
      <c r="G650" s="132"/>
      <c r="U650" s="132"/>
      <c r="V650" s="132"/>
      <c r="Y650" s="132"/>
    </row>
    <row r="651" spans="7:25" ht="12.75">
      <c r="G651" s="132"/>
      <c r="U651" s="132"/>
      <c r="V651" s="132"/>
      <c r="Y651" s="132"/>
    </row>
    <row r="652" spans="7:25" ht="12.75">
      <c r="G652" s="132"/>
      <c r="U652" s="132"/>
      <c r="V652" s="132"/>
      <c r="Y652" s="132"/>
    </row>
    <row r="653" spans="7:25" ht="12.75">
      <c r="G653" s="132"/>
      <c r="U653" s="132"/>
      <c r="V653" s="132"/>
      <c r="Y653" s="132"/>
    </row>
    <row r="654" spans="7:25" ht="12.75">
      <c r="G654" s="132"/>
      <c r="U654" s="132"/>
      <c r="V654" s="132"/>
      <c r="Y654" s="132"/>
    </row>
    <row r="655" spans="7:25" ht="12.75">
      <c r="G655" s="132"/>
      <c r="U655" s="132"/>
      <c r="V655" s="132"/>
      <c r="Y655" s="132"/>
    </row>
    <row r="656" spans="7:25" ht="12.75">
      <c r="G656" s="132"/>
      <c r="U656" s="132"/>
      <c r="V656" s="132"/>
      <c r="Y656" s="132"/>
    </row>
    <row r="657" spans="7:25" ht="12.75">
      <c r="G657" s="132"/>
      <c r="U657" s="132"/>
      <c r="V657" s="132"/>
      <c r="Y657" s="132"/>
    </row>
    <row r="658" spans="7:25" ht="12.75">
      <c r="G658" s="132"/>
      <c r="U658" s="132"/>
      <c r="V658" s="132"/>
      <c r="Y658" s="132"/>
    </row>
    <row r="659" spans="7:25" ht="12.75">
      <c r="G659" s="132"/>
      <c r="U659" s="132"/>
      <c r="V659" s="132"/>
      <c r="Y659" s="132"/>
    </row>
    <row r="660" spans="7:25" ht="12.75">
      <c r="G660" s="132"/>
      <c r="U660" s="132"/>
      <c r="V660" s="132"/>
      <c r="Y660" s="132"/>
    </row>
    <row r="661" spans="7:25" ht="12.75">
      <c r="G661" s="132"/>
      <c r="U661" s="132"/>
      <c r="V661" s="132"/>
      <c r="Y661" s="132"/>
    </row>
    <row r="662" spans="7:25" ht="12.75">
      <c r="G662" s="132"/>
      <c r="U662" s="132"/>
      <c r="V662" s="132"/>
      <c r="Y662" s="132"/>
    </row>
    <row r="663" spans="7:25" ht="12.75">
      <c r="G663" s="132"/>
      <c r="U663" s="132"/>
      <c r="V663" s="132"/>
      <c r="Y663" s="132"/>
    </row>
    <row r="664" spans="7:25" ht="12.75">
      <c r="G664" s="132"/>
      <c r="U664" s="132"/>
      <c r="V664" s="132"/>
      <c r="Y664" s="132"/>
    </row>
    <row r="665" spans="7:25" ht="12.75">
      <c r="G665" s="132"/>
      <c r="U665" s="132"/>
      <c r="V665" s="132"/>
      <c r="Y665" s="132"/>
    </row>
    <row r="666" spans="7:25" ht="12.75">
      <c r="G666" s="132"/>
      <c r="U666" s="132"/>
      <c r="V666" s="132"/>
      <c r="Y666" s="132"/>
    </row>
    <row r="667" spans="7:25" ht="12.75">
      <c r="G667" s="132"/>
      <c r="U667" s="132"/>
      <c r="V667" s="132"/>
      <c r="Y667" s="132"/>
    </row>
    <row r="668" spans="7:25" ht="12.75">
      <c r="G668" s="132"/>
      <c r="U668" s="132"/>
      <c r="V668" s="132"/>
      <c r="Y668" s="132"/>
    </row>
    <row r="669" spans="7:25" ht="12.75">
      <c r="G669" s="132"/>
      <c r="U669" s="132"/>
      <c r="V669" s="132"/>
      <c r="Y669" s="132"/>
    </row>
    <row r="670" spans="7:25" ht="12.75">
      <c r="G670" s="132"/>
      <c r="U670" s="132"/>
      <c r="V670" s="132"/>
      <c r="Y670" s="132"/>
    </row>
    <row r="671" spans="7:25" ht="12.75">
      <c r="G671" s="132"/>
      <c r="U671" s="132"/>
      <c r="V671" s="132"/>
      <c r="Y671" s="132"/>
    </row>
    <row r="672" spans="7:25" ht="12.75">
      <c r="G672" s="132"/>
      <c r="U672" s="132"/>
      <c r="V672" s="132"/>
      <c r="Y672" s="132"/>
    </row>
    <row r="673" spans="7:25" ht="12.75">
      <c r="G673" s="132"/>
      <c r="U673" s="132"/>
      <c r="V673" s="132"/>
      <c r="Y673" s="132"/>
    </row>
    <row r="674" spans="7:25" ht="12.75">
      <c r="G674" s="132"/>
      <c r="U674" s="132"/>
      <c r="V674" s="132"/>
      <c r="Y674" s="132"/>
    </row>
    <row r="675" spans="7:25" ht="12.75">
      <c r="G675" s="132"/>
      <c r="U675" s="132"/>
      <c r="V675" s="132"/>
      <c r="Y675" s="132"/>
    </row>
    <row r="676" spans="7:25" ht="12.75">
      <c r="G676" s="132"/>
      <c r="U676" s="132"/>
      <c r="V676" s="132"/>
      <c r="Y676" s="132"/>
    </row>
    <row r="677" spans="7:25" ht="12.75">
      <c r="G677" s="132"/>
      <c r="U677" s="132"/>
      <c r="V677" s="132"/>
      <c r="Y677" s="132"/>
    </row>
    <row r="678" spans="7:25" ht="12.75">
      <c r="G678" s="132"/>
      <c r="U678" s="132"/>
      <c r="V678" s="132"/>
      <c r="Y678" s="132"/>
    </row>
    <row r="679" spans="7:25" ht="12.75">
      <c r="G679" s="132"/>
      <c r="U679" s="132"/>
      <c r="V679" s="132"/>
      <c r="Y679" s="132"/>
    </row>
    <row r="680" spans="7:25" ht="12.75">
      <c r="G680" s="132"/>
      <c r="U680" s="132"/>
      <c r="V680" s="132"/>
      <c r="Y680" s="132"/>
    </row>
    <row r="681" spans="7:25" ht="12.75">
      <c r="G681" s="132"/>
      <c r="U681" s="132"/>
      <c r="V681" s="132"/>
      <c r="Y681" s="132"/>
    </row>
    <row r="682" spans="7:25" ht="12.75">
      <c r="G682" s="132"/>
      <c r="U682" s="132"/>
      <c r="V682" s="132"/>
      <c r="Y682" s="132"/>
    </row>
    <row r="683" spans="7:25" ht="12.75">
      <c r="G683" s="132"/>
      <c r="U683" s="132"/>
      <c r="V683" s="132"/>
      <c r="Y683" s="132"/>
    </row>
    <row r="684" spans="7:25" ht="12.75">
      <c r="G684" s="132"/>
      <c r="U684" s="132"/>
      <c r="V684" s="132"/>
      <c r="Y684" s="132"/>
    </row>
    <row r="685" spans="7:25" ht="12.75">
      <c r="G685" s="132"/>
      <c r="U685" s="132"/>
      <c r="V685" s="132"/>
      <c r="Y685" s="132"/>
    </row>
    <row r="686" spans="7:25" ht="12.75">
      <c r="G686" s="132"/>
      <c r="U686" s="132"/>
      <c r="V686" s="132"/>
      <c r="Y686" s="132"/>
    </row>
    <row r="687" spans="7:25" ht="12.75">
      <c r="G687" s="132"/>
      <c r="U687" s="132"/>
      <c r="V687" s="132"/>
      <c r="Y687" s="132"/>
    </row>
    <row r="688" spans="7:25" ht="12.75">
      <c r="G688" s="132"/>
      <c r="U688" s="132"/>
      <c r="V688" s="132"/>
      <c r="Y688" s="132"/>
    </row>
    <row r="689" spans="7:25" ht="12.75">
      <c r="G689" s="132"/>
      <c r="U689" s="132"/>
      <c r="V689" s="132"/>
      <c r="Y689" s="132"/>
    </row>
    <row r="690" spans="7:25" ht="12.75">
      <c r="G690" s="132"/>
      <c r="U690" s="132"/>
      <c r="V690" s="132"/>
      <c r="Y690" s="132"/>
    </row>
    <row r="691" spans="7:25" ht="12.75">
      <c r="G691" s="132"/>
      <c r="U691" s="132"/>
      <c r="V691" s="132"/>
      <c r="Y691" s="132"/>
    </row>
    <row r="692" spans="7:25" ht="12.75">
      <c r="G692" s="132"/>
      <c r="U692" s="132"/>
      <c r="V692" s="132"/>
      <c r="Y692" s="132"/>
    </row>
    <row r="693" spans="7:25" ht="12.75">
      <c r="G693" s="132"/>
      <c r="U693" s="132"/>
      <c r="V693" s="132"/>
      <c r="Y693" s="132"/>
    </row>
    <row r="694" spans="7:25" ht="12.75">
      <c r="G694" s="132"/>
      <c r="U694" s="132"/>
      <c r="V694" s="132"/>
      <c r="Y694" s="132"/>
    </row>
    <row r="695" spans="7:25" ht="12.75">
      <c r="G695" s="132"/>
      <c r="U695" s="132"/>
      <c r="V695" s="132"/>
      <c r="Y695" s="132"/>
    </row>
    <row r="696" spans="7:25" ht="12.75">
      <c r="G696" s="132"/>
      <c r="U696" s="132"/>
      <c r="V696" s="132"/>
      <c r="Y696" s="132"/>
    </row>
    <row r="697" spans="7:25" ht="12.75">
      <c r="G697" s="132"/>
      <c r="U697" s="132"/>
      <c r="V697" s="132"/>
      <c r="Y697" s="132"/>
    </row>
    <row r="698" spans="7:25" ht="12.75">
      <c r="G698" s="132"/>
      <c r="U698" s="132"/>
      <c r="V698" s="132"/>
      <c r="Y698" s="132"/>
    </row>
    <row r="699" spans="7:25" ht="12.75">
      <c r="G699" s="132"/>
      <c r="U699" s="132"/>
      <c r="V699" s="132"/>
      <c r="Y699" s="132"/>
    </row>
    <row r="700" spans="7:25" ht="12.75">
      <c r="G700" s="132"/>
      <c r="U700" s="132"/>
      <c r="V700" s="132"/>
      <c r="Y700" s="132"/>
    </row>
    <row r="701" spans="7:25" ht="12.75">
      <c r="G701" s="132"/>
      <c r="U701" s="132"/>
      <c r="V701" s="132"/>
      <c r="Y701" s="132"/>
    </row>
    <row r="702" spans="7:25" ht="12.75">
      <c r="G702" s="132"/>
      <c r="U702" s="132"/>
      <c r="V702" s="132"/>
      <c r="Y702" s="132"/>
    </row>
    <row r="703" spans="7:25" ht="12.75">
      <c r="G703" s="132"/>
      <c r="U703" s="132"/>
      <c r="V703" s="132"/>
      <c r="Y703" s="132"/>
    </row>
    <row r="704" spans="7:25" ht="12.75">
      <c r="G704" s="132"/>
      <c r="U704" s="132"/>
      <c r="V704" s="132"/>
      <c r="Y704" s="132"/>
    </row>
    <row r="705" spans="7:25" ht="12.75">
      <c r="G705" s="132"/>
      <c r="U705" s="132"/>
      <c r="V705" s="132"/>
      <c r="Y705" s="132"/>
    </row>
    <row r="706" spans="7:25" ht="12.75">
      <c r="G706" s="132"/>
      <c r="U706" s="132"/>
      <c r="V706" s="132"/>
      <c r="Y706" s="132"/>
    </row>
    <row r="707" spans="7:25" ht="12.75">
      <c r="G707" s="132"/>
      <c r="U707" s="132"/>
      <c r="V707" s="132"/>
      <c r="Y707" s="132"/>
    </row>
    <row r="708" spans="7:25" ht="12.75">
      <c r="G708" s="132"/>
      <c r="U708" s="132"/>
      <c r="V708" s="132"/>
      <c r="Y708" s="132"/>
    </row>
    <row r="709" spans="7:25" ht="12.75">
      <c r="G709" s="132"/>
      <c r="U709" s="132"/>
      <c r="V709" s="132"/>
      <c r="Y709" s="132"/>
    </row>
    <row r="710" spans="7:25" ht="12.75">
      <c r="G710" s="132"/>
      <c r="U710" s="132"/>
      <c r="V710" s="132"/>
      <c r="Y710" s="132"/>
    </row>
    <row r="711" spans="7:25" ht="12.75">
      <c r="G711" s="132"/>
      <c r="U711" s="132"/>
      <c r="V711" s="132"/>
      <c r="Y711" s="132"/>
    </row>
    <row r="712" spans="7:25" ht="12.75">
      <c r="G712" s="132"/>
      <c r="U712" s="132"/>
      <c r="V712" s="132"/>
      <c r="Y712" s="132"/>
    </row>
    <row r="713" spans="7:25" ht="12.75">
      <c r="G713" s="132"/>
      <c r="U713" s="132"/>
      <c r="V713" s="132"/>
      <c r="Y713" s="132"/>
    </row>
    <row r="714" spans="7:25" ht="12.75">
      <c r="G714" s="132"/>
      <c r="U714" s="132"/>
      <c r="V714" s="132"/>
      <c r="Y714" s="132"/>
    </row>
    <row r="715" spans="7:25" ht="12.75">
      <c r="G715" s="132"/>
      <c r="U715" s="132"/>
      <c r="V715" s="132"/>
      <c r="Y715" s="132"/>
    </row>
    <row r="716" spans="7:25" ht="12.75">
      <c r="G716" s="132"/>
      <c r="U716" s="132"/>
      <c r="V716" s="132"/>
      <c r="Y716" s="132"/>
    </row>
    <row r="717" spans="7:25" ht="12.75">
      <c r="G717" s="132"/>
      <c r="U717" s="132"/>
      <c r="V717" s="132"/>
      <c r="Y717" s="132"/>
    </row>
    <row r="718" spans="7:25" ht="12.75">
      <c r="G718" s="132"/>
      <c r="U718" s="132"/>
      <c r="V718" s="132"/>
      <c r="Y718" s="132"/>
    </row>
    <row r="719" spans="7:25" ht="12.75">
      <c r="G719" s="132"/>
      <c r="U719" s="132"/>
      <c r="V719" s="132"/>
      <c r="Y719" s="132"/>
    </row>
    <row r="720" spans="7:25" ht="12.75">
      <c r="G720" s="132"/>
      <c r="U720" s="132"/>
      <c r="V720" s="132"/>
      <c r="Y720" s="132"/>
    </row>
    <row r="721" spans="7:25" ht="12.75">
      <c r="G721" s="132"/>
      <c r="U721" s="132"/>
      <c r="V721" s="132"/>
      <c r="Y721" s="132"/>
    </row>
    <row r="722" spans="7:25" ht="12.75">
      <c r="G722" s="132"/>
      <c r="U722" s="132"/>
      <c r="V722" s="132"/>
      <c r="Y722" s="132"/>
    </row>
    <row r="723" spans="7:25" ht="12.75">
      <c r="G723" s="132"/>
      <c r="U723" s="132"/>
      <c r="V723" s="132"/>
      <c r="Y723" s="132"/>
    </row>
    <row r="724" spans="7:25" ht="12.75">
      <c r="G724" s="132"/>
      <c r="U724" s="132"/>
      <c r="V724" s="132"/>
      <c r="Y724" s="132"/>
    </row>
    <row r="725" spans="7:25" ht="12.75">
      <c r="G725" s="132"/>
      <c r="U725" s="132"/>
      <c r="V725" s="132"/>
      <c r="Y725" s="132"/>
    </row>
    <row r="726" spans="7:25" ht="12.75">
      <c r="G726" s="132"/>
      <c r="U726" s="132"/>
      <c r="V726" s="132"/>
      <c r="Y726" s="132"/>
    </row>
    <row r="727" spans="7:25" ht="12.75">
      <c r="G727" s="132"/>
      <c r="U727" s="132"/>
      <c r="V727" s="132"/>
      <c r="Y727" s="132"/>
    </row>
    <row r="728" spans="7:25" ht="12.75">
      <c r="G728" s="132"/>
      <c r="U728" s="132"/>
      <c r="V728" s="132"/>
      <c r="Y728" s="132"/>
    </row>
    <row r="729" spans="7:25" ht="12.75">
      <c r="G729" s="132"/>
      <c r="U729" s="132"/>
      <c r="V729" s="132"/>
      <c r="Y729" s="132"/>
    </row>
    <row r="730" spans="7:25" ht="12.75">
      <c r="G730" s="132"/>
      <c r="U730" s="132"/>
      <c r="V730" s="132"/>
      <c r="Y730" s="132"/>
    </row>
    <row r="731" spans="7:25" ht="12.75">
      <c r="G731" s="132"/>
      <c r="U731" s="132"/>
      <c r="V731" s="132"/>
      <c r="Y731" s="132"/>
    </row>
    <row r="732" spans="7:25" ht="12.75">
      <c r="G732" s="132"/>
      <c r="U732" s="132"/>
      <c r="V732" s="132"/>
      <c r="Y732" s="132"/>
    </row>
    <row r="733" spans="7:25" ht="12.75">
      <c r="G733" s="132"/>
      <c r="U733" s="132"/>
      <c r="V733" s="132"/>
      <c r="Y733" s="132"/>
    </row>
    <row r="734" spans="7:25" ht="12.75">
      <c r="G734" s="132"/>
      <c r="U734" s="132"/>
      <c r="V734" s="132"/>
      <c r="Y734" s="132"/>
    </row>
    <row r="735" spans="7:25" ht="12.75">
      <c r="G735" s="132"/>
      <c r="U735" s="132"/>
      <c r="V735" s="132"/>
      <c r="Y735" s="132"/>
    </row>
    <row r="736" spans="7:25" ht="12.75">
      <c r="G736" s="132"/>
      <c r="U736" s="132"/>
      <c r="V736" s="132"/>
      <c r="Y736" s="132"/>
    </row>
    <row r="737" spans="7:25" ht="12.75">
      <c r="G737" s="132"/>
      <c r="U737" s="132"/>
      <c r="V737" s="132"/>
      <c r="Y737" s="132"/>
    </row>
    <row r="738" spans="7:25" ht="12.75">
      <c r="G738" s="132"/>
      <c r="U738" s="132"/>
      <c r="V738" s="132"/>
      <c r="Y738" s="132"/>
    </row>
    <row r="739" spans="7:25" ht="12.75">
      <c r="G739" s="132"/>
      <c r="U739" s="132"/>
      <c r="V739" s="132"/>
      <c r="Y739" s="132"/>
    </row>
    <row r="740" spans="7:25" ht="12.75">
      <c r="G740" s="132"/>
      <c r="U740" s="132"/>
      <c r="V740" s="132"/>
      <c r="Y740" s="132"/>
    </row>
    <row r="741" spans="7:25" ht="12.75">
      <c r="G741" s="132"/>
      <c r="U741" s="132"/>
      <c r="V741" s="132"/>
      <c r="Y741" s="132"/>
    </row>
    <row r="742" spans="7:25" ht="12.75">
      <c r="G742" s="132"/>
      <c r="U742" s="132"/>
      <c r="V742" s="132"/>
      <c r="Y742" s="132"/>
    </row>
    <row r="743" spans="7:25" ht="12.75">
      <c r="G743" s="132"/>
      <c r="U743" s="132"/>
      <c r="V743" s="132"/>
      <c r="Y743" s="132"/>
    </row>
    <row r="744" spans="7:25" ht="12.75">
      <c r="G744" s="132"/>
      <c r="U744" s="132"/>
      <c r="V744" s="132"/>
      <c r="Y744" s="132"/>
    </row>
    <row r="745" spans="7:25" ht="12.75">
      <c r="G745" s="132"/>
      <c r="U745" s="132"/>
      <c r="V745" s="132"/>
      <c r="Y745" s="132"/>
    </row>
    <row r="746" spans="7:25" ht="12.75">
      <c r="G746" s="132"/>
      <c r="U746" s="132"/>
      <c r="V746" s="132"/>
      <c r="Y746" s="132"/>
    </row>
    <row r="747" spans="7:25" ht="12.75">
      <c r="G747" s="132"/>
      <c r="U747" s="132"/>
      <c r="V747" s="132"/>
      <c r="Y747" s="132"/>
    </row>
    <row r="748" spans="7:25" ht="12.75">
      <c r="G748" s="132"/>
      <c r="U748" s="132"/>
      <c r="V748" s="132"/>
      <c r="Y748" s="132"/>
    </row>
    <row r="749" spans="7:25" ht="12.75">
      <c r="G749" s="132"/>
      <c r="U749" s="132"/>
      <c r="V749" s="132"/>
      <c r="Y749" s="132"/>
    </row>
    <row r="750" spans="7:25" ht="12.75">
      <c r="G750" s="132"/>
      <c r="U750" s="132"/>
      <c r="V750" s="132"/>
      <c r="Y750" s="132"/>
    </row>
    <row r="751" spans="7:25" ht="12.75">
      <c r="G751" s="132"/>
      <c r="U751" s="132"/>
      <c r="V751" s="132"/>
      <c r="Y751" s="132"/>
    </row>
    <row r="752" spans="7:25" ht="12.75">
      <c r="G752" s="132"/>
      <c r="U752" s="132"/>
      <c r="V752" s="132"/>
      <c r="Y752" s="132"/>
    </row>
    <row r="753" spans="7:25" ht="12.75">
      <c r="G753" s="132"/>
      <c r="U753" s="132"/>
      <c r="V753" s="132"/>
      <c r="Y753" s="132"/>
    </row>
    <row r="754" spans="7:25" ht="12.75">
      <c r="G754" s="132"/>
      <c r="U754" s="132"/>
      <c r="V754" s="132"/>
      <c r="Y754" s="132"/>
    </row>
    <row r="755" spans="7:25" ht="12.75">
      <c r="G755" s="132"/>
      <c r="U755" s="132"/>
      <c r="V755" s="132"/>
      <c r="Y755" s="132"/>
    </row>
    <row r="756" spans="7:25" ht="12.75">
      <c r="G756" s="132"/>
      <c r="U756" s="132"/>
      <c r="V756" s="132"/>
      <c r="Y756" s="132"/>
    </row>
    <row r="757" spans="7:25" ht="12.75">
      <c r="G757" s="132"/>
      <c r="U757" s="132"/>
      <c r="V757" s="132"/>
      <c r="Y757" s="132"/>
    </row>
    <row r="758" spans="7:25" ht="12.75">
      <c r="G758" s="132"/>
      <c r="U758" s="132"/>
      <c r="V758" s="132"/>
      <c r="Y758" s="132"/>
    </row>
    <row r="759" spans="7:25" ht="12.75">
      <c r="G759" s="132"/>
      <c r="U759" s="132"/>
      <c r="V759" s="132"/>
      <c r="Y759" s="132"/>
    </row>
    <row r="760" spans="7:25" ht="12.75">
      <c r="G760" s="132"/>
      <c r="U760" s="132"/>
      <c r="V760" s="132"/>
      <c r="Y760" s="132"/>
    </row>
    <row r="761" spans="7:25" ht="12.75">
      <c r="G761" s="132"/>
      <c r="U761" s="132"/>
      <c r="V761" s="132"/>
      <c r="Y761" s="132"/>
    </row>
    <row r="762" spans="7:25" ht="12.75">
      <c r="G762" s="132"/>
      <c r="U762" s="132"/>
      <c r="V762" s="132"/>
      <c r="Y762" s="132"/>
    </row>
    <row r="763" spans="7:25" ht="12.75">
      <c r="G763" s="132"/>
      <c r="U763" s="132"/>
      <c r="V763" s="132"/>
      <c r="Y763" s="132"/>
    </row>
    <row r="764" spans="7:25" ht="12.75">
      <c r="G764" s="132"/>
      <c r="U764" s="132"/>
      <c r="V764" s="132"/>
      <c r="Y764" s="132"/>
    </row>
    <row r="765" spans="7:25" ht="12.75">
      <c r="G765" s="132"/>
      <c r="U765" s="132"/>
      <c r="V765" s="132"/>
      <c r="Y765" s="132"/>
    </row>
    <row r="766" spans="7:25" ht="12.75">
      <c r="G766" s="132"/>
      <c r="U766" s="132"/>
      <c r="V766" s="132"/>
      <c r="Y766" s="132"/>
    </row>
    <row r="767" spans="7:25" ht="12.75">
      <c r="G767" s="132"/>
      <c r="U767" s="132"/>
      <c r="V767" s="132"/>
      <c r="Y767" s="132"/>
    </row>
    <row r="768" spans="7:25" ht="12.75">
      <c r="G768" s="132"/>
      <c r="U768" s="132"/>
      <c r="V768" s="132"/>
      <c r="Y768" s="132"/>
    </row>
    <row r="769" spans="7:25" ht="12.75">
      <c r="G769" s="132"/>
      <c r="U769" s="132"/>
      <c r="V769" s="132"/>
      <c r="Y769" s="132"/>
    </row>
    <row r="770" spans="7:25" ht="12.75">
      <c r="G770" s="132"/>
      <c r="U770" s="132"/>
      <c r="V770" s="132"/>
      <c r="Y770" s="132"/>
    </row>
    <row r="771" spans="7:25" ht="12.75">
      <c r="G771" s="132"/>
      <c r="U771" s="132"/>
      <c r="V771" s="132"/>
      <c r="Y771" s="132"/>
    </row>
    <row r="772" spans="7:25" ht="12.75">
      <c r="G772" s="132"/>
      <c r="U772" s="132"/>
      <c r="V772" s="132"/>
      <c r="Y772" s="132"/>
    </row>
    <row r="773" spans="7:25" ht="12.75">
      <c r="G773" s="132"/>
      <c r="U773" s="132"/>
      <c r="V773" s="132"/>
      <c r="Y773" s="132"/>
    </row>
    <row r="774" spans="7:25" ht="12.75">
      <c r="G774" s="132"/>
      <c r="U774" s="132"/>
      <c r="V774" s="132"/>
      <c r="Y774" s="132"/>
    </row>
    <row r="775" spans="7:25" ht="12.75">
      <c r="G775" s="132"/>
      <c r="U775" s="132"/>
      <c r="V775" s="132"/>
      <c r="Y775" s="132"/>
    </row>
    <row r="776" spans="7:25" ht="12.75">
      <c r="G776" s="132"/>
      <c r="U776" s="132"/>
      <c r="V776" s="132"/>
      <c r="Y776" s="132"/>
    </row>
    <row r="777" spans="7:25" ht="12.75">
      <c r="G777" s="132"/>
      <c r="U777" s="132"/>
      <c r="V777" s="132"/>
      <c r="Y777" s="132"/>
    </row>
    <row r="778" spans="7:25" ht="12.75">
      <c r="G778" s="132"/>
      <c r="U778" s="132"/>
      <c r="V778" s="132"/>
      <c r="Y778" s="132"/>
    </row>
    <row r="779" spans="7:25" ht="12.75">
      <c r="G779" s="132"/>
      <c r="U779" s="132"/>
      <c r="V779" s="132"/>
      <c r="Y779" s="132"/>
    </row>
    <row r="780" spans="7:25" ht="12.75">
      <c r="G780" s="132"/>
      <c r="U780" s="132"/>
      <c r="V780" s="132"/>
      <c r="Y780" s="132"/>
    </row>
    <row r="781" spans="7:25" ht="12.75">
      <c r="G781" s="132"/>
      <c r="U781" s="132"/>
      <c r="V781" s="132"/>
      <c r="Y781" s="132"/>
    </row>
    <row r="782" spans="7:25" ht="12.75">
      <c r="G782" s="132"/>
      <c r="U782" s="132"/>
      <c r="V782" s="132"/>
      <c r="Y782" s="132"/>
    </row>
    <row r="783" spans="7:25" ht="12.75">
      <c r="G783" s="132"/>
      <c r="U783" s="132"/>
      <c r="V783" s="132"/>
      <c r="Y783" s="132"/>
    </row>
    <row r="784" spans="7:25" ht="12.75">
      <c r="G784" s="132"/>
      <c r="U784" s="132"/>
      <c r="V784" s="132"/>
      <c r="Y784" s="132"/>
    </row>
    <row r="785" spans="7:25" ht="12.75">
      <c r="G785" s="132"/>
      <c r="U785" s="132"/>
      <c r="V785" s="132"/>
      <c r="Y785" s="132"/>
    </row>
    <row r="786" spans="7:25" ht="12.75">
      <c r="G786" s="132"/>
      <c r="U786" s="132"/>
      <c r="V786" s="132"/>
      <c r="Y786" s="132"/>
    </row>
    <row r="787" spans="7:25" ht="12.75">
      <c r="G787" s="132"/>
      <c r="U787" s="132"/>
      <c r="V787" s="132"/>
      <c r="Y787" s="132"/>
    </row>
    <row r="788" spans="7:25" ht="12.75">
      <c r="G788" s="132"/>
      <c r="U788" s="132"/>
      <c r="V788" s="132"/>
      <c r="Y788" s="132"/>
    </row>
    <row r="789" spans="7:25" ht="12.75">
      <c r="G789" s="132"/>
      <c r="U789" s="132"/>
      <c r="V789" s="132"/>
      <c r="Y789" s="132"/>
    </row>
    <row r="790" spans="7:25" ht="12.75">
      <c r="G790" s="132"/>
      <c r="U790" s="132"/>
      <c r="V790" s="132"/>
      <c r="Y790" s="132"/>
    </row>
    <row r="791" spans="7:25" ht="12.75">
      <c r="G791" s="132"/>
      <c r="U791" s="132"/>
      <c r="V791" s="132"/>
      <c r="Y791" s="132"/>
    </row>
    <row r="792" spans="7:25" ht="12.75">
      <c r="G792" s="132"/>
      <c r="U792" s="132"/>
      <c r="V792" s="132"/>
      <c r="Y792" s="132"/>
    </row>
    <row r="793" spans="7:25" ht="12.75">
      <c r="G793" s="132"/>
      <c r="U793" s="132"/>
      <c r="V793" s="132"/>
      <c r="Y793" s="132"/>
    </row>
    <row r="794" spans="7:25" ht="12.75">
      <c r="G794" s="132"/>
      <c r="U794" s="132"/>
      <c r="V794" s="132"/>
      <c r="Y794" s="132"/>
    </row>
    <row r="795" spans="7:25" ht="12.75">
      <c r="G795" s="132"/>
      <c r="U795" s="132"/>
      <c r="V795" s="132"/>
      <c r="Y795" s="132"/>
    </row>
    <row r="796" spans="7:25" ht="12.75">
      <c r="G796" s="132"/>
      <c r="U796" s="132"/>
      <c r="V796" s="132"/>
      <c r="Y796" s="132"/>
    </row>
    <row r="797" spans="7:25" ht="12.75">
      <c r="G797" s="132"/>
      <c r="U797" s="132"/>
      <c r="V797" s="132"/>
      <c r="Y797" s="132"/>
    </row>
    <row r="798" spans="7:25" ht="12.75">
      <c r="G798" s="132"/>
      <c r="U798" s="132"/>
      <c r="V798" s="132"/>
      <c r="Y798" s="132"/>
    </row>
    <row r="799" spans="7:25" ht="12.75">
      <c r="G799" s="132"/>
      <c r="U799" s="132"/>
      <c r="V799" s="132"/>
      <c r="Y799" s="132"/>
    </row>
    <row r="800" spans="7:25" ht="12.75">
      <c r="G800" s="132"/>
      <c r="U800" s="132"/>
      <c r="V800" s="132"/>
      <c r="Y800" s="132"/>
    </row>
    <row r="801" spans="7:25" ht="12.75">
      <c r="G801" s="132"/>
      <c r="U801" s="132"/>
      <c r="V801" s="132"/>
      <c r="Y801" s="132"/>
    </row>
    <row r="802" spans="7:25" ht="12.75">
      <c r="G802" s="132"/>
      <c r="U802" s="132"/>
      <c r="V802" s="132"/>
      <c r="Y802" s="132"/>
    </row>
    <row r="803" spans="7:25" ht="12.75">
      <c r="G803" s="132"/>
      <c r="U803" s="132"/>
      <c r="V803" s="132"/>
      <c r="Y803" s="132"/>
    </row>
  </sheetData>
  <printOptions horizontalCentered="1"/>
  <pageMargins left="0.25" right="0.25" top="0.75" bottom="0.25" header="0.25" footer="0"/>
  <pageSetup horizontalDpi="600" verticalDpi="600" orientation="landscape" scale="70" r:id="rId1"/>
  <rowBreaks count="1" manualBreakCount="1">
    <brk id="39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R781"/>
  <sheetViews>
    <sheetView zoomScale="75" zoomScaleNormal="75" workbookViewId="0" topLeftCell="B7">
      <selection activeCell="B357" sqref="A357:IV357"/>
    </sheetView>
  </sheetViews>
  <sheetFormatPr defaultColWidth="9.140625" defaultRowHeight="12.75" outlineLevelRow="1" outlineLevelCol="1"/>
  <cols>
    <col min="1" max="1" width="0" style="132" hidden="1" customWidth="1"/>
    <col min="2" max="2" width="3.8515625" style="171" customWidth="1"/>
    <col min="3" max="3" width="55.7109375" style="171" customWidth="1"/>
    <col min="4" max="4" width="1.1484375" style="171" customWidth="1"/>
    <col min="5" max="5" width="19.57421875" style="171" customWidth="1"/>
    <col min="6" max="6" width="17.8515625" style="171" customWidth="1"/>
    <col min="7" max="7" width="19.57421875" style="171" customWidth="1"/>
    <col min="8" max="15" width="19.57421875" style="132" hidden="1" customWidth="1" outlineLevel="1"/>
    <col min="16" max="16" width="19.57421875" style="171" customWidth="1" collapsed="1"/>
    <col min="17" max="17" width="19.57421875" style="171" customWidth="1"/>
    <col min="18" max="18" width="20.57421875" style="171" bestFit="1" customWidth="1"/>
    <col min="19" max="19" width="11.140625" style="132" hidden="1" customWidth="1"/>
    <col min="20" max="16384" width="8.00390625" style="140" customWidth="1"/>
  </cols>
  <sheetData>
    <row r="1" spans="1:19" s="122" customFormat="1" ht="12.75" hidden="1">
      <c r="A1" s="120" t="s">
        <v>3845</v>
      </c>
      <c r="B1" s="121" t="s">
        <v>3783</v>
      </c>
      <c r="C1" s="121" t="s">
        <v>3846</v>
      </c>
      <c r="D1" s="121" t="s">
        <v>3847</v>
      </c>
      <c r="E1" s="121" t="s">
        <v>3848</v>
      </c>
      <c r="F1" s="121" t="s">
        <v>3849</v>
      </c>
      <c r="G1" s="121" t="s">
        <v>3783</v>
      </c>
      <c r="H1" s="120" t="s">
        <v>3850</v>
      </c>
      <c r="I1" s="120" t="s">
        <v>3851</v>
      </c>
      <c r="J1" s="120" t="s">
        <v>3852</v>
      </c>
      <c r="K1" s="120" t="s">
        <v>3853</v>
      </c>
      <c r="L1" s="120" t="s">
        <v>3854</v>
      </c>
      <c r="M1" s="120" t="s">
        <v>3855</v>
      </c>
      <c r="N1" s="120" t="s">
        <v>3856</v>
      </c>
      <c r="O1" s="120" t="s">
        <v>3857</v>
      </c>
      <c r="P1" s="121" t="s">
        <v>3858</v>
      </c>
      <c r="Q1" s="121" t="s">
        <v>3859</v>
      </c>
      <c r="R1" s="121" t="s">
        <v>3785</v>
      </c>
      <c r="S1" s="120"/>
    </row>
    <row r="2" spans="1:19" s="125" customFormat="1" ht="15.75" customHeight="1">
      <c r="A2" s="123"/>
      <c r="B2" s="5" t="str">
        <f>"University of Missouri - "&amp;TEXT(S3,)</f>
        <v>University of Missouri - Kansas City</v>
      </c>
      <c r="C2" s="47"/>
      <c r="D2" s="47"/>
      <c r="E2" s="47"/>
      <c r="F2" s="47"/>
      <c r="G2" s="47"/>
      <c r="H2" s="123"/>
      <c r="I2" s="123"/>
      <c r="J2" s="123"/>
      <c r="K2" s="123"/>
      <c r="L2" s="123"/>
      <c r="M2" s="123"/>
      <c r="N2" s="123"/>
      <c r="O2" s="123"/>
      <c r="P2" s="47"/>
      <c r="Q2" s="47"/>
      <c r="R2" s="124"/>
      <c r="S2" s="123"/>
    </row>
    <row r="3" spans="1:19" s="125" customFormat="1" ht="15.75" customHeight="1">
      <c r="A3" s="123"/>
      <c r="B3" s="11" t="s">
        <v>3860</v>
      </c>
      <c r="C3" s="48"/>
      <c r="D3" s="48"/>
      <c r="E3" s="48"/>
      <c r="F3" s="48"/>
      <c r="G3" s="48"/>
      <c r="H3" s="123"/>
      <c r="I3" s="123"/>
      <c r="J3" s="123"/>
      <c r="K3" s="123"/>
      <c r="L3" s="123"/>
      <c r="M3" s="123"/>
      <c r="N3" s="123"/>
      <c r="O3" s="123"/>
      <c r="P3" s="48"/>
      <c r="Q3" s="48"/>
      <c r="R3" s="126"/>
      <c r="S3" s="127" t="s">
        <v>3861</v>
      </c>
    </row>
    <row r="4" spans="1:19" s="125" customFormat="1" ht="15.75" customHeight="1">
      <c r="A4" s="123"/>
      <c r="B4" s="84" t="str">
        <f>"For the Year Ending "&amp;TEXT(S4,"MMMM DD, YYY")</f>
        <v>For the Year Ending June 30, 2006</v>
      </c>
      <c r="C4" s="48"/>
      <c r="D4" s="48"/>
      <c r="E4" s="48"/>
      <c r="F4" s="48"/>
      <c r="G4" s="48"/>
      <c r="H4" s="123"/>
      <c r="I4" s="123"/>
      <c r="J4" s="123"/>
      <c r="K4" s="123"/>
      <c r="L4" s="123"/>
      <c r="M4" s="123"/>
      <c r="N4" s="123"/>
      <c r="O4" s="123"/>
      <c r="P4" s="48"/>
      <c r="Q4" s="48"/>
      <c r="R4" s="126"/>
      <c r="S4" s="127" t="s">
        <v>3862</v>
      </c>
    </row>
    <row r="5" spans="1:19" s="125" customFormat="1" ht="12.75" customHeight="1">
      <c r="A5" s="123"/>
      <c r="B5" s="128"/>
      <c r="C5" s="129"/>
      <c r="D5" s="130"/>
      <c r="E5" s="129"/>
      <c r="F5" s="129"/>
      <c r="G5" s="129"/>
      <c r="H5" s="123"/>
      <c r="I5" s="123"/>
      <c r="J5" s="123"/>
      <c r="K5" s="123"/>
      <c r="L5" s="123"/>
      <c r="M5" s="123"/>
      <c r="N5" s="123"/>
      <c r="O5" s="123"/>
      <c r="P5" s="129"/>
      <c r="Q5" s="129"/>
      <c r="R5" s="131"/>
      <c r="S5" s="123"/>
    </row>
    <row r="6" spans="2:18" ht="15.75" customHeight="1">
      <c r="B6" s="133"/>
      <c r="C6" s="134"/>
      <c r="D6" s="135"/>
      <c r="E6" s="136" t="s">
        <v>3863</v>
      </c>
      <c r="F6" s="137"/>
      <c r="G6" s="137"/>
      <c r="P6" s="137"/>
      <c r="Q6" s="138"/>
      <c r="R6" s="139"/>
    </row>
    <row r="7" spans="1:19" s="147" customFormat="1" ht="45" customHeight="1">
      <c r="A7" s="141" t="s">
        <v>3784</v>
      </c>
      <c r="B7" s="142"/>
      <c r="C7" s="143"/>
      <c r="D7" s="144"/>
      <c r="E7" s="145" t="s">
        <v>3864</v>
      </c>
      <c r="F7" s="145" t="s">
        <v>3865</v>
      </c>
      <c r="G7" s="145" t="s">
        <v>3866</v>
      </c>
      <c r="H7" s="141" t="s">
        <v>3867</v>
      </c>
      <c r="I7" s="141" t="s">
        <v>3868</v>
      </c>
      <c r="J7" s="141" t="s">
        <v>3869</v>
      </c>
      <c r="K7" s="141" t="s">
        <v>3870</v>
      </c>
      <c r="L7" s="141" t="s">
        <v>3871</v>
      </c>
      <c r="M7" s="141" t="s">
        <v>3872</v>
      </c>
      <c r="N7" s="141" t="s">
        <v>3873</v>
      </c>
      <c r="O7" s="141" t="s">
        <v>3874</v>
      </c>
      <c r="P7" s="145" t="s">
        <v>3875</v>
      </c>
      <c r="Q7" s="145" t="s">
        <v>3876</v>
      </c>
      <c r="R7" s="146" t="s">
        <v>3877</v>
      </c>
      <c r="S7" s="141"/>
    </row>
    <row r="8" spans="1:44" s="152" customFormat="1" ht="12.75" customHeight="1">
      <c r="A8" s="148"/>
      <c r="B8" s="136"/>
      <c r="C8" s="137"/>
      <c r="D8" s="138"/>
      <c r="E8" s="149"/>
      <c r="F8" s="149"/>
      <c r="G8" s="149"/>
      <c r="H8" s="148"/>
      <c r="I8" s="148"/>
      <c r="J8" s="148"/>
      <c r="K8" s="148"/>
      <c r="L8" s="148"/>
      <c r="M8" s="148"/>
      <c r="N8" s="148"/>
      <c r="O8" s="148"/>
      <c r="P8" s="149"/>
      <c r="Q8" s="149"/>
      <c r="R8" s="149"/>
      <c r="S8" s="150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</row>
    <row r="9" spans="1:44" s="152" customFormat="1" ht="12.75" customHeight="1">
      <c r="A9" s="153"/>
      <c r="B9" s="61" t="s">
        <v>3815</v>
      </c>
      <c r="C9" s="154"/>
      <c r="D9" s="62"/>
      <c r="E9" s="155"/>
      <c r="F9" s="155"/>
      <c r="G9" s="155"/>
      <c r="H9" s="153"/>
      <c r="I9" s="153"/>
      <c r="J9" s="153"/>
      <c r="K9" s="153"/>
      <c r="L9" s="153"/>
      <c r="M9" s="153"/>
      <c r="N9" s="153"/>
      <c r="O9" s="153"/>
      <c r="P9" s="155"/>
      <c r="Q9" s="155"/>
      <c r="R9" s="155"/>
      <c r="S9" s="156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</row>
    <row r="10" spans="1:19" s="122" customFormat="1" ht="12.75" hidden="1" outlineLevel="1">
      <c r="A10" s="120" t="s">
        <v>3878</v>
      </c>
      <c r="B10" s="121"/>
      <c r="C10" s="121" t="s">
        <v>3879</v>
      </c>
      <c r="D10" s="121" t="s">
        <v>3880</v>
      </c>
      <c r="E10" s="121">
        <v>1719061.76</v>
      </c>
      <c r="F10" s="121">
        <v>335281.61</v>
      </c>
      <c r="G10" s="121"/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1">
        <v>0</v>
      </c>
      <c r="Q10" s="121">
        <v>0</v>
      </c>
      <c r="R10" s="121">
        <f aca="true" t="shared" si="0" ref="R10:R41">E10+F10+G10+P10+Q10</f>
        <v>2054343.37</v>
      </c>
      <c r="S10" s="120"/>
    </row>
    <row r="11" spans="1:19" s="122" customFormat="1" ht="12.75" hidden="1" outlineLevel="1">
      <c r="A11" s="120" t="s">
        <v>3881</v>
      </c>
      <c r="B11" s="121"/>
      <c r="C11" s="121" t="s">
        <v>3882</v>
      </c>
      <c r="D11" s="121" t="s">
        <v>3883</v>
      </c>
      <c r="E11" s="121">
        <v>1248143.9</v>
      </c>
      <c r="F11" s="121">
        <v>142255.24</v>
      </c>
      <c r="G11" s="121"/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1">
        <v>0</v>
      </c>
      <c r="Q11" s="121">
        <v>0</v>
      </c>
      <c r="R11" s="121">
        <f t="shared" si="0"/>
        <v>1390399.14</v>
      </c>
      <c r="S11" s="120"/>
    </row>
    <row r="12" spans="1:19" s="122" customFormat="1" ht="12.75" hidden="1" outlineLevel="1">
      <c r="A12" s="120" t="s">
        <v>3884</v>
      </c>
      <c r="B12" s="121"/>
      <c r="C12" s="121" t="s">
        <v>3885</v>
      </c>
      <c r="D12" s="121" t="s">
        <v>3886</v>
      </c>
      <c r="E12" s="121">
        <v>13625934.05</v>
      </c>
      <c r="F12" s="121">
        <v>920404.44</v>
      </c>
      <c r="G12" s="121"/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1">
        <v>0</v>
      </c>
      <c r="Q12" s="121">
        <v>0</v>
      </c>
      <c r="R12" s="121">
        <f t="shared" si="0"/>
        <v>14546338.49</v>
      </c>
      <c r="S12" s="120"/>
    </row>
    <row r="13" spans="1:19" s="122" customFormat="1" ht="12.75" hidden="1" outlineLevel="1">
      <c r="A13" s="120" t="s">
        <v>3887</v>
      </c>
      <c r="B13" s="121"/>
      <c r="C13" s="121" t="s">
        <v>3888</v>
      </c>
      <c r="D13" s="121" t="s">
        <v>3889</v>
      </c>
      <c r="E13" s="121">
        <v>7645488.96</v>
      </c>
      <c r="F13" s="121">
        <v>702741.46</v>
      </c>
      <c r="G13" s="121"/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1">
        <v>0</v>
      </c>
      <c r="Q13" s="121">
        <v>0</v>
      </c>
      <c r="R13" s="121">
        <f t="shared" si="0"/>
        <v>8348230.42</v>
      </c>
      <c r="S13" s="120"/>
    </row>
    <row r="14" spans="1:19" s="122" customFormat="1" ht="12.75" hidden="1" outlineLevel="1">
      <c r="A14" s="120" t="s">
        <v>3890</v>
      </c>
      <c r="B14" s="121"/>
      <c r="C14" s="121" t="s">
        <v>3891</v>
      </c>
      <c r="D14" s="121" t="s">
        <v>3892</v>
      </c>
      <c r="E14" s="121">
        <v>12039940.49</v>
      </c>
      <c r="F14" s="121">
        <v>1365457.43</v>
      </c>
      <c r="G14" s="121"/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1">
        <v>0</v>
      </c>
      <c r="Q14" s="121">
        <v>0</v>
      </c>
      <c r="R14" s="121">
        <f t="shared" si="0"/>
        <v>13405397.92</v>
      </c>
      <c r="S14" s="120"/>
    </row>
    <row r="15" spans="1:19" s="122" customFormat="1" ht="12.75" hidden="1" outlineLevel="1">
      <c r="A15" s="120" t="s">
        <v>3893</v>
      </c>
      <c r="B15" s="121"/>
      <c r="C15" s="121" t="s">
        <v>3894</v>
      </c>
      <c r="D15" s="121" t="s">
        <v>3895</v>
      </c>
      <c r="E15" s="121">
        <v>7176126.74</v>
      </c>
      <c r="F15" s="121">
        <v>702224.44</v>
      </c>
      <c r="G15" s="121"/>
      <c r="H15" s="120">
        <v>0</v>
      </c>
      <c r="I15" s="120">
        <v>0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1">
        <v>0</v>
      </c>
      <c r="Q15" s="121">
        <v>0</v>
      </c>
      <c r="R15" s="121">
        <f t="shared" si="0"/>
        <v>7878351.18</v>
      </c>
      <c r="S15" s="120"/>
    </row>
    <row r="16" spans="1:19" s="122" customFormat="1" ht="12.75" hidden="1" outlineLevel="1">
      <c r="A16" s="120" t="s">
        <v>3896</v>
      </c>
      <c r="B16" s="121"/>
      <c r="C16" s="121" t="s">
        <v>3897</v>
      </c>
      <c r="D16" s="121" t="s">
        <v>3898</v>
      </c>
      <c r="E16" s="121">
        <v>0</v>
      </c>
      <c r="F16" s="121">
        <v>11258</v>
      </c>
      <c r="G16" s="121"/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1">
        <v>0</v>
      </c>
      <c r="Q16" s="121">
        <v>0</v>
      </c>
      <c r="R16" s="121">
        <f t="shared" si="0"/>
        <v>11258</v>
      </c>
      <c r="S16" s="120"/>
    </row>
    <row r="17" spans="1:19" s="122" customFormat="1" ht="12.75" hidden="1" outlineLevel="1">
      <c r="A17" s="120" t="s">
        <v>3899</v>
      </c>
      <c r="B17" s="121"/>
      <c r="C17" s="121" t="s">
        <v>3900</v>
      </c>
      <c r="D17" s="121" t="s">
        <v>3901</v>
      </c>
      <c r="E17" s="121">
        <v>0</v>
      </c>
      <c r="F17" s="121">
        <v>216.5</v>
      </c>
      <c r="G17" s="121"/>
      <c r="H17" s="120">
        <v>0</v>
      </c>
      <c r="I17" s="120">
        <v>0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1">
        <v>0</v>
      </c>
      <c r="Q17" s="121">
        <v>0</v>
      </c>
      <c r="R17" s="121">
        <f t="shared" si="0"/>
        <v>216.5</v>
      </c>
      <c r="S17" s="120"/>
    </row>
    <row r="18" spans="1:19" s="122" customFormat="1" ht="12.75" hidden="1" outlineLevel="1">
      <c r="A18" s="120" t="s">
        <v>3902</v>
      </c>
      <c r="B18" s="121"/>
      <c r="C18" s="121" t="s">
        <v>3903</v>
      </c>
      <c r="D18" s="121" t="s">
        <v>3904</v>
      </c>
      <c r="E18" s="121">
        <v>0</v>
      </c>
      <c r="F18" s="121">
        <v>18186</v>
      </c>
      <c r="G18" s="121"/>
      <c r="H18" s="120">
        <v>0</v>
      </c>
      <c r="I18" s="120">
        <v>0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1">
        <v>0</v>
      </c>
      <c r="Q18" s="121">
        <v>0</v>
      </c>
      <c r="R18" s="121">
        <f t="shared" si="0"/>
        <v>18186</v>
      </c>
      <c r="S18" s="120"/>
    </row>
    <row r="19" spans="1:19" s="122" customFormat="1" ht="12.75" hidden="1" outlineLevel="1">
      <c r="A19" s="120" t="s">
        <v>3905</v>
      </c>
      <c r="B19" s="121"/>
      <c r="C19" s="121" t="s">
        <v>3906</v>
      </c>
      <c r="D19" s="121" t="s">
        <v>3907</v>
      </c>
      <c r="E19" s="121">
        <v>0</v>
      </c>
      <c r="F19" s="121">
        <v>4441.7</v>
      </c>
      <c r="G19" s="121"/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1">
        <v>0</v>
      </c>
      <c r="Q19" s="121">
        <v>0</v>
      </c>
      <c r="R19" s="121">
        <f t="shared" si="0"/>
        <v>4441.7</v>
      </c>
      <c r="S19" s="120"/>
    </row>
    <row r="20" spans="1:19" s="122" customFormat="1" ht="12.75" hidden="1" outlineLevel="1">
      <c r="A20" s="120" t="s">
        <v>3908</v>
      </c>
      <c r="B20" s="121"/>
      <c r="C20" s="121" t="s">
        <v>3909</v>
      </c>
      <c r="D20" s="121" t="s">
        <v>3910</v>
      </c>
      <c r="E20" s="121">
        <v>2690773.8</v>
      </c>
      <c r="F20" s="121">
        <v>0</v>
      </c>
      <c r="G20" s="121"/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1">
        <v>0</v>
      </c>
      <c r="Q20" s="121">
        <v>0</v>
      </c>
      <c r="R20" s="121">
        <f t="shared" si="0"/>
        <v>2690773.8</v>
      </c>
      <c r="S20" s="120"/>
    </row>
    <row r="21" spans="1:19" s="122" customFormat="1" ht="12.75" hidden="1" outlineLevel="1">
      <c r="A21" s="120" t="s">
        <v>3911</v>
      </c>
      <c r="B21" s="121"/>
      <c r="C21" s="121" t="s">
        <v>3912</v>
      </c>
      <c r="D21" s="121" t="s">
        <v>3913</v>
      </c>
      <c r="E21" s="121">
        <v>2354809.13</v>
      </c>
      <c r="F21" s="121">
        <v>0</v>
      </c>
      <c r="G21" s="121"/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1">
        <v>0</v>
      </c>
      <c r="Q21" s="121">
        <v>0</v>
      </c>
      <c r="R21" s="121">
        <f t="shared" si="0"/>
        <v>2354809.13</v>
      </c>
      <c r="S21" s="120"/>
    </row>
    <row r="22" spans="1:19" s="122" customFormat="1" ht="12.75" hidden="1" outlineLevel="1">
      <c r="A22" s="120" t="s">
        <v>3914</v>
      </c>
      <c r="B22" s="121"/>
      <c r="C22" s="121" t="s">
        <v>3915</v>
      </c>
      <c r="D22" s="121" t="s">
        <v>3916</v>
      </c>
      <c r="E22" s="121">
        <v>10210197.14</v>
      </c>
      <c r="F22" s="121">
        <v>0</v>
      </c>
      <c r="G22" s="121"/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0</v>
      </c>
      <c r="O22" s="120">
        <v>0</v>
      </c>
      <c r="P22" s="121">
        <v>0</v>
      </c>
      <c r="Q22" s="121">
        <v>0</v>
      </c>
      <c r="R22" s="121">
        <f t="shared" si="0"/>
        <v>10210197.14</v>
      </c>
      <c r="S22" s="120"/>
    </row>
    <row r="23" spans="1:19" s="122" customFormat="1" ht="12.75" hidden="1" outlineLevel="1">
      <c r="A23" s="120" t="s">
        <v>3917</v>
      </c>
      <c r="B23" s="121"/>
      <c r="C23" s="121" t="s">
        <v>3918</v>
      </c>
      <c r="D23" s="121" t="s">
        <v>3919</v>
      </c>
      <c r="E23" s="121">
        <v>7397247.84</v>
      </c>
      <c r="F23" s="121">
        <v>0</v>
      </c>
      <c r="G23" s="121"/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0</v>
      </c>
      <c r="O23" s="120">
        <v>0</v>
      </c>
      <c r="P23" s="121">
        <v>0</v>
      </c>
      <c r="Q23" s="121">
        <v>0</v>
      </c>
      <c r="R23" s="121">
        <f t="shared" si="0"/>
        <v>7397247.84</v>
      </c>
      <c r="S23" s="120"/>
    </row>
    <row r="24" spans="1:19" s="122" customFormat="1" ht="12.75" hidden="1" outlineLevel="1">
      <c r="A24" s="120" t="s">
        <v>3920</v>
      </c>
      <c r="B24" s="121"/>
      <c r="C24" s="121" t="s">
        <v>3921</v>
      </c>
      <c r="D24" s="121" t="s">
        <v>3922</v>
      </c>
      <c r="E24" s="121">
        <v>10026248.17</v>
      </c>
      <c r="F24" s="121">
        <v>1286.1</v>
      </c>
      <c r="G24" s="121"/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0</v>
      </c>
      <c r="O24" s="120">
        <v>0</v>
      </c>
      <c r="P24" s="121">
        <v>0</v>
      </c>
      <c r="Q24" s="121">
        <v>0</v>
      </c>
      <c r="R24" s="121">
        <f t="shared" si="0"/>
        <v>10027534.27</v>
      </c>
      <c r="S24" s="120"/>
    </row>
    <row r="25" spans="1:19" s="122" customFormat="1" ht="12.75" hidden="1" outlineLevel="1">
      <c r="A25" s="120" t="s">
        <v>3923</v>
      </c>
      <c r="B25" s="121"/>
      <c r="C25" s="121" t="s">
        <v>3924</v>
      </c>
      <c r="D25" s="121" t="s">
        <v>3925</v>
      </c>
      <c r="E25" s="121">
        <v>7100873.49</v>
      </c>
      <c r="F25" s="121">
        <v>0</v>
      </c>
      <c r="G25" s="121"/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0</v>
      </c>
      <c r="O25" s="120">
        <v>0</v>
      </c>
      <c r="P25" s="121">
        <v>0</v>
      </c>
      <c r="Q25" s="121">
        <v>0</v>
      </c>
      <c r="R25" s="121">
        <f t="shared" si="0"/>
        <v>7100873.49</v>
      </c>
      <c r="S25" s="120"/>
    </row>
    <row r="26" spans="1:19" s="122" customFormat="1" ht="12.75" hidden="1" outlineLevel="1">
      <c r="A26" s="120" t="s">
        <v>3926</v>
      </c>
      <c r="B26" s="121"/>
      <c r="C26" s="121" t="s">
        <v>3927</v>
      </c>
      <c r="D26" s="121" t="s">
        <v>3928</v>
      </c>
      <c r="E26" s="121">
        <v>1029550.77</v>
      </c>
      <c r="F26" s="121">
        <v>450436.24</v>
      </c>
      <c r="G26" s="121"/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1">
        <v>0</v>
      </c>
      <c r="Q26" s="121">
        <v>0</v>
      </c>
      <c r="R26" s="121">
        <f t="shared" si="0"/>
        <v>1479987.01</v>
      </c>
      <c r="S26" s="120"/>
    </row>
    <row r="27" spans="1:19" s="122" customFormat="1" ht="12.75" hidden="1" outlineLevel="1">
      <c r="A27" s="120" t="s">
        <v>3929</v>
      </c>
      <c r="B27" s="121"/>
      <c r="C27" s="121" t="s">
        <v>3930</v>
      </c>
      <c r="D27" s="121" t="s">
        <v>3931</v>
      </c>
      <c r="E27" s="121">
        <v>1175569.32</v>
      </c>
      <c r="F27" s="121">
        <v>86044.56</v>
      </c>
      <c r="G27" s="121"/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0</v>
      </c>
      <c r="O27" s="120">
        <v>0</v>
      </c>
      <c r="P27" s="121">
        <v>0</v>
      </c>
      <c r="Q27" s="121">
        <v>0</v>
      </c>
      <c r="R27" s="121">
        <f t="shared" si="0"/>
        <v>1261613.8800000001</v>
      </c>
      <c r="S27" s="120"/>
    </row>
    <row r="28" spans="1:19" s="122" customFormat="1" ht="12.75" hidden="1" outlineLevel="1">
      <c r="A28" s="120" t="s">
        <v>3932</v>
      </c>
      <c r="B28" s="121"/>
      <c r="C28" s="121" t="s">
        <v>3933</v>
      </c>
      <c r="D28" s="121" t="s">
        <v>3934</v>
      </c>
      <c r="E28" s="121">
        <v>3293670.74</v>
      </c>
      <c r="F28" s="121">
        <v>367514.57</v>
      </c>
      <c r="G28" s="121"/>
      <c r="H28" s="120">
        <v>0</v>
      </c>
      <c r="I28" s="120">
        <v>0</v>
      </c>
      <c r="J28" s="120">
        <v>0</v>
      </c>
      <c r="K28" s="120">
        <v>0</v>
      </c>
      <c r="L28" s="120">
        <v>0</v>
      </c>
      <c r="M28" s="120">
        <v>0</v>
      </c>
      <c r="N28" s="120">
        <v>0</v>
      </c>
      <c r="O28" s="120">
        <v>0</v>
      </c>
      <c r="P28" s="121">
        <v>0</v>
      </c>
      <c r="Q28" s="121">
        <v>0</v>
      </c>
      <c r="R28" s="121">
        <f t="shared" si="0"/>
        <v>3661185.31</v>
      </c>
      <c r="S28" s="120"/>
    </row>
    <row r="29" spans="1:19" s="122" customFormat="1" ht="12.75" hidden="1" outlineLevel="1">
      <c r="A29" s="120" t="s">
        <v>3935</v>
      </c>
      <c r="B29" s="121"/>
      <c r="C29" s="121" t="s">
        <v>3936</v>
      </c>
      <c r="D29" s="121" t="s">
        <v>3937</v>
      </c>
      <c r="E29" s="121">
        <v>5801493.46</v>
      </c>
      <c r="F29" s="121">
        <v>109570.16</v>
      </c>
      <c r="G29" s="121"/>
      <c r="H29" s="120">
        <v>0</v>
      </c>
      <c r="I29" s="120">
        <v>0</v>
      </c>
      <c r="J29" s="120">
        <v>0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1">
        <v>0</v>
      </c>
      <c r="Q29" s="121">
        <v>0</v>
      </c>
      <c r="R29" s="121">
        <f t="shared" si="0"/>
        <v>5911063.62</v>
      </c>
      <c r="S29" s="120"/>
    </row>
    <row r="30" spans="1:19" s="122" customFormat="1" ht="12.75" hidden="1" outlineLevel="1">
      <c r="A30" s="120" t="s">
        <v>3938</v>
      </c>
      <c r="B30" s="121"/>
      <c r="C30" s="121" t="s">
        <v>3939</v>
      </c>
      <c r="D30" s="121" t="s">
        <v>3940</v>
      </c>
      <c r="E30" s="121">
        <v>2725330.55</v>
      </c>
      <c r="F30" s="121">
        <v>501590.89</v>
      </c>
      <c r="G30" s="121"/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v>0</v>
      </c>
      <c r="N30" s="120">
        <v>0</v>
      </c>
      <c r="O30" s="120">
        <v>0</v>
      </c>
      <c r="P30" s="121">
        <v>0</v>
      </c>
      <c r="Q30" s="121">
        <v>0</v>
      </c>
      <c r="R30" s="121">
        <f t="shared" si="0"/>
        <v>3226921.44</v>
      </c>
      <c r="S30" s="120"/>
    </row>
    <row r="31" spans="1:19" s="122" customFormat="1" ht="12.75" hidden="1" outlineLevel="1">
      <c r="A31" s="120" t="s">
        <v>3941</v>
      </c>
      <c r="B31" s="121"/>
      <c r="C31" s="121" t="s">
        <v>3942</v>
      </c>
      <c r="D31" s="121" t="s">
        <v>3943</v>
      </c>
      <c r="E31" s="121">
        <v>5340701.76</v>
      </c>
      <c r="F31" s="121">
        <v>215169.2</v>
      </c>
      <c r="G31" s="121"/>
      <c r="H31" s="120">
        <v>0</v>
      </c>
      <c r="I31" s="120">
        <v>0</v>
      </c>
      <c r="J31" s="120">
        <v>0</v>
      </c>
      <c r="K31" s="120">
        <v>0</v>
      </c>
      <c r="L31" s="120">
        <v>0</v>
      </c>
      <c r="M31" s="120">
        <v>0</v>
      </c>
      <c r="N31" s="120">
        <v>0</v>
      </c>
      <c r="O31" s="120">
        <v>0</v>
      </c>
      <c r="P31" s="121">
        <v>0</v>
      </c>
      <c r="Q31" s="121">
        <v>0</v>
      </c>
      <c r="R31" s="121">
        <f t="shared" si="0"/>
        <v>5555870.96</v>
      </c>
      <c r="S31" s="120"/>
    </row>
    <row r="32" spans="1:19" s="122" customFormat="1" ht="12.75" hidden="1" outlineLevel="1">
      <c r="A32" s="120" t="s">
        <v>3944</v>
      </c>
      <c r="B32" s="121"/>
      <c r="C32" s="121" t="s">
        <v>3945</v>
      </c>
      <c r="D32" s="121" t="s">
        <v>3946</v>
      </c>
      <c r="E32" s="121">
        <v>0</v>
      </c>
      <c r="F32" s="121">
        <v>1275</v>
      </c>
      <c r="G32" s="121"/>
      <c r="H32" s="120">
        <v>0</v>
      </c>
      <c r="I32" s="120">
        <v>0</v>
      </c>
      <c r="J32" s="120">
        <v>0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1">
        <v>0</v>
      </c>
      <c r="Q32" s="121">
        <v>0</v>
      </c>
      <c r="R32" s="121">
        <f t="shared" si="0"/>
        <v>1275</v>
      </c>
      <c r="S32" s="120"/>
    </row>
    <row r="33" spans="1:19" s="122" customFormat="1" ht="12.75" hidden="1" outlineLevel="1">
      <c r="A33" s="120" t="s">
        <v>3947</v>
      </c>
      <c r="B33" s="121"/>
      <c r="C33" s="121" t="s">
        <v>1341</v>
      </c>
      <c r="D33" s="121" t="s">
        <v>1342</v>
      </c>
      <c r="E33" s="121">
        <v>0</v>
      </c>
      <c r="F33" s="121">
        <v>1352.8</v>
      </c>
      <c r="G33" s="121"/>
      <c r="H33" s="120">
        <v>0</v>
      </c>
      <c r="I33" s="120">
        <v>0</v>
      </c>
      <c r="J33" s="120">
        <v>0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1">
        <v>0</v>
      </c>
      <c r="Q33" s="121">
        <v>0</v>
      </c>
      <c r="R33" s="121">
        <f t="shared" si="0"/>
        <v>1352.8</v>
      </c>
      <c r="S33" s="120"/>
    </row>
    <row r="34" spans="1:19" s="122" customFormat="1" ht="12.75" hidden="1" outlineLevel="1">
      <c r="A34" s="120" t="s">
        <v>1343</v>
      </c>
      <c r="B34" s="121"/>
      <c r="C34" s="121" t="s">
        <v>1344</v>
      </c>
      <c r="D34" s="121" t="s">
        <v>1345</v>
      </c>
      <c r="E34" s="121">
        <v>13654.77</v>
      </c>
      <c r="F34" s="121">
        <v>358281.42</v>
      </c>
      <c r="G34" s="121"/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1">
        <v>0</v>
      </c>
      <c r="Q34" s="121">
        <v>0</v>
      </c>
      <c r="R34" s="121">
        <f t="shared" si="0"/>
        <v>371936.19</v>
      </c>
      <c r="S34" s="120"/>
    </row>
    <row r="35" spans="1:19" s="122" customFormat="1" ht="12.75" hidden="1" outlineLevel="1">
      <c r="A35" s="120" t="s">
        <v>1346</v>
      </c>
      <c r="B35" s="121"/>
      <c r="C35" s="121" t="s">
        <v>1347</v>
      </c>
      <c r="D35" s="121" t="s">
        <v>1348</v>
      </c>
      <c r="E35" s="121">
        <v>198.32</v>
      </c>
      <c r="F35" s="121">
        <v>0</v>
      </c>
      <c r="G35" s="121"/>
      <c r="H35" s="120">
        <v>0</v>
      </c>
      <c r="I35" s="120">
        <v>0</v>
      </c>
      <c r="J35" s="120">
        <v>0</v>
      </c>
      <c r="K35" s="120">
        <v>0</v>
      </c>
      <c r="L35" s="120">
        <v>0</v>
      </c>
      <c r="M35" s="120">
        <v>0</v>
      </c>
      <c r="N35" s="120">
        <v>0</v>
      </c>
      <c r="O35" s="120">
        <v>0</v>
      </c>
      <c r="P35" s="121">
        <v>0</v>
      </c>
      <c r="Q35" s="121">
        <v>0</v>
      </c>
      <c r="R35" s="121">
        <f t="shared" si="0"/>
        <v>198.32</v>
      </c>
      <c r="S35" s="120"/>
    </row>
    <row r="36" spans="1:19" s="122" customFormat="1" ht="12.75" hidden="1" outlineLevel="1">
      <c r="A36" s="120" t="s">
        <v>1349</v>
      </c>
      <c r="B36" s="121"/>
      <c r="C36" s="121" t="s">
        <v>1350</v>
      </c>
      <c r="D36" s="121" t="s">
        <v>1351</v>
      </c>
      <c r="E36" s="121">
        <v>0</v>
      </c>
      <c r="F36" s="121">
        <v>8347.5</v>
      </c>
      <c r="G36" s="121"/>
      <c r="H36" s="120">
        <v>0</v>
      </c>
      <c r="I36" s="120">
        <v>0</v>
      </c>
      <c r="J36" s="120">
        <v>0</v>
      </c>
      <c r="K36" s="120">
        <v>0</v>
      </c>
      <c r="L36" s="120">
        <v>0</v>
      </c>
      <c r="M36" s="120">
        <v>0</v>
      </c>
      <c r="N36" s="120">
        <v>0</v>
      </c>
      <c r="O36" s="120">
        <v>0</v>
      </c>
      <c r="P36" s="121">
        <v>0</v>
      </c>
      <c r="Q36" s="121">
        <v>0</v>
      </c>
      <c r="R36" s="121">
        <f t="shared" si="0"/>
        <v>8347.5</v>
      </c>
      <c r="S36" s="120"/>
    </row>
    <row r="37" spans="1:19" s="122" customFormat="1" ht="12.75" hidden="1" outlineLevel="1">
      <c r="A37" s="120" t="s">
        <v>1352</v>
      </c>
      <c r="B37" s="121"/>
      <c r="C37" s="121" t="s">
        <v>1353</v>
      </c>
      <c r="D37" s="121" t="s">
        <v>1354</v>
      </c>
      <c r="E37" s="121">
        <v>0</v>
      </c>
      <c r="F37" s="121">
        <v>894397.32</v>
      </c>
      <c r="G37" s="121"/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1">
        <v>0</v>
      </c>
      <c r="Q37" s="121">
        <v>0</v>
      </c>
      <c r="R37" s="121">
        <f t="shared" si="0"/>
        <v>894397.32</v>
      </c>
      <c r="S37" s="120"/>
    </row>
    <row r="38" spans="1:19" s="122" customFormat="1" ht="12.75" hidden="1" outlineLevel="1">
      <c r="A38" s="120" t="s">
        <v>1355</v>
      </c>
      <c r="B38" s="121"/>
      <c r="C38" s="121" t="s">
        <v>1356</v>
      </c>
      <c r="D38" s="121" t="s">
        <v>1357</v>
      </c>
      <c r="E38" s="121">
        <v>1701.68</v>
      </c>
      <c r="F38" s="121">
        <v>1410.45</v>
      </c>
      <c r="G38" s="121"/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1">
        <v>0</v>
      </c>
      <c r="Q38" s="121">
        <v>0</v>
      </c>
      <c r="R38" s="121">
        <f t="shared" si="0"/>
        <v>3112.13</v>
      </c>
      <c r="S38" s="120"/>
    </row>
    <row r="39" spans="1:19" s="122" customFormat="1" ht="12.75" hidden="1" outlineLevel="1">
      <c r="A39" s="120" t="s">
        <v>1358</v>
      </c>
      <c r="B39" s="121"/>
      <c r="C39" s="121" t="s">
        <v>1359</v>
      </c>
      <c r="D39" s="121" t="s">
        <v>1360</v>
      </c>
      <c r="E39" s="121">
        <v>0</v>
      </c>
      <c r="F39" s="121">
        <v>325096.21</v>
      </c>
      <c r="G39" s="121"/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1">
        <v>0</v>
      </c>
      <c r="Q39" s="121">
        <v>0</v>
      </c>
      <c r="R39" s="121">
        <f t="shared" si="0"/>
        <v>325096.21</v>
      </c>
      <c r="S39" s="120"/>
    </row>
    <row r="40" spans="1:19" s="122" customFormat="1" ht="12.75" hidden="1" outlineLevel="1">
      <c r="A40" s="120" t="s">
        <v>1361</v>
      </c>
      <c r="B40" s="121"/>
      <c r="C40" s="121" t="s">
        <v>1362</v>
      </c>
      <c r="D40" s="121" t="s">
        <v>1363</v>
      </c>
      <c r="E40" s="121">
        <v>604.45</v>
      </c>
      <c r="F40" s="121">
        <v>1495895.87</v>
      </c>
      <c r="G40" s="121"/>
      <c r="H40" s="120">
        <v>0</v>
      </c>
      <c r="I40" s="120">
        <v>0</v>
      </c>
      <c r="J40" s="120">
        <v>0</v>
      </c>
      <c r="K40" s="120">
        <v>0</v>
      </c>
      <c r="L40" s="120">
        <v>0</v>
      </c>
      <c r="M40" s="120">
        <v>0</v>
      </c>
      <c r="N40" s="120">
        <v>0</v>
      </c>
      <c r="O40" s="120">
        <v>0</v>
      </c>
      <c r="P40" s="121">
        <v>0</v>
      </c>
      <c r="Q40" s="121">
        <v>0</v>
      </c>
      <c r="R40" s="121">
        <f t="shared" si="0"/>
        <v>1496500.32</v>
      </c>
      <c r="S40" s="120"/>
    </row>
    <row r="41" spans="1:19" s="122" customFormat="1" ht="12.75" hidden="1" outlineLevel="1">
      <c r="A41" s="120" t="s">
        <v>1364</v>
      </c>
      <c r="B41" s="121"/>
      <c r="C41" s="121" t="s">
        <v>1365</v>
      </c>
      <c r="D41" s="121" t="s">
        <v>1366</v>
      </c>
      <c r="E41" s="121">
        <v>38563.67</v>
      </c>
      <c r="F41" s="121">
        <v>0</v>
      </c>
      <c r="G41" s="121"/>
      <c r="H41" s="120">
        <v>0</v>
      </c>
      <c r="I41" s="120">
        <v>0</v>
      </c>
      <c r="J41" s="120">
        <v>0</v>
      </c>
      <c r="K41" s="120">
        <v>0</v>
      </c>
      <c r="L41" s="120">
        <v>0</v>
      </c>
      <c r="M41" s="120">
        <v>0</v>
      </c>
      <c r="N41" s="120">
        <v>0</v>
      </c>
      <c r="O41" s="120">
        <v>0</v>
      </c>
      <c r="P41" s="121">
        <v>0</v>
      </c>
      <c r="Q41" s="121">
        <v>0</v>
      </c>
      <c r="R41" s="121">
        <f t="shared" si="0"/>
        <v>38563.67</v>
      </c>
      <c r="S41" s="120"/>
    </row>
    <row r="42" spans="1:19" s="122" customFormat="1" ht="12.75" hidden="1" outlineLevel="1">
      <c r="A42" s="120" t="s">
        <v>1367</v>
      </c>
      <c r="B42" s="121"/>
      <c r="C42" s="121" t="s">
        <v>1368</v>
      </c>
      <c r="D42" s="121" t="s">
        <v>1369</v>
      </c>
      <c r="E42" s="121">
        <v>-48102.43</v>
      </c>
      <c r="F42" s="121">
        <v>0</v>
      </c>
      <c r="G42" s="121"/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v>0</v>
      </c>
      <c r="N42" s="120">
        <v>0</v>
      </c>
      <c r="O42" s="120">
        <v>105439.9</v>
      </c>
      <c r="P42" s="121">
        <v>105439.9</v>
      </c>
      <c r="Q42" s="121">
        <v>0</v>
      </c>
      <c r="R42" s="121">
        <f aca="true" t="shared" si="1" ref="R42:R73">E42+F42+G42+P42+Q42</f>
        <v>57337.469999999994</v>
      </c>
      <c r="S42" s="120"/>
    </row>
    <row r="43" spans="1:19" s="122" customFormat="1" ht="12.75" hidden="1" outlineLevel="1">
      <c r="A43" s="120" t="s">
        <v>1370</v>
      </c>
      <c r="B43" s="121"/>
      <c r="C43" s="121" t="s">
        <v>1371</v>
      </c>
      <c r="D43" s="121" t="s">
        <v>1372</v>
      </c>
      <c r="E43" s="121">
        <v>101371.85</v>
      </c>
      <c r="F43" s="121">
        <v>-100942.5</v>
      </c>
      <c r="G43" s="121"/>
      <c r="H43" s="120">
        <v>0</v>
      </c>
      <c r="I43" s="120">
        <v>0</v>
      </c>
      <c r="J43" s="120">
        <v>0</v>
      </c>
      <c r="K43" s="120">
        <v>0</v>
      </c>
      <c r="L43" s="120">
        <v>0</v>
      </c>
      <c r="M43" s="120">
        <v>0</v>
      </c>
      <c r="N43" s="120">
        <v>0</v>
      </c>
      <c r="O43" s="120">
        <v>825</v>
      </c>
      <c r="P43" s="121">
        <v>825</v>
      </c>
      <c r="Q43" s="121">
        <v>0</v>
      </c>
      <c r="R43" s="121">
        <f t="shared" si="1"/>
        <v>1254.3500000000058</v>
      </c>
      <c r="S43" s="120"/>
    </row>
    <row r="44" spans="1:19" s="122" customFormat="1" ht="12.75" hidden="1" outlineLevel="1">
      <c r="A44" s="120" t="s">
        <v>1373</v>
      </c>
      <c r="B44" s="121"/>
      <c r="C44" s="121" t="s">
        <v>1374</v>
      </c>
      <c r="D44" s="121" t="s">
        <v>1375</v>
      </c>
      <c r="E44" s="121">
        <v>630652.29</v>
      </c>
      <c r="F44" s="121">
        <v>0</v>
      </c>
      <c r="G44" s="121"/>
      <c r="H44" s="120">
        <v>0</v>
      </c>
      <c r="I44" s="120">
        <v>0</v>
      </c>
      <c r="J44" s="120">
        <v>0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1">
        <v>0</v>
      </c>
      <c r="Q44" s="121">
        <v>0</v>
      </c>
      <c r="R44" s="121">
        <f t="shared" si="1"/>
        <v>630652.29</v>
      </c>
      <c r="S44" s="120"/>
    </row>
    <row r="45" spans="1:19" s="122" customFormat="1" ht="12.75" hidden="1" outlineLevel="1">
      <c r="A45" s="120" t="s">
        <v>1376</v>
      </c>
      <c r="B45" s="121"/>
      <c r="C45" s="121" t="s">
        <v>1377</v>
      </c>
      <c r="D45" s="121" t="s">
        <v>1378</v>
      </c>
      <c r="E45" s="121">
        <v>282325.22</v>
      </c>
      <c r="F45" s="121">
        <v>0</v>
      </c>
      <c r="G45" s="121"/>
      <c r="H45" s="120">
        <v>0</v>
      </c>
      <c r="I45" s="120">
        <v>0</v>
      </c>
      <c r="J45" s="120">
        <v>0</v>
      </c>
      <c r="K45" s="120">
        <v>0</v>
      </c>
      <c r="L45" s="120">
        <v>0</v>
      </c>
      <c r="M45" s="120">
        <v>0</v>
      </c>
      <c r="N45" s="120">
        <v>0</v>
      </c>
      <c r="O45" s="120">
        <v>1650</v>
      </c>
      <c r="P45" s="121">
        <v>1650</v>
      </c>
      <c r="Q45" s="121">
        <v>0</v>
      </c>
      <c r="R45" s="121">
        <f t="shared" si="1"/>
        <v>283975.22</v>
      </c>
      <c r="S45" s="120"/>
    </row>
    <row r="46" spans="1:19" s="122" customFormat="1" ht="12.75" hidden="1" outlineLevel="1">
      <c r="A46" s="120" t="s">
        <v>1379</v>
      </c>
      <c r="B46" s="121"/>
      <c r="C46" s="121" t="s">
        <v>1380</v>
      </c>
      <c r="D46" s="121" t="s">
        <v>1381</v>
      </c>
      <c r="E46" s="121">
        <v>354100.16</v>
      </c>
      <c r="F46" s="121">
        <v>0</v>
      </c>
      <c r="G46" s="121"/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0</v>
      </c>
      <c r="N46" s="120">
        <v>0</v>
      </c>
      <c r="O46" s="120">
        <v>15</v>
      </c>
      <c r="P46" s="121">
        <v>15</v>
      </c>
      <c r="Q46" s="121">
        <v>0</v>
      </c>
      <c r="R46" s="121">
        <f t="shared" si="1"/>
        <v>354115.16</v>
      </c>
      <c r="S46" s="120"/>
    </row>
    <row r="47" spans="1:19" s="122" customFormat="1" ht="12.75" hidden="1" outlineLevel="1">
      <c r="A47" s="120" t="s">
        <v>1382</v>
      </c>
      <c r="B47" s="121"/>
      <c r="C47" s="121" t="s">
        <v>1383</v>
      </c>
      <c r="D47" s="121" t="s">
        <v>1384</v>
      </c>
      <c r="E47" s="121">
        <v>236330.51</v>
      </c>
      <c r="F47" s="121">
        <v>0</v>
      </c>
      <c r="G47" s="121"/>
      <c r="H47" s="120">
        <v>0</v>
      </c>
      <c r="I47" s="120">
        <v>0</v>
      </c>
      <c r="J47" s="120">
        <v>0</v>
      </c>
      <c r="K47" s="120">
        <v>0</v>
      </c>
      <c r="L47" s="120">
        <v>0</v>
      </c>
      <c r="M47" s="120">
        <v>0</v>
      </c>
      <c r="N47" s="120">
        <v>0</v>
      </c>
      <c r="O47" s="120">
        <v>3755</v>
      </c>
      <c r="P47" s="121">
        <v>3755</v>
      </c>
      <c r="Q47" s="121">
        <v>0</v>
      </c>
      <c r="R47" s="121">
        <f t="shared" si="1"/>
        <v>240085.51</v>
      </c>
      <c r="S47" s="120"/>
    </row>
    <row r="48" spans="1:19" s="122" customFormat="1" ht="12.75" hidden="1" outlineLevel="1">
      <c r="A48" s="120" t="s">
        <v>1385</v>
      </c>
      <c r="B48" s="121"/>
      <c r="C48" s="121" t="s">
        <v>1386</v>
      </c>
      <c r="D48" s="121" t="s">
        <v>1387</v>
      </c>
      <c r="E48" s="121">
        <v>291</v>
      </c>
      <c r="F48" s="121">
        <v>0</v>
      </c>
      <c r="G48" s="121"/>
      <c r="H48" s="120">
        <v>0</v>
      </c>
      <c r="I48" s="120">
        <v>0</v>
      </c>
      <c r="J48" s="120">
        <v>0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1">
        <v>0</v>
      </c>
      <c r="Q48" s="121">
        <v>0</v>
      </c>
      <c r="R48" s="121">
        <f t="shared" si="1"/>
        <v>291</v>
      </c>
      <c r="S48" s="120"/>
    </row>
    <row r="49" spans="1:19" s="122" customFormat="1" ht="12.75" hidden="1" outlineLevel="1">
      <c r="A49" s="120" t="s">
        <v>1388</v>
      </c>
      <c r="B49" s="121"/>
      <c r="C49" s="121" t="s">
        <v>1389</v>
      </c>
      <c r="D49" s="121" t="s">
        <v>1390</v>
      </c>
      <c r="E49" s="121">
        <v>148360.41</v>
      </c>
      <c r="F49" s="121">
        <v>0</v>
      </c>
      <c r="G49" s="121"/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1">
        <v>0</v>
      </c>
      <c r="Q49" s="121">
        <v>0</v>
      </c>
      <c r="R49" s="121">
        <f t="shared" si="1"/>
        <v>148360.41</v>
      </c>
      <c r="S49" s="120"/>
    </row>
    <row r="50" spans="1:19" s="122" customFormat="1" ht="12.75" hidden="1" outlineLevel="1">
      <c r="A50" s="120" t="s">
        <v>1391</v>
      </c>
      <c r="B50" s="121"/>
      <c r="C50" s="121" t="s">
        <v>1392</v>
      </c>
      <c r="D50" s="121" t="s">
        <v>1393</v>
      </c>
      <c r="E50" s="121">
        <v>1573840.77</v>
      </c>
      <c r="F50" s="121">
        <v>0</v>
      </c>
      <c r="G50" s="121"/>
      <c r="H50" s="120">
        <v>0</v>
      </c>
      <c r="I50" s="120">
        <v>0</v>
      </c>
      <c r="J50" s="120">
        <v>0</v>
      </c>
      <c r="K50" s="120">
        <v>0</v>
      </c>
      <c r="L50" s="120">
        <v>0</v>
      </c>
      <c r="M50" s="120">
        <v>0</v>
      </c>
      <c r="N50" s="120">
        <v>0</v>
      </c>
      <c r="O50" s="120">
        <v>0</v>
      </c>
      <c r="P50" s="121">
        <v>0</v>
      </c>
      <c r="Q50" s="121">
        <v>0</v>
      </c>
      <c r="R50" s="121">
        <f t="shared" si="1"/>
        <v>1573840.77</v>
      </c>
      <c r="S50" s="120"/>
    </row>
    <row r="51" spans="1:19" s="122" customFormat="1" ht="12.75" hidden="1" outlineLevel="1">
      <c r="A51" s="120" t="s">
        <v>1394</v>
      </c>
      <c r="B51" s="121"/>
      <c r="C51" s="121" t="s">
        <v>1395</v>
      </c>
      <c r="D51" s="121" t="s">
        <v>1396</v>
      </c>
      <c r="E51" s="121">
        <v>1336151.7</v>
      </c>
      <c r="F51" s="121">
        <v>0</v>
      </c>
      <c r="G51" s="121"/>
      <c r="H51" s="120">
        <v>0</v>
      </c>
      <c r="I51" s="120">
        <v>0</v>
      </c>
      <c r="J51" s="120">
        <v>0</v>
      </c>
      <c r="K51" s="120">
        <v>0</v>
      </c>
      <c r="L51" s="120">
        <v>0</v>
      </c>
      <c r="M51" s="120">
        <v>0</v>
      </c>
      <c r="N51" s="120">
        <v>0</v>
      </c>
      <c r="O51" s="120">
        <v>0</v>
      </c>
      <c r="P51" s="121">
        <v>0</v>
      </c>
      <c r="Q51" s="121">
        <v>0</v>
      </c>
      <c r="R51" s="121">
        <f t="shared" si="1"/>
        <v>1336151.7</v>
      </c>
      <c r="S51" s="120"/>
    </row>
    <row r="52" spans="1:19" s="122" customFormat="1" ht="12.75" hidden="1" outlineLevel="1">
      <c r="A52" s="120" t="s">
        <v>1397</v>
      </c>
      <c r="B52" s="121"/>
      <c r="C52" s="121" t="s">
        <v>1398</v>
      </c>
      <c r="D52" s="121" t="s">
        <v>1399</v>
      </c>
      <c r="E52" s="121">
        <v>4895.76</v>
      </c>
      <c r="F52" s="121">
        <v>0</v>
      </c>
      <c r="G52" s="121"/>
      <c r="H52" s="120">
        <v>0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1">
        <v>0</v>
      </c>
      <c r="Q52" s="121">
        <v>0</v>
      </c>
      <c r="R52" s="121">
        <f t="shared" si="1"/>
        <v>4895.76</v>
      </c>
      <c r="S52" s="120"/>
    </row>
    <row r="53" spans="1:19" s="122" customFormat="1" ht="12.75" hidden="1" outlineLevel="1">
      <c r="A53" s="120" t="s">
        <v>1400</v>
      </c>
      <c r="B53" s="121"/>
      <c r="C53" s="121" t="s">
        <v>1401</v>
      </c>
      <c r="D53" s="121" t="s">
        <v>1402</v>
      </c>
      <c r="E53" s="121">
        <v>-16.95</v>
      </c>
      <c r="F53" s="121">
        <v>0</v>
      </c>
      <c r="G53" s="121"/>
      <c r="H53" s="120">
        <v>0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1">
        <v>0</v>
      </c>
      <c r="Q53" s="121">
        <v>0</v>
      </c>
      <c r="R53" s="121">
        <f t="shared" si="1"/>
        <v>-16.95</v>
      </c>
      <c r="S53" s="120"/>
    </row>
    <row r="54" spans="1:19" s="122" customFormat="1" ht="12.75" hidden="1" outlineLevel="1">
      <c r="A54" s="120" t="s">
        <v>1403</v>
      </c>
      <c r="B54" s="121"/>
      <c r="C54" s="121" t="s">
        <v>1404</v>
      </c>
      <c r="D54" s="121" t="s">
        <v>1405</v>
      </c>
      <c r="E54" s="121">
        <v>527617</v>
      </c>
      <c r="F54" s="121">
        <v>0</v>
      </c>
      <c r="G54" s="121"/>
      <c r="H54" s="120">
        <v>0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1">
        <v>0</v>
      </c>
      <c r="Q54" s="121">
        <v>0</v>
      </c>
      <c r="R54" s="121">
        <f t="shared" si="1"/>
        <v>527617</v>
      </c>
      <c r="S54" s="120"/>
    </row>
    <row r="55" spans="1:19" s="122" customFormat="1" ht="12.75" hidden="1" outlineLevel="1">
      <c r="A55" s="120" t="s">
        <v>1406</v>
      </c>
      <c r="B55" s="121"/>
      <c r="C55" s="121" t="s">
        <v>1407</v>
      </c>
      <c r="D55" s="121" t="s">
        <v>1408</v>
      </c>
      <c r="E55" s="121">
        <v>334393.82</v>
      </c>
      <c r="F55" s="121">
        <v>0</v>
      </c>
      <c r="G55" s="121"/>
      <c r="H55" s="120">
        <v>0</v>
      </c>
      <c r="I55" s="120">
        <v>0</v>
      </c>
      <c r="J55" s="120">
        <v>0</v>
      </c>
      <c r="K55" s="120">
        <v>0</v>
      </c>
      <c r="L55" s="120">
        <v>0</v>
      </c>
      <c r="M55" s="120">
        <v>0</v>
      </c>
      <c r="N55" s="120">
        <v>0</v>
      </c>
      <c r="O55" s="120">
        <v>0</v>
      </c>
      <c r="P55" s="121">
        <v>0</v>
      </c>
      <c r="Q55" s="121">
        <v>0</v>
      </c>
      <c r="R55" s="121">
        <f t="shared" si="1"/>
        <v>334393.82</v>
      </c>
      <c r="S55" s="120"/>
    </row>
    <row r="56" spans="1:19" s="122" customFormat="1" ht="12.75" hidden="1" outlineLevel="1">
      <c r="A56" s="120" t="s">
        <v>1409</v>
      </c>
      <c r="B56" s="121"/>
      <c r="C56" s="121" t="s">
        <v>1410</v>
      </c>
      <c r="D56" s="121" t="s">
        <v>1411</v>
      </c>
      <c r="E56" s="121">
        <v>723139.74</v>
      </c>
      <c r="F56" s="121">
        <v>0</v>
      </c>
      <c r="G56" s="121"/>
      <c r="H56" s="120">
        <v>0</v>
      </c>
      <c r="I56" s="120">
        <v>0</v>
      </c>
      <c r="J56" s="120">
        <v>0</v>
      </c>
      <c r="K56" s="120">
        <v>0</v>
      </c>
      <c r="L56" s="120">
        <v>0</v>
      </c>
      <c r="M56" s="120">
        <v>0</v>
      </c>
      <c r="N56" s="120">
        <v>0</v>
      </c>
      <c r="O56" s="120">
        <v>0</v>
      </c>
      <c r="P56" s="121">
        <v>0</v>
      </c>
      <c r="Q56" s="121">
        <v>0</v>
      </c>
      <c r="R56" s="121">
        <f t="shared" si="1"/>
        <v>723139.74</v>
      </c>
      <c r="S56" s="120"/>
    </row>
    <row r="57" spans="1:19" s="122" customFormat="1" ht="12.75" hidden="1" outlineLevel="1">
      <c r="A57" s="120" t="s">
        <v>1412</v>
      </c>
      <c r="B57" s="121"/>
      <c r="C57" s="121" t="s">
        <v>1413</v>
      </c>
      <c r="D57" s="121" t="s">
        <v>1414</v>
      </c>
      <c r="E57" s="121">
        <v>60354.22</v>
      </c>
      <c r="F57" s="121">
        <v>0</v>
      </c>
      <c r="G57" s="121"/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1">
        <v>0</v>
      </c>
      <c r="Q57" s="121">
        <v>0</v>
      </c>
      <c r="R57" s="121">
        <f t="shared" si="1"/>
        <v>60354.22</v>
      </c>
      <c r="S57" s="120"/>
    </row>
    <row r="58" spans="1:19" s="122" customFormat="1" ht="12.75" hidden="1" outlineLevel="1">
      <c r="A58" s="120" t="s">
        <v>1415</v>
      </c>
      <c r="B58" s="121"/>
      <c r="C58" s="121" t="s">
        <v>1416</v>
      </c>
      <c r="D58" s="121" t="s">
        <v>1417</v>
      </c>
      <c r="E58" s="121">
        <v>-1350.62</v>
      </c>
      <c r="F58" s="121">
        <v>0</v>
      </c>
      <c r="G58" s="121"/>
      <c r="H58" s="120">
        <v>0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1">
        <v>0</v>
      </c>
      <c r="Q58" s="121">
        <v>0</v>
      </c>
      <c r="R58" s="121">
        <f t="shared" si="1"/>
        <v>-1350.62</v>
      </c>
      <c r="S58" s="120"/>
    </row>
    <row r="59" spans="1:19" s="122" customFormat="1" ht="12.75" hidden="1" outlineLevel="1">
      <c r="A59" s="120" t="s">
        <v>1418</v>
      </c>
      <c r="B59" s="121"/>
      <c r="C59" s="121" t="s">
        <v>1419</v>
      </c>
      <c r="D59" s="121" t="s">
        <v>1420</v>
      </c>
      <c r="E59" s="121">
        <v>44733.08</v>
      </c>
      <c r="F59" s="121">
        <v>0</v>
      </c>
      <c r="G59" s="121"/>
      <c r="H59" s="120">
        <v>0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1">
        <v>0</v>
      </c>
      <c r="Q59" s="121">
        <v>0</v>
      </c>
      <c r="R59" s="121">
        <f t="shared" si="1"/>
        <v>44733.08</v>
      </c>
      <c r="S59" s="120"/>
    </row>
    <row r="60" spans="1:19" s="122" customFormat="1" ht="12.75" hidden="1" outlineLevel="1">
      <c r="A60" s="120" t="s">
        <v>1421</v>
      </c>
      <c r="B60" s="121"/>
      <c r="C60" s="121" t="s">
        <v>1422</v>
      </c>
      <c r="D60" s="121" t="s">
        <v>1423</v>
      </c>
      <c r="E60" s="121">
        <v>40468.28</v>
      </c>
      <c r="F60" s="121">
        <v>0</v>
      </c>
      <c r="G60" s="121"/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1">
        <v>0</v>
      </c>
      <c r="Q60" s="121">
        <v>0</v>
      </c>
      <c r="R60" s="121">
        <f t="shared" si="1"/>
        <v>40468.28</v>
      </c>
      <c r="S60" s="120"/>
    </row>
    <row r="61" spans="1:19" s="122" customFormat="1" ht="12.75" hidden="1" outlineLevel="1">
      <c r="A61" s="120" t="s">
        <v>1424</v>
      </c>
      <c r="B61" s="121"/>
      <c r="C61" s="121" t="s">
        <v>1425</v>
      </c>
      <c r="D61" s="121" t="s">
        <v>1426</v>
      </c>
      <c r="E61" s="121">
        <v>351237.04</v>
      </c>
      <c r="F61" s="121">
        <v>0</v>
      </c>
      <c r="G61" s="121"/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20">
        <v>0</v>
      </c>
      <c r="O61" s="120">
        <v>0</v>
      </c>
      <c r="P61" s="121">
        <v>0</v>
      </c>
      <c r="Q61" s="121">
        <v>0</v>
      </c>
      <c r="R61" s="121">
        <f t="shared" si="1"/>
        <v>351237.04</v>
      </c>
      <c r="S61" s="120"/>
    </row>
    <row r="62" spans="1:19" s="122" customFormat="1" ht="12.75" hidden="1" outlineLevel="1">
      <c r="A62" s="120" t="s">
        <v>1427</v>
      </c>
      <c r="B62" s="121"/>
      <c r="C62" s="121" t="s">
        <v>1428</v>
      </c>
      <c r="D62" s="121" t="s">
        <v>1429</v>
      </c>
      <c r="E62" s="121">
        <v>344712.89</v>
      </c>
      <c r="F62" s="121">
        <v>0</v>
      </c>
      <c r="G62" s="121"/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20">
        <v>0</v>
      </c>
      <c r="O62" s="120">
        <v>0</v>
      </c>
      <c r="P62" s="121">
        <v>0</v>
      </c>
      <c r="Q62" s="121">
        <v>0</v>
      </c>
      <c r="R62" s="121">
        <f t="shared" si="1"/>
        <v>344712.89</v>
      </c>
      <c r="S62" s="120"/>
    </row>
    <row r="63" spans="1:19" s="122" customFormat="1" ht="12.75" hidden="1" outlineLevel="1">
      <c r="A63" s="120" t="s">
        <v>1430</v>
      </c>
      <c r="B63" s="121"/>
      <c r="C63" s="121" t="s">
        <v>1431</v>
      </c>
      <c r="D63" s="121" t="s">
        <v>1432</v>
      </c>
      <c r="E63" s="121">
        <v>181496.02</v>
      </c>
      <c r="F63" s="121">
        <v>0</v>
      </c>
      <c r="G63" s="121"/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1">
        <v>0</v>
      </c>
      <c r="Q63" s="121">
        <v>0</v>
      </c>
      <c r="R63" s="121">
        <f t="shared" si="1"/>
        <v>181496.02</v>
      </c>
      <c r="S63" s="120"/>
    </row>
    <row r="64" spans="1:19" s="122" customFormat="1" ht="12.75" hidden="1" outlineLevel="1">
      <c r="A64" s="120" t="s">
        <v>1433</v>
      </c>
      <c r="B64" s="121"/>
      <c r="C64" s="121" t="s">
        <v>1434</v>
      </c>
      <c r="D64" s="121" t="s">
        <v>1435</v>
      </c>
      <c r="E64" s="121">
        <v>331406.65</v>
      </c>
      <c r="F64" s="121">
        <v>0</v>
      </c>
      <c r="G64" s="121"/>
      <c r="H64" s="120">
        <v>0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1">
        <v>0</v>
      </c>
      <c r="Q64" s="121">
        <v>0</v>
      </c>
      <c r="R64" s="121">
        <f t="shared" si="1"/>
        <v>331406.65</v>
      </c>
      <c r="S64" s="120"/>
    </row>
    <row r="65" spans="1:19" s="122" customFormat="1" ht="12.75" hidden="1" outlineLevel="1">
      <c r="A65" s="120" t="s">
        <v>1436</v>
      </c>
      <c r="B65" s="121"/>
      <c r="C65" s="121" t="s">
        <v>1437</v>
      </c>
      <c r="D65" s="121" t="s">
        <v>1438</v>
      </c>
      <c r="E65" s="121">
        <v>314412.78</v>
      </c>
      <c r="F65" s="121">
        <v>0</v>
      </c>
      <c r="G65" s="121"/>
      <c r="H65" s="120">
        <v>0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1">
        <v>0</v>
      </c>
      <c r="Q65" s="121">
        <v>0</v>
      </c>
      <c r="R65" s="121">
        <f t="shared" si="1"/>
        <v>314412.78</v>
      </c>
      <c r="S65" s="120"/>
    </row>
    <row r="66" spans="1:19" s="122" customFormat="1" ht="12.75" hidden="1" outlineLevel="1">
      <c r="A66" s="120" t="s">
        <v>1439</v>
      </c>
      <c r="B66" s="121"/>
      <c r="C66" s="121" t="s">
        <v>1440</v>
      </c>
      <c r="D66" s="121" t="s">
        <v>1441</v>
      </c>
      <c r="E66" s="121">
        <v>171068.33</v>
      </c>
      <c r="F66" s="121">
        <v>0</v>
      </c>
      <c r="G66" s="121"/>
      <c r="H66" s="120">
        <v>0</v>
      </c>
      <c r="I66" s="120">
        <v>0</v>
      </c>
      <c r="J66" s="120">
        <v>0</v>
      </c>
      <c r="K66" s="120">
        <v>0</v>
      </c>
      <c r="L66" s="120">
        <v>0</v>
      </c>
      <c r="M66" s="120">
        <v>0</v>
      </c>
      <c r="N66" s="120">
        <v>0</v>
      </c>
      <c r="O66" s="120">
        <v>0</v>
      </c>
      <c r="P66" s="121">
        <v>0</v>
      </c>
      <c r="Q66" s="121">
        <v>0</v>
      </c>
      <c r="R66" s="121">
        <f t="shared" si="1"/>
        <v>171068.33</v>
      </c>
      <c r="S66" s="120"/>
    </row>
    <row r="67" spans="1:19" s="122" customFormat="1" ht="12.75" hidden="1" outlineLevel="1">
      <c r="A67" s="120" t="s">
        <v>1442</v>
      </c>
      <c r="B67" s="121"/>
      <c r="C67" s="121" t="s">
        <v>1443</v>
      </c>
      <c r="D67" s="121" t="s">
        <v>1444</v>
      </c>
      <c r="E67" s="121">
        <v>-0.23</v>
      </c>
      <c r="F67" s="121">
        <v>0</v>
      </c>
      <c r="G67" s="121"/>
      <c r="H67" s="120">
        <v>0</v>
      </c>
      <c r="I67" s="120">
        <v>0</v>
      </c>
      <c r="J67" s="120">
        <v>0</v>
      </c>
      <c r="K67" s="120">
        <v>0</v>
      </c>
      <c r="L67" s="120">
        <v>0</v>
      </c>
      <c r="M67" s="120">
        <v>0</v>
      </c>
      <c r="N67" s="120">
        <v>0</v>
      </c>
      <c r="O67" s="120">
        <v>0</v>
      </c>
      <c r="P67" s="121">
        <v>0</v>
      </c>
      <c r="Q67" s="121">
        <v>0</v>
      </c>
      <c r="R67" s="121">
        <f t="shared" si="1"/>
        <v>-0.23</v>
      </c>
      <c r="S67" s="120"/>
    </row>
    <row r="68" spans="1:19" s="122" customFormat="1" ht="12.75" hidden="1" outlineLevel="1">
      <c r="A68" s="120" t="s">
        <v>1445</v>
      </c>
      <c r="B68" s="121"/>
      <c r="C68" s="121" t="s">
        <v>1446</v>
      </c>
      <c r="D68" s="121" t="s">
        <v>1447</v>
      </c>
      <c r="E68" s="121">
        <v>24.96</v>
      </c>
      <c r="F68" s="121">
        <v>0</v>
      </c>
      <c r="G68" s="121"/>
      <c r="H68" s="120">
        <v>0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1">
        <v>0</v>
      </c>
      <c r="Q68" s="121">
        <v>0</v>
      </c>
      <c r="R68" s="121">
        <f t="shared" si="1"/>
        <v>24.96</v>
      </c>
      <c r="S68" s="120"/>
    </row>
    <row r="69" spans="1:44" s="152" customFormat="1" ht="12.75" customHeight="1" collapsed="1">
      <c r="A69" s="148" t="s">
        <v>1448</v>
      </c>
      <c r="B69" s="148"/>
      <c r="C69" s="150" t="s">
        <v>1449</v>
      </c>
      <c r="D69" s="157"/>
      <c r="E69" s="158">
        <v>110699799.21</v>
      </c>
      <c r="F69" s="158">
        <v>8919192.61</v>
      </c>
      <c r="G69" s="158">
        <v>0</v>
      </c>
      <c r="H69" s="148">
        <v>0</v>
      </c>
      <c r="I69" s="148">
        <v>0</v>
      </c>
      <c r="J69" s="148">
        <v>0</v>
      </c>
      <c r="K69" s="148">
        <v>0</v>
      </c>
      <c r="L69" s="148">
        <v>0</v>
      </c>
      <c r="M69" s="148">
        <v>0</v>
      </c>
      <c r="N69" s="148">
        <v>0</v>
      </c>
      <c r="O69" s="148">
        <v>111684.9</v>
      </c>
      <c r="P69" s="158">
        <v>111684.9</v>
      </c>
      <c r="Q69" s="158">
        <v>0</v>
      </c>
      <c r="R69" s="158">
        <f t="shared" si="1"/>
        <v>119730676.72</v>
      </c>
      <c r="S69" s="150"/>
      <c r="T69" s="151"/>
      <c r="U69" s="151"/>
      <c r="V69" s="151"/>
      <c r="W69" s="151"/>
      <c r="X69" s="151"/>
      <c r="Y69" s="151"/>
      <c r="Z69" s="151"/>
      <c r="AA69" s="151"/>
      <c r="AB69" s="151"/>
      <c r="AC69" s="151"/>
      <c r="AD69" s="151"/>
      <c r="AE69" s="151"/>
      <c r="AF69" s="151"/>
      <c r="AG69" s="151"/>
      <c r="AH69" s="151"/>
      <c r="AI69" s="151"/>
      <c r="AJ69" s="151"/>
      <c r="AK69" s="151"/>
      <c r="AL69" s="151"/>
      <c r="AM69" s="151"/>
      <c r="AN69" s="151"/>
      <c r="AO69" s="151"/>
      <c r="AP69" s="151"/>
      <c r="AQ69" s="151"/>
      <c r="AR69" s="151"/>
    </row>
    <row r="70" spans="1:19" s="122" customFormat="1" ht="12.75" hidden="1" outlineLevel="1">
      <c r="A70" s="120" t="s">
        <v>1450</v>
      </c>
      <c r="B70" s="121"/>
      <c r="C70" s="121" t="s">
        <v>1451</v>
      </c>
      <c r="D70" s="121" t="s">
        <v>1452</v>
      </c>
      <c r="E70" s="121">
        <v>294034.03</v>
      </c>
      <c r="F70" s="121">
        <v>0</v>
      </c>
      <c r="G70" s="121"/>
      <c r="H70" s="120">
        <v>0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1">
        <v>0</v>
      </c>
      <c r="Q70" s="121">
        <v>0</v>
      </c>
      <c r="R70" s="121">
        <f t="shared" si="1"/>
        <v>294034.03</v>
      </c>
      <c r="S70" s="120"/>
    </row>
    <row r="71" spans="1:19" s="122" customFormat="1" ht="12.75" hidden="1" outlineLevel="1">
      <c r="A71" s="120" t="s">
        <v>1453</v>
      </c>
      <c r="B71" s="121"/>
      <c r="C71" s="121" t="s">
        <v>1454</v>
      </c>
      <c r="D71" s="121" t="s">
        <v>1455</v>
      </c>
      <c r="E71" s="121">
        <v>1320645.68</v>
      </c>
      <c r="F71" s="121">
        <v>1809.88</v>
      </c>
      <c r="G71" s="121"/>
      <c r="H71" s="120">
        <v>0</v>
      </c>
      <c r="I71" s="120">
        <v>0</v>
      </c>
      <c r="J71" s="120">
        <v>0</v>
      </c>
      <c r="K71" s="120">
        <v>0</v>
      </c>
      <c r="L71" s="120">
        <v>0</v>
      </c>
      <c r="M71" s="120">
        <v>0</v>
      </c>
      <c r="N71" s="120">
        <v>0</v>
      </c>
      <c r="O71" s="120">
        <v>0</v>
      </c>
      <c r="P71" s="121">
        <v>0</v>
      </c>
      <c r="Q71" s="121">
        <v>0</v>
      </c>
      <c r="R71" s="121">
        <f t="shared" si="1"/>
        <v>1322455.5599999998</v>
      </c>
      <c r="S71" s="120"/>
    </row>
    <row r="72" spans="1:19" s="122" customFormat="1" ht="12.75" hidden="1" outlineLevel="1">
      <c r="A72" s="120" t="s">
        <v>1456</v>
      </c>
      <c r="B72" s="121"/>
      <c r="C72" s="121" t="s">
        <v>1457</v>
      </c>
      <c r="D72" s="121" t="s">
        <v>1458</v>
      </c>
      <c r="E72" s="121">
        <v>478966.42</v>
      </c>
      <c r="F72" s="121">
        <v>0</v>
      </c>
      <c r="G72" s="121"/>
      <c r="H72" s="120">
        <v>0</v>
      </c>
      <c r="I72" s="120">
        <v>0</v>
      </c>
      <c r="J72" s="120">
        <v>0</v>
      </c>
      <c r="K72" s="120">
        <v>0</v>
      </c>
      <c r="L72" s="120">
        <v>0</v>
      </c>
      <c r="M72" s="120">
        <v>0</v>
      </c>
      <c r="N72" s="120">
        <v>0</v>
      </c>
      <c r="O72" s="120">
        <v>0</v>
      </c>
      <c r="P72" s="121">
        <v>0</v>
      </c>
      <c r="Q72" s="121">
        <v>0</v>
      </c>
      <c r="R72" s="121">
        <f t="shared" si="1"/>
        <v>478966.42</v>
      </c>
      <c r="S72" s="120"/>
    </row>
    <row r="73" spans="1:19" s="122" customFormat="1" ht="12.75" hidden="1" outlineLevel="1">
      <c r="A73" s="120" t="s">
        <v>1459</v>
      </c>
      <c r="B73" s="121"/>
      <c r="C73" s="121" t="s">
        <v>1460</v>
      </c>
      <c r="D73" s="121" t="s">
        <v>1461</v>
      </c>
      <c r="E73" s="121">
        <v>1126991</v>
      </c>
      <c r="F73" s="121">
        <v>1884.4</v>
      </c>
      <c r="G73" s="121"/>
      <c r="H73" s="120">
        <v>0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1">
        <v>0</v>
      </c>
      <c r="Q73" s="121">
        <v>0</v>
      </c>
      <c r="R73" s="121">
        <f t="shared" si="1"/>
        <v>1128875.4</v>
      </c>
      <c r="S73" s="120"/>
    </row>
    <row r="74" spans="1:19" s="122" customFormat="1" ht="12.75" hidden="1" outlineLevel="1">
      <c r="A74" s="120" t="s">
        <v>1462</v>
      </c>
      <c r="B74" s="121"/>
      <c r="C74" s="121" t="s">
        <v>1463</v>
      </c>
      <c r="D74" s="121" t="s">
        <v>1464</v>
      </c>
      <c r="E74" s="121">
        <v>2556331.71</v>
      </c>
      <c r="F74" s="121">
        <v>0</v>
      </c>
      <c r="G74" s="121"/>
      <c r="H74" s="120">
        <v>0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1">
        <v>0</v>
      </c>
      <c r="Q74" s="121">
        <v>0</v>
      </c>
      <c r="R74" s="121">
        <f aca="true" t="shared" si="2" ref="R74:R83">E74+F74+G74+P74+Q74</f>
        <v>2556331.71</v>
      </c>
      <c r="S74" s="120"/>
    </row>
    <row r="75" spans="1:19" s="122" customFormat="1" ht="12.75" hidden="1" outlineLevel="1">
      <c r="A75" s="120" t="s">
        <v>1465</v>
      </c>
      <c r="B75" s="121"/>
      <c r="C75" s="121" t="s">
        <v>1466</v>
      </c>
      <c r="D75" s="121" t="s">
        <v>1467</v>
      </c>
      <c r="E75" s="121">
        <v>36954.27</v>
      </c>
      <c r="F75" s="121">
        <v>0</v>
      </c>
      <c r="G75" s="121"/>
      <c r="H75" s="120">
        <v>0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1">
        <v>0</v>
      </c>
      <c r="Q75" s="121">
        <v>0</v>
      </c>
      <c r="R75" s="121">
        <f t="shared" si="2"/>
        <v>36954.27</v>
      </c>
      <c r="S75" s="120"/>
    </row>
    <row r="76" spans="1:19" s="122" customFormat="1" ht="12.75" hidden="1" outlineLevel="1">
      <c r="A76" s="120" t="s">
        <v>1468</v>
      </c>
      <c r="B76" s="121"/>
      <c r="C76" s="121" t="s">
        <v>1469</v>
      </c>
      <c r="D76" s="121" t="s">
        <v>1470</v>
      </c>
      <c r="E76" s="121">
        <v>121168.22</v>
      </c>
      <c r="F76" s="121">
        <v>0</v>
      </c>
      <c r="G76" s="121"/>
      <c r="H76" s="120">
        <v>0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1">
        <v>0</v>
      </c>
      <c r="Q76" s="121">
        <v>0</v>
      </c>
      <c r="R76" s="121">
        <f t="shared" si="2"/>
        <v>121168.22</v>
      </c>
      <c r="S76" s="120"/>
    </row>
    <row r="77" spans="1:19" s="122" customFormat="1" ht="12.75" hidden="1" outlineLevel="1">
      <c r="A77" s="120" t="s">
        <v>1471</v>
      </c>
      <c r="B77" s="121"/>
      <c r="C77" s="121" t="s">
        <v>1472</v>
      </c>
      <c r="D77" s="121" t="s">
        <v>1473</v>
      </c>
      <c r="E77" s="121">
        <v>3520792.28</v>
      </c>
      <c r="F77" s="121">
        <v>107778.34</v>
      </c>
      <c r="G77" s="121"/>
      <c r="H77" s="120">
        <v>0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1">
        <v>0</v>
      </c>
      <c r="Q77" s="121">
        <v>0</v>
      </c>
      <c r="R77" s="121">
        <f t="shared" si="2"/>
        <v>3628570.6199999996</v>
      </c>
      <c r="S77" s="120"/>
    </row>
    <row r="78" spans="1:19" s="122" customFormat="1" ht="12.75" hidden="1" outlineLevel="1">
      <c r="A78" s="120" t="s">
        <v>1474</v>
      </c>
      <c r="B78" s="121"/>
      <c r="C78" s="121" t="s">
        <v>1475</v>
      </c>
      <c r="D78" s="121" t="s">
        <v>1476</v>
      </c>
      <c r="E78" s="121">
        <v>5453582.52</v>
      </c>
      <c r="F78" s="121">
        <v>2110.94</v>
      </c>
      <c r="G78" s="121"/>
      <c r="H78" s="120">
        <v>0</v>
      </c>
      <c r="I78" s="120">
        <v>0</v>
      </c>
      <c r="J78" s="120">
        <v>0</v>
      </c>
      <c r="K78" s="120">
        <v>0</v>
      </c>
      <c r="L78" s="120">
        <v>0</v>
      </c>
      <c r="M78" s="120">
        <v>0</v>
      </c>
      <c r="N78" s="120">
        <v>0</v>
      </c>
      <c r="O78" s="120">
        <v>0</v>
      </c>
      <c r="P78" s="121">
        <v>0</v>
      </c>
      <c r="Q78" s="121">
        <v>0</v>
      </c>
      <c r="R78" s="121">
        <f t="shared" si="2"/>
        <v>5455693.46</v>
      </c>
      <c r="S78" s="120"/>
    </row>
    <row r="79" spans="1:19" s="122" customFormat="1" ht="12.75" hidden="1" outlineLevel="1">
      <c r="A79" s="120" t="s">
        <v>1477</v>
      </c>
      <c r="B79" s="121"/>
      <c r="C79" s="121" t="s">
        <v>1478</v>
      </c>
      <c r="D79" s="121" t="s">
        <v>1479</v>
      </c>
      <c r="E79" s="121">
        <v>363708.88</v>
      </c>
      <c r="F79" s="121">
        <v>49860.66</v>
      </c>
      <c r="G79" s="121"/>
      <c r="H79" s="120">
        <v>0</v>
      </c>
      <c r="I79" s="120">
        <v>0</v>
      </c>
      <c r="J79" s="120">
        <v>0</v>
      </c>
      <c r="K79" s="120">
        <v>0</v>
      </c>
      <c r="L79" s="120">
        <v>0</v>
      </c>
      <c r="M79" s="120">
        <v>0</v>
      </c>
      <c r="N79" s="120">
        <v>0</v>
      </c>
      <c r="O79" s="120">
        <v>0</v>
      </c>
      <c r="P79" s="121">
        <v>0</v>
      </c>
      <c r="Q79" s="121">
        <v>0</v>
      </c>
      <c r="R79" s="121">
        <f t="shared" si="2"/>
        <v>413569.54000000004</v>
      </c>
      <c r="S79" s="120"/>
    </row>
    <row r="80" spans="1:19" s="122" customFormat="1" ht="12.75" hidden="1" outlineLevel="1">
      <c r="A80" s="120" t="s">
        <v>1480</v>
      </c>
      <c r="B80" s="121"/>
      <c r="C80" s="121" t="s">
        <v>1481</v>
      </c>
      <c r="D80" s="121" t="s">
        <v>1482</v>
      </c>
      <c r="E80" s="121">
        <v>10702813.6</v>
      </c>
      <c r="F80" s="121">
        <v>676.57</v>
      </c>
      <c r="G80" s="121"/>
      <c r="H80" s="120">
        <v>0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1">
        <v>0</v>
      </c>
      <c r="Q80" s="121">
        <v>0</v>
      </c>
      <c r="R80" s="121">
        <f t="shared" si="2"/>
        <v>10703490.17</v>
      </c>
      <c r="S80" s="120"/>
    </row>
    <row r="81" spans="1:19" s="122" customFormat="1" ht="12.75" hidden="1" outlineLevel="1">
      <c r="A81" s="120" t="s">
        <v>1483</v>
      </c>
      <c r="B81" s="121"/>
      <c r="C81" s="121" t="s">
        <v>1484</v>
      </c>
      <c r="D81" s="121" t="s">
        <v>1485</v>
      </c>
      <c r="E81" s="121">
        <v>290505</v>
      </c>
      <c r="F81" s="121">
        <v>0</v>
      </c>
      <c r="G81" s="121"/>
      <c r="H81" s="120">
        <v>0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1">
        <v>0</v>
      </c>
      <c r="Q81" s="121">
        <v>0</v>
      </c>
      <c r="R81" s="121">
        <f t="shared" si="2"/>
        <v>290505</v>
      </c>
      <c r="S81" s="120"/>
    </row>
    <row r="82" spans="1:19" s="122" customFormat="1" ht="12.75" hidden="1" outlineLevel="1">
      <c r="A82" s="120" t="s">
        <v>1486</v>
      </c>
      <c r="B82" s="121"/>
      <c r="C82" s="121" t="s">
        <v>1487</v>
      </c>
      <c r="D82" s="121" t="s">
        <v>1488</v>
      </c>
      <c r="E82" s="121">
        <v>-5530000</v>
      </c>
      <c r="F82" s="121">
        <v>0</v>
      </c>
      <c r="G82" s="121"/>
      <c r="H82" s="120">
        <v>0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1">
        <v>0</v>
      </c>
      <c r="Q82" s="121">
        <v>0</v>
      </c>
      <c r="R82" s="121">
        <f t="shared" si="2"/>
        <v>-5530000</v>
      </c>
      <c r="S82" s="120"/>
    </row>
    <row r="83" spans="1:44" s="152" customFormat="1" ht="12.75" customHeight="1" collapsed="1">
      <c r="A83" s="148" t="s">
        <v>1489</v>
      </c>
      <c r="B83" s="148"/>
      <c r="C83" s="150" t="s">
        <v>3843</v>
      </c>
      <c r="D83" s="157"/>
      <c r="E83" s="117">
        <v>20736493.61</v>
      </c>
      <c r="F83" s="117">
        <v>164120.79</v>
      </c>
      <c r="G83" s="117">
        <v>0</v>
      </c>
      <c r="H83" s="148">
        <v>0</v>
      </c>
      <c r="I83" s="148">
        <v>0</v>
      </c>
      <c r="J83" s="148">
        <v>0</v>
      </c>
      <c r="K83" s="148">
        <v>0</v>
      </c>
      <c r="L83" s="148">
        <v>0</v>
      </c>
      <c r="M83" s="148">
        <v>0</v>
      </c>
      <c r="N83" s="148">
        <v>0</v>
      </c>
      <c r="O83" s="148">
        <v>0</v>
      </c>
      <c r="P83" s="117">
        <v>0</v>
      </c>
      <c r="Q83" s="117">
        <v>0</v>
      </c>
      <c r="R83" s="117">
        <f t="shared" si="2"/>
        <v>20900614.4</v>
      </c>
      <c r="S83" s="150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</row>
    <row r="84" spans="1:44" s="164" customFormat="1" ht="12.75" customHeight="1">
      <c r="A84" s="159" t="s">
        <v>3785</v>
      </c>
      <c r="B84" s="160"/>
      <c r="C84" s="161" t="s">
        <v>1490</v>
      </c>
      <c r="D84" s="72"/>
      <c r="E84" s="101">
        <f aca="true" t="shared" si="3" ref="E84:R84">E69-E83</f>
        <v>89963305.6</v>
      </c>
      <c r="F84" s="101">
        <f t="shared" si="3"/>
        <v>8755071.82</v>
      </c>
      <c r="G84" s="101">
        <f t="shared" si="3"/>
        <v>0</v>
      </c>
      <c r="H84" s="159">
        <f t="shared" si="3"/>
        <v>0</v>
      </c>
      <c r="I84" s="159">
        <f t="shared" si="3"/>
        <v>0</v>
      </c>
      <c r="J84" s="159">
        <f t="shared" si="3"/>
        <v>0</v>
      </c>
      <c r="K84" s="159">
        <f t="shared" si="3"/>
        <v>0</v>
      </c>
      <c r="L84" s="159">
        <f t="shared" si="3"/>
        <v>0</v>
      </c>
      <c r="M84" s="159">
        <f t="shared" si="3"/>
        <v>0</v>
      </c>
      <c r="N84" s="159">
        <f t="shared" si="3"/>
        <v>0</v>
      </c>
      <c r="O84" s="159">
        <f t="shared" si="3"/>
        <v>111684.9</v>
      </c>
      <c r="P84" s="101">
        <f t="shared" si="3"/>
        <v>111684.9</v>
      </c>
      <c r="Q84" s="101">
        <f t="shared" si="3"/>
        <v>0</v>
      </c>
      <c r="R84" s="101">
        <f t="shared" si="3"/>
        <v>98830062.32</v>
      </c>
      <c r="S84" s="162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3"/>
      <c r="AE84" s="163"/>
      <c r="AF84" s="163"/>
      <c r="AG84" s="163"/>
      <c r="AH84" s="163"/>
      <c r="AI84" s="163"/>
      <c r="AJ84" s="163"/>
      <c r="AK84" s="163"/>
      <c r="AL84" s="163"/>
      <c r="AM84" s="163"/>
      <c r="AN84" s="163"/>
      <c r="AO84" s="163"/>
      <c r="AP84" s="163"/>
      <c r="AQ84" s="163"/>
      <c r="AR84" s="163"/>
    </row>
    <row r="85" spans="1:44" s="152" customFormat="1" ht="12.75" customHeight="1">
      <c r="A85" s="148"/>
      <c r="B85" s="148"/>
      <c r="C85" s="150"/>
      <c r="D85" s="157"/>
      <c r="E85" s="117"/>
      <c r="F85" s="117"/>
      <c r="G85" s="117"/>
      <c r="H85" s="148"/>
      <c r="I85" s="148"/>
      <c r="J85" s="148"/>
      <c r="K85" s="148"/>
      <c r="L85" s="148"/>
      <c r="M85" s="148"/>
      <c r="N85" s="148"/>
      <c r="O85" s="148"/>
      <c r="P85" s="117"/>
      <c r="Q85" s="117"/>
      <c r="R85" s="117"/>
      <c r="S85" s="150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</row>
    <row r="86" spans="1:44" s="152" customFormat="1" ht="12.75" customHeight="1">
      <c r="A86" s="148" t="s">
        <v>1491</v>
      </c>
      <c r="B86" s="148"/>
      <c r="C86" s="150" t="s">
        <v>3817</v>
      </c>
      <c r="D86" s="157"/>
      <c r="E86" s="117">
        <v>0</v>
      </c>
      <c r="F86" s="117">
        <v>0</v>
      </c>
      <c r="G86" s="117">
        <v>0</v>
      </c>
      <c r="H86" s="148">
        <v>0</v>
      </c>
      <c r="I86" s="148">
        <v>0</v>
      </c>
      <c r="J86" s="148">
        <v>0</v>
      </c>
      <c r="K86" s="148">
        <v>0</v>
      </c>
      <c r="L86" s="148">
        <v>0</v>
      </c>
      <c r="M86" s="148">
        <v>0</v>
      </c>
      <c r="N86" s="148">
        <v>0</v>
      </c>
      <c r="O86" s="148">
        <v>0</v>
      </c>
      <c r="P86" s="117">
        <v>0</v>
      </c>
      <c r="Q86" s="117">
        <v>0</v>
      </c>
      <c r="R86" s="117">
        <f aca="true" t="shared" si="4" ref="R86:R102">E86+F86+G86+P86+Q86</f>
        <v>0</v>
      </c>
      <c r="S86" s="150"/>
      <c r="T86" s="151"/>
      <c r="U86" s="151"/>
      <c r="V86" s="151"/>
      <c r="W86" s="151"/>
      <c r="X86" s="151"/>
      <c r="Y86" s="151"/>
      <c r="Z86" s="151"/>
      <c r="AA86" s="151"/>
      <c r="AB86" s="151"/>
      <c r="AC86" s="151"/>
      <c r="AD86" s="151"/>
      <c r="AE86" s="151"/>
      <c r="AF86" s="151"/>
      <c r="AG86" s="151"/>
      <c r="AH86" s="151"/>
      <c r="AI86" s="151"/>
      <c r="AJ86" s="151"/>
      <c r="AK86" s="151"/>
      <c r="AL86" s="151"/>
      <c r="AM86" s="151"/>
      <c r="AN86" s="151"/>
      <c r="AO86" s="151"/>
      <c r="AP86" s="151"/>
      <c r="AQ86" s="151"/>
      <c r="AR86" s="151"/>
    </row>
    <row r="87" spans="1:19" s="122" customFormat="1" ht="12.75" hidden="1" outlineLevel="1">
      <c r="A87" s="120" t="s">
        <v>1492</v>
      </c>
      <c r="B87" s="121"/>
      <c r="C87" s="121" t="s">
        <v>1493</v>
      </c>
      <c r="D87" s="121" t="s">
        <v>1494</v>
      </c>
      <c r="E87" s="121">
        <v>119</v>
      </c>
      <c r="F87" s="121">
        <v>0</v>
      </c>
      <c r="G87" s="121"/>
      <c r="H87" s="120">
        <v>0</v>
      </c>
      <c r="I87" s="120">
        <v>0</v>
      </c>
      <c r="J87" s="120">
        <v>0</v>
      </c>
      <c r="K87" s="120">
        <v>0</v>
      </c>
      <c r="L87" s="120">
        <v>0</v>
      </c>
      <c r="M87" s="120">
        <v>0</v>
      </c>
      <c r="N87" s="120">
        <v>0</v>
      </c>
      <c r="O87" s="120">
        <v>0</v>
      </c>
      <c r="P87" s="121">
        <v>0</v>
      </c>
      <c r="Q87" s="121">
        <v>0</v>
      </c>
      <c r="R87" s="121">
        <f t="shared" si="4"/>
        <v>119</v>
      </c>
      <c r="S87" s="120"/>
    </row>
    <row r="88" spans="1:44" s="152" customFormat="1" ht="12.75" customHeight="1" collapsed="1">
      <c r="A88" s="148" t="s">
        <v>1495</v>
      </c>
      <c r="B88" s="148"/>
      <c r="C88" s="150" t="s">
        <v>3818</v>
      </c>
      <c r="D88" s="157"/>
      <c r="E88" s="117">
        <v>119</v>
      </c>
      <c r="F88" s="117">
        <v>0</v>
      </c>
      <c r="G88" s="117">
        <v>0</v>
      </c>
      <c r="H88" s="148">
        <v>0</v>
      </c>
      <c r="I88" s="148">
        <v>0</v>
      </c>
      <c r="J88" s="148">
        <v>0</v>
      </c>
      <c r="K88" s="148">
        <v>0</v>
      </c>
      <c r="L88" s="148">
        <v>0</v>
      </c>
      <c r="M88" s="148">
        <v>0</v>
      </c>
      <c r="N88" s="148">
        <v>0</v>
      </c>
      <c r="O88" s="148">
        <v>0</v>
      </c>
      <c r="P88" s="117">
        <v>0</v>
      </c>
      <c r="Q88" s="117">
        <v>0</v>
      </c>
      <c r="R88" s="117">
        <f t="shared" si="4"/>
        <v>119</v>
      </c>
      <c r="S88" s="150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</row>
    <row r="89" spans="1:19" s="122" customFormat="1" ht="12.75" hidden="1" outlineLevel="1">
      <c r="A89" s="120" t="s">
        <v>1496</v>
      </c>
      <c r="B89" s="121"/>
      <c r="C89" s="121" t="s">
        <v>1497</v>
      </c>
      <c r="D89" s="121" t="s">
        <v>1498</v>
      </c>
      <c r="E89" s="121">
        <v>400</v>
      </c>
      <c r="F89" s="121">
        <v>0</v>
      </c>
      <c r="G89" s="121"/>
      <c r="H89" s="120">
        <v>0</v>
      </c>
      <c r="I89" s="120">
        <v>0</v>
      </c>
      <c r="J89" s="120">
        <v>0</v>
      </c>
      <c r="K89" s="120">
        <v>0</v>
      </c>
      <c r="L89" s="120">
        <v>0</v>
      </c>
      <c r="M89" s="120">
        <v>0</v>
      </c>
      <c r="N89" s="120">
        <v>0</v>
      </c>
      <c r="O89" s="120">
        <v>0</v>
      </c>
      <c r="P89" s="121">
        <v>0</v>
      </c>
      <c r="Q89" s="121">
        <v>0</v>
      </c>
      <c r="R89" s="121">
        <f t="shared" si="4"/>
        <v>400</v>
      </c>
      <c r="S89" s="120"/>
    </row>
    <row r="90" spans="1:19" s="122" customFormat="1" ht="12.75" hidden="1" outlineLevel="1">
      <c r="A90" s="120" t="s">
        <v>1499</v>
      </c>
      <c r="B90" s="121"/>
      <c r="C90" s="121" t="s">
        <v>1500</v>
      </c>
      <c r="D90" s="121" t="s">
        <v>1501</v>
      </c>
      <c r="E90" s="121">
        <v>11250</v>
      </c>
      <c r="F90" s="121">
        <v>0</v>
      </c>
      <c r="G90" s="121"/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1">
        <v>0</v>
      </c>
      <c r="Q90" s="121">
        <v>0</v>
      </c>
      <c r="R90" s="121">
        <f t="shared" si="4"/>
        <v>11250</v>
      </c>
      <c r="S90" s="120"/>
    </row>
    <row r="91" spans="1:44" s="152" customFormat="1" ht="12.75" customHeight="1" collapsed="1">
      <c r="A91" s="148" t="s">
        <v>1502</v>
      </c>
      <c r="B91" s="148"/>
      <c r="C91" s="150" t="s">
        <v>3819</v>
      </c>
      <c r="D91" s="157"/>
      <c r="E91" s="117">
        <v>11650</v>
      </c>
      <c r="F91" s="117">
        <v>0</v>
      </c>
      <c r="G91" s="117">
        <v>0</v>
      </c>
      <c r="H91" s="148">
        <v>0</v>
      </c>
      <c r="I91" s="148">
        <v>0</v>
      </c>
      <c r="J91" s="148">
        <v>0</v>
      </c>
      <c r="K91" s="148">
        <v>0</v>
      </c>
      <c r="L91" s="148">
        <v>0</v>
      </c>
      <c r="M91" s="148">
        <v>0</v>
      </c>
      <c r="N91" s="148">
        <v>0</v>
      </c>
      <c r="O91" s="148">
        <v>0</v>
      </c>
      <c r="P91" s="117">
        <v>0</v>
      </c>
      <c r="Q91" s="117">
        <v>0</v>
      </c>
      <c r="R91" s="117">
        <f t="shared" si="4"/>
        <v>11650</v>
      </c>
      <c r="S91" s="150"/>
      <c r="T91" s="151"/>
      <c r="U91" s="151"/>
      <c r="V91" s="151"/>
      <c r="W91" s="151"/>
      <c r="X91" s="151"/>
      <c r="Y91" s="151"/>
      <c r="Z91" s="151"/>
      <c r="AA91" s="151"/>
      <c r="AB91" s="151"/>
      <c r="AC91" s="151"/>
      <c r="AD91" s="151"/>
      <c r="AE91" s="151"/>
      <c r="AF91" s="151"/>
      <c r="AG91" s="151"/>
      <c r="AH91" s="151"/>
      <c r="AI91" s="151"/>
      <c r="AJ91" s="151"/>
      <c r="AK91" s="151"/>
      <c r="AL91" s="151"/>
      <c r="AM91" s="151"/>
      <c r="AN91" s="151"/>
      <c r="AO91" s="151"/>
      <c r="AP91" s="151"/>
      <c r="AQ91" s="151"/>
      <c r="AR91" s="151"/>
    </row>
    <row r="92" spans="1:19" s="122" customFormat="1" ht="12.75" hidden="1" outlineLevel="1">
      <c r="A92" s="120" t="s">
        <v>1503</v>
      </c>
      <c r="B92" s="121"/>
      <c r="C92" s="121" t="s">
        <v>1504</v>
      </c>
      <c r="D92" s="121" t="s">
        <v>1505</v>
      </c>
      <c r="E92" s="121">
        <v>4118</v>
      </c>
      <c r="F92" s="121">
        <v>0</v>
      </c>
      <c r="G92" s="121"/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1">
        <v>0</v>
      </c>
      <c r="Q92" s="121">
        <v>0</v>
      </c>
      <c r="R92" s="121">
        <f t="shared" si="4"/>
        <v>4118</v>
      </c>
      <c r="S92" s="120"/>
    </row>
    <row r="93" spans="1:19" s="122" customFormat="1" ht="12.75" hidden="1" outlineLevel="1">
      <c r="A93" s="120" t="s">
        <v>1506</v>
      </c>
      <c r="B93" s="121"/>
      <c r="C93" s="121" t="s">
        <v>1507</v>
      </c>
      <c r="D93" s="121" t="s">
        <v>1508</v>
      </c>
      <c r="E93" s="121">
        <v>-287.59</v>
      </c>
      <c r="F93" s="121">
        <v>0</v>
      </c>
      <c r="G93" s="121"/>
      <c r="H93" s="120">
        <v>0</v>
      </c>
      <c r="I93" s="120">
        <v>0</v>
      </c>
      <c r="J93" s="120">
        <v>0</v>
      </c>
      <c r="K93" s="120">
        <v>27352.37</v>
      </c>
      <c r="L93" s="120">
        <v>0</v>
      </c>
      <c r="M93" s="120">
        <v>0</v>
      </c>
      <c r="N93" s="120">
        <v>0</v>
      </c>
      <c r="O93" s="120">
        <v>0</v>
      </c>
      <c r="P93" s="121">
        <v>27352.37</v>
      </c>
      <c r="Q93" s="121">
        <v>0</v>
      </c>
      <c r="R93" s="121">
        <f t="shared" si="4"/>
        <v>27064.78</v>
      </c>
      <c r="S93" s="120"/>
    </row>
    <row r="94" spans="1:19" s="122" customFormat="1" ht="12.75" hidden="1" outlineLevel="1">
      <c r="A94" s="120" t="s">
        <v>1509</v>
      </c>
      <c r="B94" s="121"/>
      <c r="C94" s="121" t="s">
        <v>1510</v>
      </c>
      <c r="D94" s="121" t="s">
        <v>1511</v>
      </c>
      <c r="E94" s="121">
        <v>93304.11</v>
      </c>
      <c r="F94" s="121">
        <v>2409.31</v>
      </c>
      <c r="G94" s="121"/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1">
        <v>0</v>
      </c>
      <c r="Q94" s="121">
        <v>0</v>
      </c>
      <c r="R94" s="121">
        <f t="shared" si="4"/>
        <v>95713.42</v>
      </c>
      <c r="S94" s="120"/>
    </row>
    <row r="95" spans="1:19" s="122" customFormat="1" ht="12.75" hidden="1" outlineLevel="1">
      <c r="A95" s="120" t="s">
        <v>1512</v>
      </c>
      <c r="B95" s="121"/>
      <c r="C95" s="121" t="s">
        <v>1513</v>
      </c>
      <c r="D95" s="121" t="s">
        <v>1514</v>
      </c>
      <c r="E95" s="121">
        <v>2146894.47</v>
      </c>
      <c r="F95" s="121">
        <v>-31449.66</v>
      </c>
      <c r="G95" s="121"/>
      <c r="H95" s="120">
        <v>0</v>
      </c>
      <c r="I95" s="120">
        <v>0</v>
      </c>
      <c r="J95" s="120">
        <v>0</v>
      </c>
      <c r="K95" s="120">
        <v>52467.53</v>
      </c>
      <c r="L95" s="120">
        <v>0</v>
      </c>
      <c r="M95" s="120">
        <v>0</v>
      </c>
      <c r="N95" s="120">
        <v>0</v>
      </c>
      <c r="O95" s="120">
        <v>67399.5</v>
      </c>
      <c r="P95" s="121">
        <v>119867.03</v>
      </c>
      <c r="Q95" s="121">
        <v>0</v>
      </c>
      <c r="R95" s="121">
        <f t="shared" si="4"/>
        <v>2235311.84</v>
      </c>
      <c r="S95" s="120"/>
    </row>
    <row r="96" spans="1:19" s="122" customFormat="1" ht="12.75" hidden="1" outlineLevel="1">
      <c r="A96" s="120" t="s">
        <v>1515</v>
      </c>
      <c r="B96" s="121"/>
      <c r="C96" s="121" t="s">
        <v>1516</v>
      </c>
      <c r="D96" s="121" t="s">
        <v>1517</v>
      </c>
      <c r="E96" s="121">
        <v>354</v>
      </c>
      <c r="F96" s="121">
        <v>0</v>
      </c>
      <c r="G96" s="121"/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1">
        <v>0</v>
      </c>
      <c r="Q96" s="121">
        <v>0</v>
      </c>
      <c r="R96" s="121">
        <f t="shared" si="4"/>
        <v>354</v>
      </c>
      <c r="S96" s="120"/>
    </row>
    <row r="97" spans="1:19" s="122" customFormat="1" ht="12.75" hidden="1" outlineLevel="1">
      <c r="A97" s="120" t="s">
        <v>1518</v>
      </c>
      <c r="B97" s="121"/>
      <c r="C97" s="121" t="s">
        <v>1519</v>
      </c>
      <c r="D97" s="121" t="s">
        <v>1520</v>
      </c>
      <c r="E97" s="121">
        <v>121841.17</v>
      </c>
      <c r="F97" s="121">
        <v>0</v>
      </c>
      <c r="G97" s="121"/>
      <c r="H97" s="120">
        <v>0</v>
      </c>
      <c r="I97" s="120">
        <v>0</v>
      </c>
      <c r="J97" s="120">
        <v>0</v>
      </c>
      <c r="K97" s="120">
        <v>0</v>
      </c>
      <c r="L97" s="120">
        <v>0</v>
      </c>
      <c r="M97" s="120">
        <v>0</v>
      </c>
      <c r="N97" s="120">
        <v>0</v>
      </c>
      <c r="O97" s="120">
        <v>0</v>
      </c>
      <c r="P97" s="121">
        <v>0</v>
      </c>
      <c r="Q97" s="121">
        <v>0</v>
      </c>
      <c r="R97" s="121">
        <f t="shared" si="4"/>
        <v>121841.17</v>
      </c>
      <c r="S97" s="120"/>
    </row>
    <row r="98" spans="1:19" s="122" customFormat="1" ht="12.75" hidden="1" outlineLevel="1">
      <c r="A98" s="120" t="s">
        <v>1521</v>
      </c>
      <c r="B98" s="121"/>
      <c r="C98" s="121" t="s">
        <v>1522</v>
      </c>
      <c r="D98" s="121" t="s">
        <v>1523</v>
      </c>
      <c r="E98" s="121">
        <v>74.25</v>
      </c>
      <c r="F98" s="121">
        <v>0</v>
      </c>
      <c r="G98" s="121"/>
      <c r="H98" s="120">
        <v>0</v>
      </c>
      <c r="I98" s="120">
        <v>0</v>
      </c>
      <c r="J98" s="120">
        <v>0</v>
      </c>
      <c r="K98" s="120">
        <v>0</v>
      </c>
      <c r="L98" s="120">
        <v>0</v>
      </c>
      <c r="M98" s="120">
        <v>0</v>
      </c>
      <c r="N98" s="120">
        <v>0</v>
      </c>
      <c r="O98" s="120">
        <v>0</v>
      </c>
      <c r="P98" s="121">
        <v>0</v>
      </c>
      <c r="Q98" s="121">
        <v>0</v>
      </c>
      <c r="R98" s="121">
        <f t="shared" si="4"/>
        <v>74.25</v>
      </c>
      <c r="S98" s="120"/>
    </row>
    <row r="99" spans="1:19" s="122" customFormat="1" ht="12.75" hidden="1" outlineLevel="1">
      <c r="A99" s="120" t="s">
        <v>1524</v>
      </c>
      <c r="B99" s="121"/>
      <c r="C99" s="121" t="s">
        <v>1525</v>
      </c>
      <c r="D99" s="121" t="s">
        <v>1526</v>
      </c>
      <c r="E99" s="121">
        <v>75</v>
      </c>
      <c r="F99" s="121">
        <v>0</v>
      </c>
      <c r="G99" s="121"/>
      <c r="H99" s="120">
        <v>0</v>
      </c>
      <c r="I99" s="120">
        <v>0</v>
      </c>
      <c r="J99" s="120">
        <v>0</v>
      </c>
      <c r="K99" s="120">
        <v>0</v>
      </c>
      <c r="L99" s="120">
        <v>0</v>
      </c>
      <c r="M99" s="120">
        <v>0</v>
      </c>
      <c r="N99" s="120">
        <v>0</v>
      </c>
      <c r="O99" s="120">
        <v>13.61</v>
      </c>
      <c r="P99" s="121">
        <v>13.61</v>
      </c>
      <c r="Q99" s="121">
        <v>0</v>
      </c>
      <c r="R99" s="121">
        <f t="shared" si="4"/>
        <v>88.61</v>
      </c>
      <c r="S99" s="120"/>
    </row>
    <row r="100" spans="1:19" s="122" customFormat="1" ht="12.75" hidden="1" outlineLevel="1">
      <c r="A100" s="120" t="s">
        <v>1527</v>
      </c>
      <c r="B100" s="121"/>
      <c r="C100" s="121" t="s">
        <v>1528</v>
      </c>
      <c r="D100" s="121" t="s">
        <v>1529</v>
      </c>
      <c r="E100" s="121">
        <v>-114.44</v>
      </c>
      <c r="F100" s="121">
        <v>0</v>
      </c>
      <c r="G100" s="121"/>
      <c r="H100" s="120">
        <v>0</v>
      </c>
      <c r="I100" s="120">
        <v>0</v>
      </c>
      <c r="J100" s="120">
        <v>0</v>
      </c>
      <c r="K100" s="120">
        <v>0</v>
      </c>
      <c r="L100" s="120">
        <v>0</v>
      </c>
      <c r="M100" s="120">
        <v>0</v>
      </c>
      <c r="N100" s="120">
        <v>0</v>
      </c>
      <c r="O100" s="120">
        <v>0</v>
      </c>
      <c r="P100" s="121">
        <v>0</v>
      </c>
      <c r="Q100" s="121">
        <v>0</v>
      </c>
      <c r="R100" s="121">
        <f t="shared" si="4"/>
        <v>-114.44</v>
      </c>
      <c r="S100" s="120"/>
    </row>
    <row r="101" spans="1:19" s="122" customFormat="1" ht="12.75" hidden="1" outlineLevel="1">
      <c r="A101" s="120" t="s">
        <v>1530</v>
      </c>
      <c r="B101" s="121"/>
      <c r="C101" s="121" t="s">
        <v>1531</v>
      </c>
      <c r="D101" s="121" t="s">
        <v>1532</v>
      </c>
      <c r="E101" s="121">
        <v>1333604.2</v>
      </c>
      <c r="F101" s="121">
        <v>410</v>
      </c>
      <c r="G101" s="121"/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91261.08</v>
      </c>
      <c r="P101" s="121">
        <v>91261.08</v>
      </c>
      <c r="Q101" s="121">
        <v>0</v>
      </c>
      <c r="R101" s="121">
        <f t="shared" si="4"/>
        <v>1425275.28</v>
      </c>
      <c r="S101" s="120"/>
    </row>
    <row r="102" spans="1:44" s="152" customFormat="1" ht="12.75" customHeight="1" collapsed="1">
      <c r="A102" s="148" t="s">
        <v>1533</v>
      </c>
      <c r="B102" s="148"/>
      <c r="C102" s="150" t="s">
        <v>1534</v>
      </c>
      <c r="D102" s="157"/>
      <c r="E102" s="117">
        <v>3699863.17</v>
      </c>
      <c r="F102" s="117">
        <v>-28630.35</v>
      </c>
      <c r="G102" s="117">
        <v>0</v>
      </c>
      <c r="H102" s="148">
        <v>0</v>
      </c>
      <c r="I102" s="148">
        <v>0</v>
      </c>
      <c r="J102" s="148">
        <v>0</v>
      </c>
      <c r="K102" s="148">
        <v>79819.9</v>
      </c>
      <c r="L102" s="148">
        <v>0</v>
      </c>
      <c r="M102" s="148">
        <v>0</v>
      </c>
      <c r="N102" s="148">
        <v>0</v>
      </c>
      <c r="O102" s="148">
        <v>158674.19</v>
      </c>
      <c r="P102" s="117">
        <v>238494.09</v>
      </c>
      <c r="Q102" s="117">
        <v>0</v>
      </c>
      <c r="R102" s="117">
        <f t="shared" si="4"/>
        <v>3909726.9099999997</v>
      </c>
      <c r="S102" s="150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</row>
    <row r="103" spans="1:44" s="152" customFormat="1" ht="12.75" customHeight="1">
      <c r="A103" s="148"/>
      <c r="B103" s="148"/>
      <c r="C103" s="150" t="s">
        <v>1535</v>
      </c>
      <c r="D103" s="157"/>
      <c r="E103" s="117"/>
      <c r="F103" s="117"/>
      <c r="G103" s="117"/>
      <c r="H103" s="148"/>
      <c r="I103" s="148"/>
      <c r="J103" s="148"/>
      <c r="K103" s="148"/>
      <c r="L103" s="148"/>
      <c r="M103" s="148"/>
      <c r="N103" s="148"/>
      <c r="O103" s="148"/>
      <c r="P103" s="117"/>
      <c r="Q103" s="117"/>
      <c r="R103" s="117"/>
      <c r="S103" s="150"/>
      <c r="T103" s="151"/>
      <c r="U103" s="151"/>
      <c r="V103" s="151"/>
      <c r="W103" s="151"/>
      <c r="X103" s="151"/>
      <c r="Y103" s="151"/>
      <c r="Z103" s="151"/>
      <c r="AA103" s="151"/>
      <c r="AB103" s="151"/>
      <c r="AC103" s="151"/>
      <c r="AD103" s="151"/>
      <c r="AE103" s="151"/>
      <c r="AF103" s="151"/>
      <c r="AG103" s="151"/>
      <c r="AH103" s="151"/>
      <c r="AI103" s="151"/>
      <c r="AJ103" s="151"/>
      <c r="AK103" s="151"/>
      <c r="AL103" s="151"/>
      <c r="AM103" s="151"/>
      <c r="AN103" s="151"/>
      <c r="AO103" s="151"/>
      <c r="AP103" s="151"/>
      <c r="AQ103" s="151"/>
      <c r="AR103" s="151"/>
    </row>
    <row r="104" spans="1:44" s="152" customFormat="1" ht="12.75" customHeight="1">
      <c r="A104" s="148"/>
      <c r="B104" s="148"/>
      <c r="C104" s="150" t="s">
        <v>1536</v>
      </c>
      <c r="D104" s="157"/>
      <c r="E104" s="117">
        <v>0</v>
      </c>
      <c r="F104" s="117">
        <v>0</v>
      </c>
      <c r="G104" s="117">
        <v>0</v>
      </c>
      <c r="H104" s="148"/>
      <c r="I104" s="148"/>
      <c r="J104" s="148"/>
      <c r="K104" s="148"/>
      <c r="L104" s="148"/>
      <c r="M104" s="148"/>
      <c r="N104" s="148"/>
      <c r="O104" s="148"/>
      <c r="P104" s="117">
        <v>0</v>
      </c>
      <c r="Q104" s="117">
        <v>0</v>
      </c>
      <c r="R104" s="117">
        <f aca="true" t="shared" si="5" ref="R104:R125">E104+F104+G104+P104+Q104</f>
        <v>0</v>
      </c>
      <c r="S104" s="150"/>
      <c r="T104" s="151"/>
      <c r="U104" s="151"/>
      <c r="V104" s="151"/>
      <c r="W104" s="151"/>
      <c r="X104" s="151"/>
      <c r="Y104" s="151"/>
      <c r="Z104" s="151"/>
      <c r="AA104" s="151"/>
      <c r="AB104" s="151"/>
      <c r="AC104" s="151"/>
      <c r="AD104" s="151"/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</row>
    <row r="105" spans="1:44" s="152" customFormat="1" ht="12.75" customHeight="1">
      <c r="A105" s="148"/>
      <c r="B105" s="148"/>
      <c r="C105" s="150" t="s">
        <v>1537</v>
      </c>
      <c r="D105" s="157"/>
      <c r="E105" s="117">
        <v>0</v>
      </c>
      <c r="F105" s="117">
        <v>0</v>
      </c>
      <c r="G105" s="117">
        <v>7243795.58</v>
      </c>
      <c r="H105" s="148"/>
      <c r="I105" s="148"/>
      <c r="J105" s="148"/>
      <c r="K105" s="148"/>
      <c r="L105" s="148"/>
      <c r="M105" s="148"/>
      <c r="N105" s="148"/>
      <c r="O105" s="148"/>
      <c r="P105" s="117">
        <v>0</v>
      </c>
      <c r="Q105" s="117">
        <v>0</v>
      </c>
      <c r="R105" s="117">
        <f t="shared" si="5"/>
        <v>7243795.58</v>
      </c>
      <c r="S105" s="150"/>
      <c r="T105" s="151"/>
      <c r="U105" s="151"/>
      <c r="V105" s="151"/>
      <c r="W105" s="151"/>
      <c r="X105" s="151"/>
      <c r="Y105" s="151"/>
      <c r="Z105" s="151"/>
      <c r="AA105" s="151"/>
      <c r="AB105" s="151"/>
      <c r="AC105" s="151"/>
      <c r="AD105" s="151"/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</row>
    <row r="106" spans="1:44" s="152" customFormat="1" ht="12.75" customHeight="1">
      <c r="A106" s="148"/>
      <c r="B106" s="148"/>
      <c r="C106" s="150" t="s">
        <v>1538</v>
      </c>
      <c r="D106" s="157"/>
      <c r="E106" s="117">
        <v>0</v>
      </c>
      <c r="F106" s="117">
        <v>0</v>
      </c>
      <c r="G106" s="117">
        <v>3188003.03</v>
      </c>
      <c r="H106" s="148"/>
      <c r="I106" s="148"/>
      <c r="J106" s="148"/>
      <c r="K106" s="148"/>
      <c r="L106" s="148"/>
      <c r="M106" s="148"/>
      <c r="N106" s="148"/>
      <c r="O106" s="148"/>
      <c r="P106" s="117">
        <v>0</v>
      </c>
      <c r="Q106" s="117">
        <v>0</v>
      </c>
      <c r="R106" s="117">
        <f t="shared" si="5"/>
        <v>3188003.03</v>
      </c>
      <c r="S106" s="150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</row>
    <row r="107" spans="1:19" s="122" customFormat="1" ht="12.75" hidden="1" outlineLevel="1">
      <c r="A107" s="120" t="s">
        <v>1539</v>
      </c>
      <c r="B107" s="121"/>
      <c r="C107" s="121" t="s">
        <v>1540</v>
      </c>
      <c r="D107" s="121" t="s">
        <v>1541</v>
      </c>
      <c r="E107" s="121">
        <v>174050.39</v>
      </c>
      <c r="F107" s="121">
        <v>0</v>
      </c>
      <c r="G107" s="121"/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1">
        <v>0</v>
      </c>
      <c r="Q107" s="121">
        <v>0</v>
      </c>
      <c r="R107" s="121">
        <f t="shared" si="5"/>
        <v>174050.39</v>
      </c>
      <c r="S107" s="120"/>
    </row>
    <row r="108" spans="1:19" s="122" customFormat="1" ht="12.75" hidden="1" outlineLevel="1">
      <c r="A108" s="120" t="s">
        <v>1542</v>
      </c>
      <c r="B108" s="121"/>
      <c r="C108" s="121" t="s">
        <v>1543</v>
      </c>
      <c r="D108" s="121" t="s">
        <v>1544</v>
      </c>
      <c r="E108" s="121">
        <v>536265.6</v>
      </c>
      <c r="F108" s="121">
        <v>0</v>
      </c>
      <c r="G108" s="121"/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1">
        <v>0</v>
      </c>
      <c r="Q108" s="121">
        <v>0</v>
      </c>
      <c r="R108" s="121">
        <f t="shared" si="5"/>
        <v>536265.6</v>
      </c>
      <c r="S108" s="120"/>
    </row>
    <row r="109" spans="1:19" s="122" customFormat="1" ht="12.75" hidden="1" outlineLevel="1">
      <c r="A109" s="120" t="s">
        <v>1545</v>
      </c>
      <c r="B109" s="121"/>
      <c r="C109" s="121" t="s">
        <v>1546</v>
      </c>
      <c r="D109" s="121" t="s">
        <v>1547</v>
      </c>
      <c r="E109" s="121">
        <v>17507078.74</v>
      </c>
      <c r="F109" s="121">
        <v>0</v>
      </c>
      <c r="G109" s="121"/>
      <c r="H109" s="120">
        <v>0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1">
        <v>0</v>
      </c>
      <c r="Q109" s="121">
        <v>0</v>
      </c>
      <c r="R109" s="121">
        <f t="shared" si="5"/>
        <v>17507078.74</v>
      </c>
      <c r="S109" s="120"/>
    </row>
    <row r="110" spans="1:19" s="122" customFormat="1" ht="12.75" hidden="1" outlineLevel="1">
      <c r="A110" s="120" t="s">
        <v>1548</v>
      </c>
      <c r="B110" s="121"/>
      <c r="C110" s="121" t="s">
        <v>1549</v>
      </c>
      <c r="D110" s="121" t="s">
        <v>1550</v>
      </c>
      <c r="E110" s="121">
        <v>14335.36</v>
      </c>
      <c r="F110" s="121">
        <v>0</v>
      </c>
      <c r="G110" s="121"/>
      <c r="H110" s="120">
        <v>0</v>
      </c>
      <c r="I110" s="120">
        <v>0</v>
      </c>
      <c r="J110" s="120">
        <v>0</v>
      </c>
      <c r="K110" s="120">
        <v>0</v>
      </c>
      <c r="L110" s="120">
        <v>0</v>
      </c>
      <c r="M110" s="120">
        <v>0</v>
      </c>
      <c r="N110" s="120">
        <v>0</v>
      </c>
      <c r="O110" s="120">
        <v>0</v>
      </c>
      <c r="P110" s="121">
        <v>0</v>
      </c>
      <c r="Q110" s="121">
        <v>0</v>
      </c>
      <c r="R110" s="121">
        <f t="shared" si="5"/>
        <v>14335.36</v>
      </c>
      <c r="S110" s="120"/>
    </row>
    <row r="111" spans="1:44" s="152" customFormat="1" ht="12.75" customHeight="1" collapsed="1">
      <c r="A111" s="148" t="s">
        <v>1551</v>
      </c>
      <c r="B111" s="148"/>
      <c r="C111" s="150" t="s">
        <v>1552</v>
      </c>
      <c r="D111" s="157"/>
      <c r="E111" s="117">
        <v>18231730.089999996</v>
      </c>
      <c r="F111" s="117">
        <v>0</v>
      </c>
      <c r="G111" s="117">
        <v>0</v>
      </c>
      <c r="H111" s="148">
        <v>0</v>
      </c>
      <c r="I111" s="148">
        <v>0</v>
      </c>
      <c r="J111" s="148">
        <v>0</v>
      </c>
      <c r="K111" s="148">
        <v>0</v>
      </c>
      <c r="L111" s="148">
        <v>0</v>
      </c>
      <c r="M111" s="148">
        <v>0</v>
      </c>
      <c r="N111" s="148">
        <v>0</v>
      </c>
      <c r="O111" s="148">
        <v>0</v>
      </c>
      <c r="P111" s="117">
        <v>0</v>
      </c>
      <c r="Q111" s="117">
        <v>0</v>
      </c>
      <c r="R111" s="117">
        <f t="shared" si="5"/>
        <v>18231730.089999996</v>
      </c>
      <c r="S111" s="150"/>
      <c r="T111" s="151"/>
      <c r="U111" s="151"/>
      <c r="V111" s="151"/>
      <c r="W111" s="151"/>
      <c r="X111" s="151"/>
      <c r="Y111" s="151"/>
      <c r="Z111" s="151"/>
      <c r="AA111" s="151"/>
      <c r="AB111" s="151"/>
      <c r="AC111" s="151"/>
      <c r="AD111" s="151"/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</row>
    <row r="112" spans="1:44" s="152" customFormat="1" ht="12.75" customHeight="1">
      <c r="A112" s="148"/>
      <c r="B112" s="148"/>
      <c r="C112" s="150" t="s">
        <v>1553</v>
      </c>
      <c r="D112" s="157"/>
      <c r="E112" s="117">
        <v>0</v>
      </c>
      <c r="F112" s="117">
        <v>0</v>
      </c>
      <c r="G112" s="117">
        <v>15630313.11</v>
      </c>
      <c r="H112" s="148"/>
      <c r="I112" s="148"/>
      <c r="J112" s="148"/>
      <c r="K112" s="148"/>
      <c r="L112" s="148"/>
      <c r="M112" s="148"/>
      <c r="N112" s="148"/>
      <c r="O112" s="148"/>
      <c r="P112" s="117">
        <v>0</v>
      </c>
      <c r="Q112" s="117">
        <v>0</v>
      </c>
      <c r="R112" s="117">
        <f t="shared" si="5"/>
        <v>15630313.11</v>
      </c>
      <c r="S112" s="150"/>
      <c r="T112" s="151"/>
      <c r="U112" s="151"/>
      <c r="V112" s="151"/>
      <c r="W112" s="151"/>
      <c r="X112" s="151"/>
      <c r="Y112" s="151"/>
      <c r="Z112" s="151"/>
      <c r="AA112" s="151"/>
      <c r="AB112" s="151"/>
      <c r="AC112" s="151"/>
      <c r="AD112" s="151"/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</row>
    <row r="113" spans="1:44" s="152" customFormat="1" ht="12.75" customHeight="1">
      <c r="A113" s="148" t="s">
        <v>1554</v>
      </c>
      <c r="B113" s="148"/>
      <c r="C113" s="150" t="s">
        <v>3709</v>
      </c>
      <c r="D113" s="157"/>
      <c r="E113" s="117">
        <v>0</v>
      </c>
      <c r="F113" s="117">
        <v>0</v>
      </c>
      <c r="G113" s="117">
        <v>0</v>
      </c>
      <c r="H113" s="148">
        <v>0</v>
      </c>
      <c r="I113" s="148">
        <v>0</v>
      </c>
      <c r="J113" s="148">
        <v>0</v>
      </c>
      <c r="K113" s="148">
        <v>0</v>
      </c>
      <c r="L113" s="148">
        <v>0</v>
      </c>
      <c r="M113" s="148">
        <v>0</v>
      </c>
      <c r="N113" s="148">
        <v>0</v>
      </c>
      <c r="O113" s="148">
        <v>0</v>
      </c>
      <c r="P113" s="117">
        <v>0</v>
      </c>
      <c r="Q113" s="117">
        <v>0</v>
      </c>
      <c r="R113" s="117">
        <f t="shared" si="5"/>
        <v>0</v>
      </c>
      <c r="S113" s="150"/>
      <c r="T113" s="151"/>
      <c r="U113" s="151"/>
      <c r="V113" s="151"/>
      <c r="W113" s="151"/>
      <c r="X113" s="151"/>
      <c r="Y113" s="151"/>
      <c r="Z113" s="151"/>
      <c r="AA113" s="151"/>
      <c r="AB113" s="151"/>
      <c r="AC113" s="151"/>
      <c r="AD113" s="151"/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</row>
    <row r="114" spans="1:19" s="122" customFormat="1" ht="12.75" hidden="1" outlineLevel="1">
      <c r="A114" s="120" t="s">
        <v>1555</v>
      </c>
      <c r="B114" s="121"/>
      <c r="C114" s="121" t="s">
        <v>1556</v>
      </c>
      <c r="D114" s="121" t="s">
        <v>1557</v>
      </c>
      <c r="E114" s="121">
        <v>1283510.35</v>
      </c>
      <c r="F114" s="121">
        <v>33284.89</v>
      </c>
      <c r="G114" s="121"/>
      <c r="H114" s="120">
        <v>0</v>
      </c>
      <c r="I114" s="120">
        <v>0</v>
      </c>
      <c r="J114" s="120">
        <v>0</v>
      </c>
      <c r="K114" s="120">
        <v>0</v>
      </c>
      <c r="L114" s="120">
        <v>0</v>
      </c>
      <c r="M114" s="120">
        <v>114</v>
      </c>
      <c r="N114" s="120">
        <v>0</v>
      </c>
      <c r="O114" s="120">
        <v>95617.12</v>
      </c>
      <c r="P114" s="121">
        <v>95731.12</v>
      </c>
      <c r="Q114" s="121">
        <v>0</v>
      </c>
      <c r="R114" s="121">
        <f t="shared" si="5"/>
        <v>1412526.3599999999</v>
      </c>
      <c r="S114" s="120"/>
    </row>
    <row r="115" spans="1:19" s="122" customFormat="1" ht="12.75" hidden="1" outlineLevel="1">
      <c r="A115" s="120" t="s">
        <v>1558</v>
      </c>
      <c r="B115" s="121"/>
      <c r="C115" s="121" t="s">
        <v>1559</v>
      </c>
      <c r="D115" s="121" t="s">
        <v>1560</v>
      </c>
      <c r="E115" s="121">
        <v>756.98</v>
      </c>
      <c r="F115" s="121">
        <v>3851.89</v>
      </c>
      <c r="G115" s="121"/>
      <c r="H115" s="120">
        <v>0</v>
      </c>
      <c r="I115" s="120">
        <v>0</v>
      </c>
      <c r="J115" s="120">
        <v>0</v>
      </c>
      <c r="K115" s="120">
        <v>0</v>
      </c>
      <c r="L115" s="120">
        <v>0</v>
      </c>
      <c r="M115" s="120">
        <v>0</v>
      </c>
      <c r="N115" s="120">
        <v>0</v>
      </c>
      <c r="O115" s="120">
        <v>0</v>
      </c>
      <c r="P115" s="121">
        <v>0</v>
      </c>
      <c r="Q115" s="121">
        <v>0</v>
      </c>
      <c r="R115" s="121">
        <f t="shared" si="5"/>
        <v>4608.87</v>
      </c>
      <c r="S115" s="120"/>
    </row>
    <row r="116" spans="1:19" s="122" customFormat="1" ht="12.75" hidden="1" outlineLevel="1">
      <c r="A116" s="120" t="s">
        <v>1561</v>
      </c>
      <c r="B116" s="121"/>
      <c r="C116" s="121" t="s">
        <v>1562</v>
      </c>
      <c r="D116" s="121" t="s">
        <v>1563</v>
      </c>
      <c r="E116" s="121">
        <v>2736991.23</v>
      </c>
      <c r="F116" s="121">
        <v>10192.39</v>
      </c>
      <c r="G116" s="121"/>
      <c r="H116" s="120">
        <v>2750.59</v>
      </c>
      <c r="I116" s="120">
        <v>0</v>
      </c>
      <c r="J116" s="120">
        <v>8490.36</v>
      </c>
      <c r="K116" s="120">
        <v>-134.67</v>
      </c>
      <c r="L116" s="120">
        <v>80585.35</v>
      </c>
      <c r="M116" s="120">
        <v>98336.45</v>
      </c>
      <c r="N116" s="120">
        <v>130</v>
      </c>
      <c r="O116" s="120">
        <v>56249.55</v>
      </c>
      <c r="P116" s="121">
        <v>246407.63</v>
      </c>
      <c r="Q116" s="121">
        <v>0</v>
      </c>
      <c r="R116" s="121">
        <f t="shared" si="5"/>
        <v>2993591.25</v>
      </c>
      <c r="S116" s="120"/>
    </row>
    <row r="117" spans="1:19" s="122" customFormat="1" ht="12.75" hidden="1" outlineLevel="1">
      <c r="A117" s="120" t="s">
        <v>1564</v>
      </c>
      <c r="B117" s="121"/>
      <c r="C117" s="121" t="s">
        <v>1565</v>
      </c>
      <c r="D117" s="121" t="s">
        <v>1566</v>
      </c>
      <c r="E117" s="121">
        <v>11439</v>
      </c>
      <c r="F117" s="121">
        <v>0</v>
      </c>
      <c r="G117" s="121"/>
      <c r="H117" s="120">
        <v>0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1">
        <v>0</v>
      </c>
      <c r="Q117" s="121">
        <v>0</v>
      </c>
      <c r="R117" s="121">
        <f t="shared" si="5"/>
        <v>11439</v>
      </c>
      <c r="S117" s="120"/>
    </row>
    <row r="118" spans="1:19" s="122" customFormat="1" ht="12.75" hidden="1" outlineLevel="1">
      <c r="A118" s="120" t="s">
        <v>1567</v>
      </c>
      <c r="B118" s="121"/>
      <c r="C118" s="121" t="s">
        <v>1568</v>
      </c>
      <c r="D118" s="121" t="s">
        <v>1569</v>
      </c>
      <c r="E118" s="121">
        <v>32058.51</v>
      </c>
      <c r="F118" s="121">
        <v>0</v>
      </c>
      <c r="G118" s="121"/>
      <c r="H118" s="120">
        <v>0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1">
        <v>0</v>
      </c>
      <c r="Q118" s="121">
        <v>0</v>
      </c>
      <c r="R118" s="121">
        <f t="shared" si="5"/>
        <v>32058.51</v>
      </c>
      <c r="S118" s="120"/>
    </row>
    <row r="119" spans="1:19" s="122" customFormat="1" ht="12.75" hidden="1" outlineLevel="1">
      <c r="A119" s="120" t="s">
        <v>1570</v>
      </c>
      <c r="B119" s="121"/>
      <c r="C119" s="121" t="s">
        <v>1571</v>
      </c>
      <c r="D119" s="121" t="s">
        <v>1572</v>
      </c>
      <c r="E119" s="121">
        <v>13815.2</v>
      </c>
      <c r="F119" s="121">
        <v>55000</v>
      </c>
      <c r="G119" s="121"/>
      <c r="H119" s="120">
        <v>0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10296.79</v>
      </c>
      <c r="P119" s="121">
        <v>10296.79</v>
      </c>
      <c r="Q119" s="121">
        <v>0</v>
      </c>
      <c r="R119" s="121">
        <f t="shared" si="5"/>
        <v>79111.98999999999</v>
      </c>
      <c r="S119" s="120"/>
    </row>
    <row r="120" spans="1:19" s="122" customFormat="1" ht="12.75" hidden="1" outlineLevel="1">
      <c r="A120" s="120" t="s">
        <v>1573</v>
      </c>
      <c r="B120" s="121"/>
      <c r="C120" s="121" t="s">
        <v>1574</v>
      </c>
      <c r="D120" s="121" t="s">
        <v>1575</v>
      </c>
      <c r="E120" s="121">
        <v>53400</v>
      </c>
      <c r="F120" s="121">
        <v>0</v>
      </c>
      <c r="G120" s="121"/>
      <c r="H120" s="120">
        <v>0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1">
        <v>0</v>
      </c>
      <c r="Q120" s="121">
        <v>0</v>
      </c>
      <c r="R120" s="121">
        <f t="shared" si="5"/>
        <v>53400</v>
      </c>
      <c r="S120" s="120"/>
    </row>
    <row r="121" spans="1:19" s="122" customFormat="1" ht="12.75" hidden="1" outlineLevel="1">
      <c r="A121" s="120" t="s">
        <v>1576</v>
      </c>
      <c r="B121" s="121"/>
      <c r="C121" s="121" t="s">
        <v>1577</v>
      </c>
      <c r="D121" s="121" t="s">
        <v>1578</v>
      </c>
      <c r="E121" s="121">
        <v>0</v>
      </c>
      <c r="F121" s="121">
        <v>0</v>
      </c>
      <c r="G121" s="121"/>
      <c r="H121" s="120">
        <v>0</v>
      </c>
      <c r="I121" s="120">
        <v>0</v>
      </c>
      <c r="J121" s="120">
        <v>162138</v>
      </c>
      <c r="K121" s="120">
        <v>0</v>
      </c>
      <c r="L121" s="120">
        <v>0</v>
      </c>
      <c r="M121" s="120">
        <v>0</v>
      </c>
      <c r="N121" s="120">
        <v>0</v>
      </c>
      <c r="O121" s="120">
        <v>0</v>
      </c>
      <c r="P121" s="121">
        <v>162138</v>
      </c>
      <c r="Q121" s="121">
        <v>0</v>
      </c>
      <c r="R121" s="121">
        <f t="shared" si="5"/>
        <v>162138</v>
      </c>
      <c r="S121" s="120"/>
    </row>
    <row r="122" spans="1:19" s="122" customFormat="1" ht="12.75" hidden="1" outlineLevel="1">
      <c r="A122" s="120" t="s">
        <v>1579</v>
      </c>
      <c r="B122" s="121"/>
      <c r="C122" s="121" t="s">
        <v>1580</v>
      </c>
      <c r="D122" s="121" t="s">
        <v>1581</v>
      </c>
      <c r="E122" s="121">
        <v>10514</v>
      </c>
      <c r="F122" s="121">
        <v>0</v>
      </c>
      <c r="G122" s="121"/>
      <c r="H122" s="120">
        <v>0</v>
      </c>
      <c r="I122" s="120">
        <v>0</v>
      </c>
      <c r="J122" s="120">
        <v>0</v>
      </c>
      <c r="K122" s="120">
        <v>0</v>
      </c>
      <c r="L122" s="120">
        <v>0</v>
      </c>
      <c r="M122" s="120">
        <v>0</v>
      </c>
      <c r="N122" s="120">
        <v>0</v>
      </c>
      <c r="O122" s="120">
        <v>0</v>
      </c>
      <c r="P122" s="121">
        <v>0</v>
      </c>
      <c r="Q122" s="121">
        <v>0</v>
      </c>
      <c r="R122" s="121">
        <f t="shared" si="5"/>
        <v>10514</v>
      </c>
      <c r="S122" s="120"/>
    </row>
    <row r="123" spans="1:19" s="122" customFormat="1" ht="12.75" hidden="1" outlineLevel="1">
      <c r="A123" s="120" t="s">
        <v>1582</v>
      </c>
      <c r="B123" s="121"/>
      <c r="C123" s="121" t="s">
        <v>1583</v>
      </c>
      <c r="D123" s="121" t="s">
        <v>1584</v>
      </c>
      <c r="E123" s="121">
        <v>2843</v>
      </c>
      <c r="F123" s="121">
        <v>0</v>
      </c>
      <c r="G123" s="121"/>
      <c r="H123" s="120">
        <v>0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1">
        <v>0</v>
      </c>
      <c r="Q123" s="121">
        <v>0</v>
      </c>
      <c r="R123" s="121">
        <f t="shared" si="5"/>
        <v>2843</v>
      </c>
      <c r="S123" s="120"/>
    </row>
    <row r="124" spans="1:19" s="122" customFormat="1" ht="12.75" hidden="1" outlineLevel="1">
      <c r="A124" s="120" t="s">
        <v>1585</v>
      </c>
      <c r="B124" s="121"/>
      <c r="C124" s="121" t="s">
        <v>1586</v>
      </c>
      <c r="D124" s="121" t="s">
        <v>1587</v>
      </c>
      <c r="E124" s="121">
        <v>5442689.58</v>
      </c>
      <c r="F124" s="121">
        <v>0</v>
      </c>
      <c r="G124" s="121"/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1">
        <v>0</v>
      </c>
      <c r="Q124" s="121">
        <v>0</v>
      </c>
      <c r="R124" s="121">
        <f t="shared" si="5"/>
        <v>5442689.58</v>
      </c>
      <c r="S124" s="120"/>
    </row>
    <row r="125" spans="1:44" s="152" customFormat="1" ht="12.75" customHeight="1" collapsed="1">
      <c r="A125" s="148" t="s">
        <v>1588</v>
      </c>
      <c r="B125" s="148"/>
      <c r="C125" s="150" t="s">
        <v>3710</v>
      </c>
      <c r="D125" s="157"/>
      <c r="E125" s="117">
        <v>9588017.85</v>
      </c>
      <c r="F125" s="117">
        <v>102329.17</v>
      </c>
      <c r="G125" s="117">
        <v>0</v>
      </c>
      <c r="H125" s="148">
        <v>2750.59</v>
      </c>
      <c r="I125" s="148">
        <v>0</v>
      </c>
      <c r="J125" s="148">
        <v>170628.36</v>
      </c>
      <c r="K125" s="148">
        <v>-134.67</v>
      </c>
      <c r="L125" s="148">
        <v>80585.35</v>
      </c>
      <c r="M125" s="148">
        <v>98450.45</v>
      </c>
      <c r="N125" s="148">
        <v>130</v>
      </c>
      <c r="O125" s="148">
        <v>162163.46</v>
      </c>
      <c r="P125" s="117">
        <v>514573.54</v>
      </c>
      <c r="Q125" s="117">
        <v>0</v>
      </c>
      <c r="R125" s="117">
        <f t="shared" si="5"/>
        <v>10204920.559999999</v>
      </c>
      <c r="S125" s="150"/>
      <c r="T125" s="151"/>
      <c r="U125" s="151"/>
      <c r="V125" s="151"/>
      <c r="W125" s="151"/>
      <c r="X125" s="151"/>
      <c r="Y125" s="151"/>
      <c r="Z125" s="151"/>
      <c r="AA125" s="151"/>
      <c r="AB125" s="151"/>
      <c r="AC125" s="151"/>
      <c r="AD125" s="151"/>
      <c r="AE125" s="151"/>
      <c r="AF125" s="151"/>
      <c r="AG125" s="151"/>
      <c r="AH125" s="151"/>
      <c r="AI125" s="151"/>
      <c r="AJ125" s="151"/>
      <c r="AK125" s="151"/>
      <c r="AL125" s="151"/>
      <c r="AM125" s="151"/>
      <c r="AN125" s="151"/>
      <c r="AO125" s="151"/>
      <c r="AP125" s="151"/>
      <c r="AQ125" s="151"/>
      <c r="AR125" s="151"/>
    </row>
    <row r="126" spans="1:44" s="152" customFormat="1" ht="12.75" customHeight="1">
      <c r="A126" s="159" t="s">
        <v>3785</v>
      </c>
      <c r="B126" s="160"/>
      <c r="C126" s="154" t="s">
        <v>1589</v>
      </c>
      <c r="D126" s="62"/>
      <c r="E126" s="101">
        <f aca="true" t="shared" si="6" ref="E126:R126">+E84+E86+E88+E91+E102+E104+E105+E106+E111+E112+E113+E125</f>
        <v>121494685.70999998</v>
      </c>
      <c r="F126" s="101">
        <f t="shared" si="6"/>
        <v>8828770.64</v>
      </c>
      <c r="G126" s="101">
        <f t="shared" si="6"/>
        <v>26062111.72</v>
      </c>
      <c r="H126" s="159">
        <f t="shared" si="6"/>
        <v>2750.59</v>
      </c>
      <c r="I126" s="159">
        <f t="shared" si="6"/>
        <v>0</v>
      </c>
      <c r="J126" s="159">
        <f t="shared" si="6"/>
        <v>170628.36</v>
      </c>
      <c r="K126" s="159">
        <f t="shared" si="6"/>
        <v>79685.23</v>
      </c>
      <c r="L126" s="159">
        <f t="shared" si="6"/>
        <v>80585.35</v>
      </c>
      <c r="M126" s="159">
        <f t="shared" si="6"/>
        <v>98450.45</v>
      </c>
      <c r="N126" s="159">
        <f t="shared" si="6"/>
        <v>130</v>
      </c>
      <c r="O126" s="159">
        <f t="shared" si="6"/>
        <v>432522.54999999993</v>
      </c>
      <c r="P126" s="101">
        <f t="shared" si="6"/>
        <v>864752.53</v>
      </c>
      <c r="Q126" s="101">
        <f t="shared" si="6"/>
        <v>0</v>
      </c>
      <c r="R126" s="101">
        <f t="shared" si="6"/>
        <v>157250320.59999996</v>
      </c>
      <c r="S126" s="156"/>
      <c r="T126" s="151"/>
      <c r="U126" s="151"/>
      <c r="V126" s="151"/>
      <c r="W126" s="151"/>
      <c r="X126" s="151"/>
      <c r="Y126" s="151"/>
      <c r="Z126" s="151"/>
      <c r="AA126" s="151"/>
      <c r="AB126" s="151"/>
      <c r="AC126" s="151"/>
      <c r="AD126" s="151"/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</row>
    <row r="127" spans="1:44" s="152" customFormat="1" ht="12.75" customHeight="1">
      <c r="A127" s="148"/>
      <c r="B127" s="148"/>
      <c r="C127" s="150"/>
      <c r="D127" s="157"/>
      <c r="E127" s="117"/>
      <c r="F127" s="117"/>
      <c r="G127" s="117"/>
      <c r="H127" s="148"/>
      <c r="I127" s="148"/>
      <c r="J127" s="148"/>
      <c r="K127" s="148"/>
      <c r="L127" s="148"/>
      <c r="M127" s="148"/>
      <c r="N127" s="148"/>
      <c r="O127" s="148"/>
      <c r="P127" s="117"/>
      <c r="Q127" s="117"/>
      <c r="R127" s="117"/>
      <c r="S127" s="150"/>
      <c r="T127" s="151"/>
      <c r="U127" s="151"/>
      <c r="V127" s="151"/>
      <c r="W127" s="151"/>
      <c r="X127" s="151"/>
      <c r="Y127" s="151"/>
      <c r="Z127" s="151"/>
      <c r="AA127" s="151"/>
      <c r="AB127" s="151"/>
      <c r="AC127" s="151"/>
      <c r="AD127" s="151"/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</row>
    <row r="128" spans="1:44" s="152" customFormat="1" ht="12.75" customHeight="1">
      <c r="A128" s="153"/>
      <c r="B128" s="160" t="s">
        <v>1590</v>
      </c>
      <c r="C128" s="161"/>
      <c r="D128" s="72"/>
      <c r="E128" s="117"/>
      <c r="F128" s="117"/>
      <c r="G128" s="117"/>
      <c r="H128" s="153"/>
      <c r="I128" s="153"/>
      <c r="J128" s="153"/>
      <c r="K128" s="153"/>
      <c r="L128" s="153"/>
      <c r="M128" s="153"/>
      <c r="N128" s="153"/>
      <c r="O128" s="153"/>
      <c r="P128" s="117"/>
      <c r="Q128" s="117"/>
      <c r="R128" s="117"/>
      <c r="S128" s="156"/>
      <c r="T128" s="151"/>
      <c r="U128" s="151"/>
      <c r="V128" s="151"/>
      <c r="W128" s="151"/>
      <c r="X128" s="151"/>
      <c r="Y128" s="151"/>
      <c r="Z128" s="151"/>
      <c r="AA128" s="151"/>
      <c r="AB128" s="151"/>
      <c r="AC128" s="151"/>
      <c r="AD128" s="151"/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</row>
    <row r="129" spans="1:19" s="122" customFormat="1" ht="12.75" hidden="1" outlineLevel="1">
      <c r="A129" s="120" t="s">
        <v>1591</v>
      </c>
      <c r="B129" s="121"/>
      <c r="C129" s="121" t="s">
        <v>1592</v>
      </c>
      <c r="D129" s="121" t="s">
        <v>1593</v>
      </c>
      <c r="E129" s="121">
        <v>32871310.76</v>
      </c>
      <c r="F129" s="121">
        <v>345117.31</v>
      </c>
      <c r="G129" s="121"/>
      <c r="H129" s="120">
        <v>0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1">
        <v>0</v>
      </c>
      <c r="Q129" s="121">
        <v>0</v>
      </c>
      <c r="R129" s="121">
        <f aca="true" t="shared" si="7" ref="R129:R192">E129+F129+G129+P129+Q129</f>
        <v>33216428.07</v>
      </c>
      <c r="S129" s="120"/>
    </row>
    <row r="130" spans="1:19" s="122" customFormat="1" ht="12.75" hidden="1" outlineLevel="1">
      <c r="A130" s="120" t="s">
        <v>1594</v>
      </c>
      <c r="B130" s="121"/>
      <c r="C130" s="121" t="s">
        <v>1595</v>
      </c>
      <c r="D130" s="121" t="s">
        <v>1596</v>
      </c>
      <c r="E130" s="121">
        <v>8376477.5</v>
      </c>
      <c r="F130" s="121">
        <v>154791.75</v>
      </c>
      <c r="G130" s="121"/>
      <c r="H130" s="120">
        <v>0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1494.88</v>
      </c>
      <c r="P130" s="121">
        <v>1494.88</v>
      </c>
      <c r="Q130" s="121">
        <v>0</v>
      </c>
      <c r="R130" s="121">
        <f t="shared" si="7"/>
        <v>8532764.13</v>
      </c>
      <c r="S130" s="120"/>
    </row>
    <row r="131" spans="1:19" s="122" customFormat="1" ht="12.75" hidden="1" outlineLevel="1">
      <c r="A131" s="120" t="s">
        <v>1597</v>
      </c>
      <c r="B131" s="121"/>
      <c r="C131" s="121" t="s">
        <v>1598</v>
      </c>
      <c r="D131" s="121" t="s">
        <v>1599</v>
      </c>
      <c r="E131" s="121">
        <v>25537237.166</v>
      </c>
      <c r="F131" s="121">
        <v>1217057.018</v>
      </c>
      <c r="G131" s="121"/>
      <c r="H131" s="120">
        <v>0</v>
      </c>
      <c r="I131" s="120">
        <v>0</v>
      </c>
      <c r="J131" s="120">
        <v>0</v>
      </c>
      <c r="K131" s="120">
        <v>0</v>
      </c>
      <c r="L131" s="120">
        <v>0</v>
      </c>
      <c r="M131" s="120">
        <v>0</v>
      </c>
      <c r="N131" s="120">
        <v>0</v>
      </c>
      <c r="O131" s="120">
        <v>17747.15</v>
      </c>
      <c r="P131" s="121">
        <v>17747.15</v>
      </c>
      <c r="Q131" s="121">
        <v>0</v>
      </c>
      <c r="R131" s="121">
        <f t="shared" si="7"/>
        <v>26772041.334</v>
      </c>
      <c r="S131" s="120"/>
    </row>
    <row r="132" spans="1:19" s="122" customFormat="1" ht="12.75" hidden="1" outlineLevel="1">
      <c r="A132" s="120" t="s">
        <v>1600</v>
      </c>
      <c r="B132" s="121"/>
      <c r="C132" s="121" t="s">
        <v>1601</v>
      </c>
      <c r="D132" s="121" t="s">
        <v>1602</v>
      </c>
      <c r="E132" s="121">
        <v>3321594.532</v>
      </c>
      <c r="F132" s="121">
        <v>27773.91</v>
      </c>
      <c r="G132" s="121"/>
      <c r="H132" s="120">
        <v>0</v>
      </c>
      <c r="I132" s="120">
        <v>0</v>
      </c>
      <c r="J132" s="120">
        <v>0</v>
      </c>
      <c r="K132" s="120">
        <v>0</v>
      </c>
      <c r="L132" s="120">
        <v>0</v>
      </c>
      <c r="M132" s="120">
        <v>0</v>
      </c>
      <c r="N132" s="120">
        <v>0</v>
      </c>
      <c r="O132" s="120">
        <v>0</v>
      </c>
      <c r="P132" s="121">
        <v>0</v>
      </c>
      <c r="Q132" s="121">
        <v>0</v>
      </c>
      <c r="R132" s="121">
        <f t="shared" si="7"/>
        <v>3349368.4420000003</v>
      </c>
      <c r="S132" s="120"/>
    </row>
    <row r="133" spans="1:19" s="122" customFormat="1" ht="12.75" hidden="1" outlineLevel="1">
      <c r="A133" s="120" t="s">
        <v>1603</v>
      </c>
      <c r="B133" s="121"/>
      <c r="C133" s="121" t="s">
        <v>1604</v>
      </c>
      <c r="D133" s="121" t="s">
        <v>1605</v>
      </c>
      <c r="E133" s="121">
        <v>16028044.077</v>
      </c>
      <c r="F133" s="121">
        <v>223339.74</v>
      </c>
      <c r="G133" s="121"/>
      <c r="H133" s="120">
        <v>47890.22</v>
      </c>
      <c r="I133" s="120">
        <v>76250</v>
      </c>
      <c r="J133" s="120">
        <v>36999.96</v>
      </c>
      <c r="K133" s="120">
        <v>43965.22</v>
      </c>
      <c r="L133" s="120">
        <v>0</v>
      </c>
      <c r="M133" s="120">
        <v>24105.77</v>
      </c>
      <c r="N133" s="120">
        <v>0</v>
      </c>
      <c r="O133" s="120">
        <v>216342.483</v>
      </c>
      <c r="P133" s="121">
        <v>445553.653</v>
      </c>
      <c r="Q133" s="121">
        <v>0</v>
      </c>
      <c r="R133" s="121">
        <f t="shared" si="7"/>
        <v>16696937.47</v>
      </c>
      <c r="S133" s="120"/>
    </row>
    <row r="134" spans="1:19" s="122" customFormat="1" ht="12.75" hidden="1" outlineLevel="1">
      <c r="A134" s="120" t="s">
        <v>1606</v>
      </c>
      <c r="B134" s="121"/>
      <c r="C134" s="121" t="s">
        <v>1607</v>
      </c>
      <c r="D134" s="121" t="s">
        <v>1608</v>
      </c>
      <c r="E134" s="121">
        <v>9942467.161</v>
      </c>
      <c r="F134" s="121">
        <v>155890.96</v>
      </c>
      <c r="G134" s="121"/>
      <c r="H134" s="120">
        <v>43406.04</v>
      </c>
      <c r="I134" s="120">
        <v>167721.02</v>
      </c>
      <c r="J134" s="120">
        <v>0</v>
      </c>
      <c r="K134" s="120">
        <v>2110.42</v>
      </c>
      <c r="L134" s="120">
        <v>0</v>
      </c>
      <c r="M134" s="120">
        <v>31751</v>
      </c>
      <c r="N134" s="120">
        <v>0</v>
      </c>
      <c r="O134" s="120">
        <v>90564.159</v>
      </c>
      <c r="P134" s="121">
        <v>335552.639</v>
      </c>
      <c r="Q134" s="121">
        <v>0</v>
      </c>
      <c r="R134" s="121">
        <f t="shared" si="7"/>
        <v>10433910.760000002</v>
      </c>
      <c r="S134" s="120"/>
    </row>
    <row r="135" spans="1:19" s="122" customFormat="1" ht="12.75" hidden="1" outlineLevel="1">
      <c r="A135" s="120" t="s">
        <v>1609</v>
      </c>
      <c r="B135" s="121"/>
      <c r="C135" s="121" t="s">
        <v>1610</v>
      </c>
      <c r="D135" s="121" t="s">
        <v>1611</v>
      </c>
      <c r="E135" s="121">
        <v>2438430.3129999996</v>
      </c>
      <c r="F135" s="121">
        <v>2308.55</v>
      </c>
      <c r="G135" s="121"/>
      <c r="H135" s="120">
        <v>26069.88</v>
      </c>
      <c r="I135" s="120">
        <v>0</v>
      </c>
      <c r="J135" s="120">
        <v>0</v>
      </c>
      <c r="K135" s="120">
        <v>21788.7</v>
      </c>
      <c r="L135" s="120">
        <v>6920.45</v>
      </c>
      <c r="M135" s="120">
        <v>160314.12</v>
      </c>
      <c r="N135" s="120">
        <v>0</v>
      </c>
      <c r="O135" s="120">
        <v>218358.471</v>
      </c>
      <c r="P135" s="121">
        <v>433451.621</v>
      </c>
      <c r="Q135" s="121">
        <v>0</v>
      </c>
      <c r="R135" s="121">
        <f t="shared" si="7"/>
        <v>2874190.4839999992</v>
      </c>
      <c r="S135" s="120"/>
    </row>
    <row r="136" spans="1:19" s="122" customFormat="1" ht="12.75" hidden="1" outlineLevel="1">
      <c r="A136" s="120" t="s">
        <v>1612</v>
      </c>
      <c r="B136" s="121"/>
      <c r="C136" s="121" t="s">
        <v>1613</v>
      </c>
      <c r="D136" s="121" t="s">
        <v>1614</v>
      </c>
      <c r="E136" s="121">
        <v>8183241.875</v>
      </c>
      <c r="F136" s="121">
        <v>417882.612</v>
      </c>
      <c r="G136" s="121"/>
      <c r="H136" s="120">
        <v>0</v>
      </c>
      <c r="I136" s="120">
        <v>27802.585</v>
      </c>
      <c r="J136" s="120">
        <v>0</v>
      </c>
      <c r="K136" s="120">
        <v>50829.253</v>
      </c>
      <c r="L136" s="120">
        <v>0</v>
      </c>
      <c r="M136" s="120">
        <v>4493.63</v>
      </c>
      <c r="N136" s="120">
        <v>0</v>
      </c>
      <c r="O136" s="120">
        <v>145015.98</v>
      </c>
      <c r="P136" s="121">
        <v>228141.448</v>
      </c>
      <c r="Q136" s="121">
        <v>0</v>
      </c>
      <c r="R136" s="121">
        <f t="shared" si="7"/>
        <v>8829265.935</v>
      </c>
      <c r="S136" s="120"/>
    </row>
    <row r="137" spans="1:19" s="122" customFormat="1" ht="12.75" hidden="1" outlineLevel="1">
      <c r="A137" s="120" t="s">
        <v>1615</v>
      </c>
      <c r="B137" s="121"/>
      <c r="C137" s="121" t="s">
        <v>1616</v>
      </c>
      <c r="D137" s="121" t="s">
        <v>1617</v>
      </c>
      <c r="E137" s="121">
        <v>1016407.147</v>
      </c>
      <c r="F137" s="121">
        <v>0</v>
      </c>
      <c r="G137" s="121"/>
      <c r="H137" s="120">
        <v>2062228.351</v>
      </c>
      <c r="I137" s="120">
        <v>0</v>
      </c>
      <c r="J137" s="120">
        <v>0</v>
      </c>
      <c r="K137" s="120">
        <v>253668.817</v>
      </c>
      <c r="L137" s="120">
        <v>0</v>
      </c>
      <c r="M137" s="120">
        <v>0</v>
      </c>
      <c r="N137" s="120">
        <v>17081.5</v>
      </c>
      <c r="O137" s="120">
        <v>0</v>
      </c>
      <c r="P137" s="121">
        <v>2332978.668</v>
      </c>
      <c r="Q137" s="121">
        <v>0</v>
      </c>
      <c r="R137" s="121">
        <f t="shared" si="7"/>
        <v>3349385.815</v>
      </c>
      <c r="S137" s="120"/>
    </row>
    <row r="138" spans="1:19" s="122" customFormat="1" ht="12.75" hidden="1" outlineLevel="1">
      <c r="A138" s="120" t="s">
        <v>1618</v>
      </c>
      <c r="B138" s="121"/>
      <c r="C138" s="121" t="s">
        <v>1619</v>
      </c>
      <c r="D138" s="121" t="s">
        <v>1620</v>
      </c>
      <c r="E138" s="121">
        <v>3932092.892</v>
      </c>
      <c r="F138" s="121">
        <v>8.9</v>
      </c>
      <c r="G138" s="121"/>
      <c r="H138" s="120">
        <v>78867.426</v>
      </c>
      <c r="I138" s="120">
        <v>0</v>
      </c>
      <c r="J138" s="120">
        <v>214830.766</v>
      </c>
      <c r="K138" s="120">
        <v>55668.401</v>
      </c>
      <c r="L138" s="120">
        <v>0</v>
      </c>
      <c r="M138" s="120">
        <v>0</v>
      </c>
      <c r="N138" s="120">
        <v>87126.643</v>
      </c>
      <c r="O138" s="120">
        <v>0</v>
      </c>
      <c r="P138" s="121">
        <v>436493.23600000003</v>
      </c>
      <c r="Q138" s="121">
        <v>0</v>
      </c>
      <c r="R138" s="121">
        <f t="shared" si="7"/>
        <v>4368595.028</v>
      </c>
      <c r="S138" s="120"/>
    </row>
    <row r="139" spans="1:19" s="122" customFormat="1" ht="12.75" hidden="1" outlineLevel="1">
      <c r="A139" s="120" t="s">
        <v>1621</v>
      </c>
      <c r="B139" s="121"/>
      <c r="C139" s="121" t="s">
        <v>1622</v>
      </c>
      <c r="D139" s="121" t="s">
        <v>1623</v>
      </c>
      <c r="E139" s="121">
        <v>1625825.469</v>
      </c>
      <c r="F139" s="121">
        <v>21425.993</v>
      </c>
      <c r="G139" s="121"/>
      <c r="H139" s="120">
        <v>0</v>
      </c>
      <c r="I139" s="120">
        <v>0</v>
      </c>
      <c r="J139" s="120">
        <v>73.02</v>
      </c>
      <c r="K139" s="120">
        <v>0</v>
      </c>
      <c r="L139" s="120">
        <v>1966.456</v>
      </c>
      <c r="M139" s="120">
        <v>2079</v>
      </c>
      <c r="N139" s="120">
        <v>0</v>
      </c>
      <c r="O139" s="120">
        <v>3764.336</v>
      </c>
      <c r="P139" s="121">
        <v>7882.812</v>
      </c>
      <c r="Q139" s="121">
        <v>0</v>
      </c>
      <c r="R139" s="121">
        <f t="shared" si="7"/>
        <v>1655134.274</v>
      </c>
      <c r="S139" s="120"/>
    </row>
    <row r="140" spans="1:19" s="122" customFormat="1" ht="12.75" hidden="1" outlineLevel="1">
      <c r="A140" s="120" t="s">
        <v>1624</v>
      </c>
      <c r="B140" s="121"/>
      <c r="C140" s="121" t="s">
        <v>1625</v>
      </c>
      <c r="D140" s="121" t="s">
        <v>1626</v>
      </c>
      <c r="E140" s="121">
        <v>1603.9</v>
      </c>
      <c r="F140" s="121">
        <v>0</v>
      </c>
      <c r="G140" s="121"/>
      <c r="H140" s="120">
        <v>0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1">
        <v>0</v>
      </c>
      <c r="Q140" s="121">
        <v>0</v>
      </c>
      <c r="R140" s="121">
        <f t="shared" si="7"/>
        <v>1603.9</v>
      </c>
      <c r="S140" s="120"/>
    </row>
    <row r="141" spans="1:19" s="122" customFormat="1" ht="12.75" hidden="1" outlineLevel="1">
      <c r="A141" s="120" t="s">
        <v>1627</v>
      </c>
      <c r="B141" s="121"/>
      <c r="C141" s="121" t="s">
        <v>1628</v>
      </c>
      <c r="D141" s="121" t="s">
        <v>1629</v>
      </c>
      <c r="E141" s="121">
        <v>155433.29</v>
      </c>
      <c r="F141" s="121">
        <v>10325.73</v>
      </c>
      <c r="G141" s="121"/>
      <c r="H141" s="120">
        <v>2071.62</v>
      </c>
      <c r="I141" s="120">
        <v>6844.48</v>
      </c>
      <c r="J141" s="120">
        <v>949.23</v>
      </c>
      <c r="K141" s="120">
        <v>1586.49</v>
      </c>
      <c r="L141" s="120">
        <v>-1.67</v>
      </c>
      <c r="M141" s="120">
        <v>2279.68</v>
      </c>
      <c r="N141" s="120">
        <v>-2998.88</v>
      </c>
      <c r="O141" s="120">
        <v>-10649.38</v>
      </c>
      <c r="P141" s="121">
        <v>81.56999999999789</v>
      </c>
      <c r="Q141" s="121">
        <v>0</v>
      </c>
      <c r="R141" s="121">
        <f t="shared" si="7"/>
        <v>165840.59000000003</v>
      </c>
      <c r="S141" s="120"/>
    </row>
    <row r="142" spans="1:19" s="122" customFormat="1" ht="12.75" hidden="1" outlineLevel="1">
      <c r="A142" s="120" t="s">
        <v>1630</v>
      </c>
      <c r="B142" s="121"/>
      <c r="C142" s="121" t="s">
        <v>1631</v>
      </c>
      <c r="D142" s="121" t="s">
        <v>1632</v>
      </c>
      <c r="E142" s="121">
        <v>5441294.92</v>
      </c>
      <c r="F142" s="121">
        <v>3500</v>
      </c>
      <c r="G142" s="121"/>
      <c r="H142" s="120">
        <v>0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1">
        <v>0</v>
      </c>
      <c r="Q142" s="121">
        <v>0</v>
      </c>
      <c r="R142" s="121">
        <f t="shared" si="7"/>
        <v>5444794.92</v>
      </c>
      <c r="S142" s="120"/>
    </row>
    <row r="143" spans="1:44" s="152" customFormat="1" ht="12.75" customHeight="1" collapsed="1">
      <c r="A143" s="148" t="s">
        <v>1633</v>
      </c>
      <c r="B143" s="148"/>
      <c r="C143" s="150" t="s">
        <v>3844</v>
      </c>
      <c r="D143" s="157"/>
      <c r="E143" s="117">
        <v>118871461.00199999</v>
      </c>
      <c r="F143" s="117">
        <v>2579422.4729999998</v>
      </c>
      <c r="G143" s="117">
        <v>8664652.966</v>
      </c>
      <c r="H143" s="148">
        <v>2260533.537</v>
      </c>
      <c r="I143" s="148">
        <v>278618.08499999996</v>
      </c>
      <c r="J143" s="148">
        <v>252852.976</v>
      </c>
      <c r="K143" s="148">
        <v>429617.30100000004</v>
      </c>
      <c r="L143" s="148">
        <v>8885.235999999999</v>
      </c>
      <c r="M143" s="148">
        <v>225023.2</v>
      </c>
      <c r="N143" s="148">
        <v>101209.26299999999</v>
      </c>
      <c r="O143" s="148">
        <v>682638.079</v>
      </c>
      <c r="P143" s="117">
        <v>4239377.677</v>
      </c>
      <c r="Q143" s="117">
        <v>0</v>
      </c>
      <c r="R143" s="117">
        <f t="shared" si="7"/>
        <v>134354914.118</v>
      </c>
      <c r="S143" s="150"/>
      <c r="T143" s="151"/>
      <c r="U143" s="151"/>
      <c r="V143" s="151"/>
      <c r="W143" s="151"/>
      <c r="X143" s="151"/>
      <c r="Y143" s="151"/>
      <c r="Z143" s="151"/>
      <c r="AA143" s="151"/>
      <c r="AB143" s="151"/>
      <c r="AC143" s="151"/>
      <c r="AD143" s="151"/>
      <c r="AE143" s="151"/>
      <c r="AF143" s="151"/>
      <c r="AG143" s="151"/>
      <c r="AH143" s="151"/>
      <c r="AI143" s="151"/>
      <c r="AJ143" s="151"/>
      <c r="AK143" s="151"/>
      <c r="AL143" s="151"/>
      <c r="AM143" s="151"/>
      <c r="AN143" s="151"/>
      <c r="AO143" s="151"/>
      <c r="AP143" s="151"/>
      <c r="AQ143" s="151"/>
      <c r="AR143" s="151"/>
    </row>
    <row r="144" spans="1:19" s="122" customFormat="1" ht="12.75" hidden="1" outlineLevel="1">
      <c r="A144" s="120" t="s">
        <v>1634</v>
      </c>
      <c r="B144" s="121"/>
      <c r="C144" s="121" t="s">
        <v>1635</v>
      </c>
      <c r="D144" s="121" t="s">
        <v>1636</v>
      </c>
      <c r="E144" s="121">
        <v>9341007.39</v>
      </c>
      <c r="F144" s="121">
        <v>69055.3</v>
      </c>
      <c r="G144" s="121"/>
      <c r="H144" s="120">
        <v>0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1">
        <v>0</v>
      </c>
      <c r="Q144" s="121">
        <v>0</v>
      </c>
      <c r="R144" s="121">
        <f t="shared" si="7"/>
        <v>9410062.690000001</v>
      </c>
      <c r="S144" s="120"/>
    </row>
    <row r="145" spans="1:19" s="122" customFormat="1" ht="12.75" hidden="1" outlineLevel="1">
      <c r="A145" s="120" t="s">
        <v>1637</v>
      </c>
      <c r="B145" s="121"/>
      <c r="C145" s="121" t="s">
        <v>1638</v>
      </c>
      <c r="D145" s="121" t="s">
        <v>1639</v>
      </c>
      <c r="E145" s="121">
        <v>2225891.341</v>
      </c>
      <c r="F145" s="121">
        <v>26069.42</v>
      </c>
      <c r="G145" s="121"/>
      <c r="H145" s="120">
        <v>0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437.58</v>
      </c>
      <c r="P145" s="121">
        <v>437.58</v>
      </c>
      <c r="Q145" s="121">
        <v>0</v>
      </c>
      <c r="R145" s="121">
        <f t="shared" si="7"/>
        <v>2252398.341</v>
      </c>
      <c r="S145" s="120"/>
    </row>
    <row r="146" spans="1:19" s="122" customFormat="1" ht="12.75" hidden="1" outlineLevel="1">
      <c r="A146" s="120" t="s">
        <v>1640</v>
      </c>
      <c r="B146" s="121"/>
      <c r="C146" s="121" t="s">
        <v>1641</v>
      </c>
      <c r="D146" s="121" t="s">
        <v>1642</v>
      </c>
      <c r="E146" s="121">
        <v>5226950.817</v>
      </c>
      <c r="F146" s="121">
        <v>139166.501</v>
      </c>
      <c r="G146" s="121"/>
      <c r="H146" s="120">
        <v>0</v>
      </c>
      <c r="I146" s="120">
        <v>0</v>
      </c>
      <c r="J146" s="120">
        <v>0</v>
      </c>
      <c r="K146" s="120">
        <v>0</v>
      </c>
      <c r="L146" s="120">
        <v>0</v>
      </c>
      <c r="M146" s="120">
        <v>0</v>
      </c>
      <c r="N146" s="120">
        <v>0</v>
      </c>
      <c r="O146" s="120">
        <v>5078.27</v>
      </c>
      <c r="P146" s="121">
        <v>5078.27</v>
      </c>
      <c r="Q146" s="121">
        <v>0</v>
      </c>
      <c r="R146" s="121">
        <f t="shared" si="7"/>
        <v>5371195.5879999995</v>
      </c>
      <c r="S146" s="120"/>
    </row>
    <row r="147" spans="1:19" s="122" customFormat="1" ht="12.75" hidden="1" outlineLevel="1">
      <c r="A147" s="120" t="s">
        <v>1643</v>
      </c>
      <c r="B147" s="121"/>
      <c r="C147" s="121" t="s">
        <v>1644</v>
      </c>
      <c r="D147" s="121" t="s">
        <v>1645</v>
      </c>
      <c r="E147" s="121">
        <v>31399.719</v>
      </c>
      <c r="F147" s="121">
        <v>506.4</v>
      </c>
      <c r="G147" s="121"/>
      <c r="H147" s="120">
        <v>0</v>
      </c>
      <c r="I147" s="120">
        <v>0</v>
      </c>
      <c r="J147" s="120">
        <v>0</v>
      </c>
      <c r="K147" s="120">
        <v>0</v>
      </c>
      <c r="L147" s="120">
        <v>0</v>
      </c>
      <c r="M147" s="120">
        <v>0</v>
      </c>
      <c r="N147" s="120">
        <v>0</v>
      </c>
      <c r="O147" s="120">
        <v>0</v>
      </c>
      <c r="P147" s="121">
        <v>0</v>
      </c>
      <c r="Q147" s="121">
        <v>0</v>
      </c>
      <c r="R147" s="121">
        <f t="shared" si="7"/>
        <v>31906.119000000002</v>
      </c>
      <c r="S147" s="120"/>
    </row>
    <row r="148" spans="1:19" s="122" customFormat="1" ht="12.75" hidden="1" outlineLevel="1">
      <c r="A148" s="120" t="s">
        <v>1646</v>
      </c>
      <c r="B148" s="121"/>
      <c r="C148" s="121" t="s">
        <v>1647</v>
      </c>
      <c r="D148" s="121" t="s">
        <v>1648</v>
      </c>
      <c r="E148" s="121">
        <v>4489357.504</v>
      </c>
      <c r="F148" s="121">
        <v>62617.84</v>
      </c>
      <c r="G148" s="121"/>
      <c r="H148" s="120">
        <v>13713.69</v>
      </c>
      <c r="I148" s="120">
        <v>22310.74</v>
      </c>
      <c r="J148" s="120">
        <v>10718.79</v>
      </c>
      <c r="K148" s="120">
        <v>12795.82</v>
      </c>
      <c r="L148" s="120">
        <v>0</v>
      </c>
      <c r="M148" s="120">
        <v>6986.05</v>
      </c>
      <c r="N148" s="120">
        <v>0</v>
      </c>
      <c r="O148" s="120">
        <v>62401.154</v>
      </c>
      <c r="P148" s="121">
        <v>128926.244</v>
      </c>
      <c r="Q148" s="121">
        <v>0</v>
      </c>
      <c r="R148" s="121">
        <f t="shared" si="7"/>
        <v>4680901.5879999995</v>
      </c>
      <c r="S148" s="120"/>
    </row>
    <row r="149" spans="1:19" s="122" customFormat="1" ht="12.75" hidden="1" outlineLevel="1">
      <c r="A149" s="120" t="s">
        <v>1649</v>
      </c>
      <c r="B149" s="121"/>
      <c r="C149" s="121" t="s">
        <v>1650</v>
      </c>
      <c r="D149" s="121" t="s">
        <v>1651</v>
      </c>
      <c r="E149" s="121">
        <v>2789639.185</v>
      </c>
      <c r="F149" s="121">
        <v>40295.38</v>
      </c>
      <c r="G149" s="121"/>
      <c r="H149" s="120">
        <v>12631.57</v>
      </c>
      <c r="I149" s="120">
        <v>48624.39</v>
      </c>
      <c r="J149" s="120">
        <v>0</v>
      </c>
      <c r="K149" s="120">
        <v>161.43</v>
      </c>
      <c r="L149" s="120">
        <v>0</v>
      </c>
      <c r="M149" s="120">
        <v>9148.89</v>
      </c>
      <c r="N149" s="120">
        <v>0</v>
      </c>
      <c r="O149" s="120">
        <v>23210.884</v>
      </c>
      <c r="P149" s="121">
        <v>93777.16399999999</v>
      </c>
      <c r="Q149" s="121">
        <v>0</v>
      </c>
      <c r="R149" s="121">
        <f t="shared" si="7"/>
        <v>2923711.729</v>
      </c>
      <c r="S149" s="120"/>
    </row>
    <row r="150" spans="1:19" s="122" customFormat="1" ht="12.75" hidden="1" outlineLevel="1">
      <c r="A150" s="120" t="s">
        <v>1652</v>
      </c>
      <c r="B150" s="121"/>
      <c r="C150" s="121" t="s">
        <v>1653</v>
      </c>
      <c r="D150" s="121" t="s">
        <v>1654</v>
      </c>
      <c r="E150" s="121">
        <v>664013.7320000001</v>
      </c>
      <c r="F150" s="121">
        <v>170.4</v>
      </c>
      <c r="G150" s="121"/>
      <c r="H150" s="120">
        <v>7341.05</v>
      </c>
      <c r="I150" s="120">
        <v>0</v>
      </c>
      <c r="J150" s="120">
        <v>0</v>
      </c>
      <c r="K150" s="120">
        <v>6216.21</v>
      </c>
      <c r="L150" s="120">
        <v>612.04</v>
      </c>
      <c r="M150" s="120">
        <v>46463.223</v>
      </c>
      <c r="N150" s="120">
        <v>0</v>
      </c>
      <c r="O150" s="120">
        <v>52300.752</v>
      </c>
      <c r="P150" s="121">
        <v>112933.275</v>
      </c>
      <c r="Q150" s="121">
        <v>0</v>
      </c>
      <c r="R150" s="121">
        <f t="shared" si="7"/>
        <v>777117.4070000001</v>
      </c>
      <c r="S150" s="120"/>
    </row>
    <row r="151" spans="1:19" s="122" customFormat="1" ht="12.75" hidden="1" outlineLevel="1">
      <c r="A151" s="120" t="s">
        <v>1655</v>
      </c>
      <c r="B151" s="121"/>
      <c r="C151" s="121" t="s">
        <v>1656</v>
      </c>
      <c r="D151" s="121" t="s">
        <v>1657</v>
      </c>
      <c r="E151" s="121">
        <v>2314266.824</v>
      </c>
      <c r="F151" s="121">
        <v>120665.284</v>
      </c>
      <c r="G151" s="121"/>
      <c r="H151" s="120">
        <v>0</v>
      </c>
      <c r="I151" s="120">
        <v>7922.442</v>
      </c>
      <c r="J151" s="120">
        <v>0</v>
      </c>
      <c r="K151" s="120">
        <v>8708.187</v>
      </c>
      <c r="L151" s="120">
        <v>0</v>
      </c>
      <c r="M151" s="120">
        <v>248.04</v>
      </c>
      <c r="N151" s="120">
        <v>0</v>
      </c>
      <c r="O151" s="120">
        <v>35502.507</v>
      </c>
      <c r="P151" s="121">
        <v>52381.176</v>
      </c>
      <c r="Q151" s="121">
        <v>0</v>
      </c>
      <c r="R151" s="121">
        <f t="shared" si="7"/>
        <v>2487313.284</v>
      </c>
      <c r="S151" s="120"/>
    </row>
    <row r="152" spans="1:19" s="122" customFormat="1" ht="12.75" hidden="1" outlineLevel="1">
      <c r="A152" s="120" t="s">
        <v>1658</v>
      </c>
      <c r="B152" s="121"/>
      <c r="C152" s="121" t="s">
        <v>1659</v>
      </c>
      <c r="D152" s="121" t="s">
        <v>1660</v>
      </c>
      <c r="E152" s="121">
        <v>284705.829</v>
      </c>
      <c r="F152" s="121">
        <v>0</v>
      </c>
      <c r="G152" s="121"/>
      <c r="H152" s="120">
        <v>584445.292</v>
      </c>
      <c r="I152" s="120">
        <v>0</v>
      </c>
      <c r="J152" s="120">
        <v>0</v>
      </c>
      <c r="K152" s="120">
        <v>72852.796</v>
      </c>
      <c r="L152" s="120">
        <v>0</v>
      </c>
      <c r="M152" s="120">
        <v>0</v>
      </c>
      <c r="N152" s="120">
        <v>4937.017</v>
      </c>
      <c r="O152" s="120">
        <v>0</v>
      </c>
      <c r="P152" s="121">
        <v>662235.105</v>
      </c>
      <c r="Q152" s="121">
        <v>0</v>
      </c>
      <c r="R152" s="121">
        <f t="shared" si="7"/>
        <v>946940.934</v>
      </c>
      <c r="S152" s="120"/>
    </row>
    <row r="153" spans="1:19" s="122" customFormat="1" ht="12.75" hidden="1" outlineLevel="1">
      <c r="A153" s="120" t="s">
        <v>1661</v>
      </c>
      <c r="B153" s="121"/>
      <c r="C153" s="121" t="s">
        <v>1662</v>
      </c>
      <c r="D153" s="121" t="s">
        <v>1663</v>
      </c>
      <c r="E153" s="121">
        <v>1041522.263</v>
      </c>
      <c r="F153" s="121">
        <v>0.64</v>
      </c>
      <c r="G153" s="121"/>
      <c r="H153" s="120">
        <v>22231.51</v>
      </c>
      <c r="I153" s="120">
        <v>0</v>
      </c>
      <c r="J153" s="120">
        <v>60443.431</v>
      </c>
      <c r="K153" s="120">
        <v>13617.19</v>
      </c>
      <c r="L153" s="120">
        <v>0</v>
      </c>
      <c r="M153" s="120">
        <v>0</v>
      </c>
      <c r="N153" s="120">
        <v>24807.253</v>
      </c>
      <c r="O153" s="120">
        <v>0</v>
      </c>
      <c r="P153" s="121">
        <v>121099.38399999999</v>
      </c>
      <c r="Q153" s="121">
        <v>0</v>
      </c>
      <c r="R153" s="121">
        <f t="shared" si="7"/>
        <v>1162622.287</v>
      </c>
      <c r="S153" s="120"/>
    </row>
    <row r="154" spans="1:19" s="122" customFormat="1" ht="12.75" hidden="1" outlineLevel="1">
      <c r="A154" s="120" t="s">
        <v>1664</v>
      </c>
      <c r="B154" s="121"/>
      <c r="C154" s="121" t="s">
        <v>1665</v>
      </c>
      <c r="D154" s="121" t="s">
        <v>1666</v>
      </c>
      <c r="E154" s="121">
        <v>17203.848</v>
      </c>
      <c r="F154" s="121">
        <v>204.28</v>
      </c>
      <c r="G154" s="121"/>
      <c r="H154" s="120">
        <v>0</v>
      </c>
      <c r="I154" s="120">
        <v>0</v>
      </c>
      <c r="J154" s="120">
        <v>0</v>
      </c>
      <c r="K154" s="120">
        <v>0</v>
      </c>
      <c r="L154" s="120">
        <v>0</v>
      </c>
      <c r="M154" s="120">
        <v>0</v>
      </c>
      <c r="N154" s="120">
        <v>0</v>
      </c>
      <c r="O154" s="120">
        <v>0</v>
      </c>
      <c r="P154" s="121">
        <v>0</v>
      </c>
      <c r="Q154" s="121">
        <v>0</v>
      </c>
      <c r="R154" s="121">
        <f t="shared" si="7"/>
        <v>17408.128</v>
      </c>
      <c r="S154" s="120"/>
    </row>
    <row r="155" spans="1:19" s="122" customFormat="1" ht="12.75" hidden="1" outlineLevel="1">
      <c r="A155" s="120" t="s">
        <v>1667</v>
      </c>
      <c r="B155" s="121"/>
      <c r="C155" s="121" t="s">
        <v>1668</v>
      </c>
      <c r="D155" s="121" t="s">
        <v>1669</v>
      </c>
      <c r="E155" s="121">
        <v>574.11</v>
      </c>
      <c r="F155" s="121">
        <v>0</v>
      </c>
      <c r="G155" s="121"/>
      <c r="H155" s="120">
        <v>0</v>
      </c>
      <c r="I155" s="120">
        <v>0</v>
      </c>
      <c r="J155" s="120">
        <v>0</v>
      </c>
      <c r="K155" s="120">
        <v>0</v>
      </c>
      <c r="L155" s="120">
        <v>0</v>
      </c>
      <c r="M155" s="120">
        <v>0</v>
      </c>
      <c r="N155" s="120">
        <v>0</v>
      </c>
      <c r="O155" s="120">
        <v>0</v>
      </c>
      <c r="P155" s="121">
        <v>0</v>
      </c>
      <c r="Q155" s="121">
        <v>0</v>
      </c>
      <c r="R155" s="121">
        <f t="shared" si="7"/>
        <v>574.11</v>
      </c>
      <c r="S155" s="120"/>
    </row>
    <row r="156" spans="1:19" s="122" customFormat="1" ht="12.75" hidden="1" outlineLevel="1">
      <c r="A156" s="120" t="s">
        <v>1670</v>
      </c>
      <c r="B156" s="121"/>
      <c r="C156" s="121" t="s">
        <v>1671</v>
      </c>
      <c r="D156" s="121" t="s">
        <v>1672</v>
      </c>
      <c r="E156" s="121">
        <v>0</v>
      </c>
      <c r="F156" s="121">
        <v>267.75</v>
      </c>
      <c r="G156" s="121"/>
      <c r="H156" s="120">
        <v>0</v>
      </c>
      <c r="I156" s="120">
        <v>0</v>
      </c>
      <c r="J156" s="120">
        <v>0</v>
      </c>
      <c r="K156" s="120">
        <v>0</v>
      </c>
      <c r="L156" s="120">
        <v>0</v>
      </c>
      <c r="M156" s="120">
        <v>0</v>
      </c>
      <c r="N156" s="120">
        <v>0</v>
      </c>
      <c r="O156" s="120">
        <v>0</v>
      </c>
      <c r="P156" s="121">
        <v>0</v>
      </c>
      <c r="Q156" s="121">
        <v>0</v>
      </c>
      <c r="R156" s="121">
        <f t="shared" si="7"/>
        <v>267.75</v>
      </c>
      <c r="S156" s="120"/>
    </row>
    <row r="157" spans="1:19" s="122" customFormat="1" ht="12.75" hidden="1" outlineLevel="1">
      <c r="A157" s="120" t="s">
        <v>1673</v>
      </c>
      <c r="B157" s="121"/>
      <c r="C157" s="121" t="s">
        <v>1674</v>
      </c>
      <c r="D157" s="121" t="s">
        <v>1675</v>
      </c>
      <c r="E157" s="121">
        <v>79742.18</v>
      </c>
      <c r="F157" s="121">
        <v>0</v>
      </c>
      <c r="G157" s="121"/>
      <c r="H157" s="120">
        <v>0</v>
      </c>
      <c r="I157" s="120">
        <v>0</v>
      </c>
      <c r="J157" s="120">
        <v>0</v>
      </c>
      <c r="K157" s="120">
        <v>0</v>
      </c>
      <c r="L157" s="120">
        <v>0</v>
      </c>
      <c r="M157" s="120">
        <v>0</v>
      </c>
      <c r="N157" s="120">
        <v>0</v>
      </c>
      <c r="O157" s="120">
        <v>0</v>
      </c>
      <c r="P157" s="121">
        <v>0</v>
      </c>
      <c r="Q157" s="121">
        <v>0</v>
      </c>
      <c r="R157" s="121">
        <f t="shared" si="7"/>
        <v>79742.18</v>
      </c>
      <c r="S157" s="120"/>
    </row>
    <row r="158" spans="1:19" s="122" customFormat="1" ht="12.75" hidden="1" outlineLevel="1">
      <c r="A158" s="120" t="s">
        <v>1676</v>
      </c>
      <c r="B158" s="121"/>
      <c r="C158" s="121" t="s">
        <v>1677</v>
      </c>
      <c r="D158" s="121" t="s">
        <v>1678</v>
      </c>
      <c r="E158" s="121">
        <v>25537.26</v>
      </c>
      <c r="F158" s="121">
        <v>1712</v>
      </c>
      <c r="G158" s="121"/>
      <c r="H158" s="120">
        <v>343.48</v>
      </c>
      <c r="I158" s="120">
        <v>1134.82</v>
      </c>
      <c r="J158" s="120">
        <v>157.4</v>
      </c>
      <c r="K158" s="120">
        <v>263.03</v>
      </c>
      <c r="L158" s="120">
        <v>-0.28</v>
      </c>
      <c r="M158" s="120">
        <v>377.99</v>
      </c>
      <c r="N158" s="120">
        <v>-497.22</v>
      </c>
      <c r="O158" s="120">
        <v>-1765.66</v>
      </c>
      <c r="P158" s="121">
        <v>13.559999999999945</v>
      </c>
      <c r="Q158" s="121">
        <v>0</v>
      </c>
      <c r="R158" s="121">
        <f t="shared" si="7"/>
        <v>27262.82</v>
      </c>
      <c r="S158" s="120"/>
    </row>
    <row r="159" spans="1:19" s="122" customFormat="1" ht="12.75" hidden="1" outlineLevel="1">
      <c r="A159" s="120" t="s">
        <v>1679</v>
      </c>
      <c r="B159" s="121"/>
      <c r="C159" s="121" t="s">
        <v>1680</v>
      </c>
      <c r="D159" s="121" t="s">
        <v>1681</v>
      </c>
      <c r="E159" s="121">
        <v>117.95</v>
      </c>
      <c r="F159" s="121">
        <v>0</v>
      </c>
      <c r="G159" s="121"/>
      <c r="H159" s="120">
        <v>0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1">
        <v>0</v>
      </c>
      <c r="Q159" s="121">
        <v>0</v>
      </c>
      <c r="R159" s="121">
        <f t="shared" si="7"/>
        <v>117.95</v>
      </c>
      <c r="S159" s="120"/>
    </row>
    <row r="160" spans="1:44" s="152" customFormat="1" ht="12.75" customHeight="1" collapsed="1">
      <c r="A160" s="148" t="s">
        <v>1682</v>
      </c>
      <c r="B160" s="148"/>
      <c r="C160" s="150" t="s">
        <v>3711</v>
      </c>
      <c r="D160" s="157"/>
      <c r="E160" s="117">
        <v>28531929.951999996</v>
      </c>
      <c r="F160" s="117">
        <v>460731.19500000007</v>
      </c>
      <c r="G160" s="117">
        <v>2040630.043</v>
      </c>
      <c r="H160" s="148">
        <v>640706.5920000001</v>
      </c>
      <c r="I160" s="148">
        <v>79992.392</v>
      </c>
      <c r="J160" s="148">
        <v>71319.62099999998</v>
      </c>
      <c r="K160" s="148">
        <v>114614.663</v>
      </c>
      <c r="L160" s="148">
        <v>611.76</v>
      </c>
      <c r="M160" s="148">
        <v>63224.193</v>
      </c>
      <c r="N160" s="148">
        <v>29247.05</v>
      </c>
      <c r="O160" s="148">
        <v>177165.487</v>
      </c>
      <c r="P160" s="117">
        <v>1176881.7580000001</v>
      </c>
      <c r="Q160" s="117">
        <v>0</v>
      </c>
      <c r="R160" s="117">
        <f t="shared" si="7"/>
        <v>32210172.948</v>
      </c>
      <c r="S160" s="150"/>
      <c r="T160" s="151"/>
      <c r="U160" s="151"/>
      <c r="V160" s="151"/>
      <c r="W160" s="151"/>
      <c r="X160" s="151"/>
      <c r="Y160" s="151"/>
      <c r="Z160" s="151"/>
      <c r="AA160" s="151"/>
      <c r="AB160" s="151"/>
      <c r="AC160" s="151"/>
      <c r="AD160" s="151"/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</row>
    <row r="161" spans="1:19" s="122" customFormat="1" ht="12.75" hidden="1" outlineLevel="1">
      <c r="A161" s="120" t="s">
        <v>1683</v>
      </c>
      <c r="B161" s="121"/>
      <c r="C161" s="121" t="s">
        <v>1684</v>
      </c>
      <c r="D161" s="121" t="s">
        <v>1685</v>
      </c>
      <c r="E161" s="121">
        <v>-446457.84</v>
      </c>
      <c r="F161" s="121">
        <v>0</v>
      </c>
      <c r="G161" s="121"/>
      <c r="H161" s="120">
        <v>-6145977.08</v>
      </c>
      <c r="I161" s="120">
        <v>-1090617.53</v>
      </c>
      <c r="J161" s="120">
        <v>-538093.1</v>
      </c>
      <c r="K161" s="120">
        <v>-896215.31</v>
      </c>
      <c r="L161" s="120">
        <v>-1042191.9</v>
      </c>
      <c r="M161" s="120">
        <v>-1675525.01</v>
      </c>
      <c r="N161" s="120">
        <v>-356534.4</v>
      </c>
      <c r="O161" s="120">
        <v>-456635.34</v>
      </c>
      <c r="P161" s="121">
        <v>-12201789.67</v>
      </c>
      <c r="Q161" s="121">
        <v>0</v>
      </c>
      <c r="R161" s="121">
        <f t="shared" si="7"/>
        <v>-12648247.51</v>
      </c>
      <c r="S161" s="120"/>
    </row>
    <row r="162" spans="1:19" s="122" customFormat="1" ht="12.75" hidden="1" outlineLevel="1">
      <c r="A162" s="120" t="s">
        <v>1686</v>
      </c>
      <c r="B162" s="121"/>
      <c r="C162" s="121" t="s">
        <v>1687</v>
      </c>
      <c r="D162" s="121" t="s">
        <v>1688</v>
      </c>
      <c r="E162" s="121">
        <v>71739.67</v>
      </c>
      <c r="F162" s="121">
        <v>0</v>
      </c>
      <c r="G162" s="121"/>
      <c r="H162" s="120">
        <v>2265201.66</v>
      </c>
      <c r="I162" s="120">
        <v>0</v>
      </c>
      <c r="J162" s="120">
        <v>0</v>
      </c>
      <c r="K162" s="120">
        <v>30581.61</v>
      </c>
      <c r="L162" s="120">
        <v>0</v>
      </c>
      <c r="M162" s="120">
        <v>0</v>
      </c>
      <c r="N162" s="120">
        <v>201692.84</v>
      </c>
      <c r="O162" s="120">
        <v>0</v>
      </c>
      <c r="P162" s="121">
        <v>2497476.11</v>
      </c>
      <c r="Q162" s="121">
        <v>0</v>
      </c>
      <c r="R162" s="121">
        <f t="shared" si="7"/>
        <v>2569215.78</v>
      </c>
      <c r="S162" s="120"/>
    </row>
    <row r="163" spans="1:19" s="122" customFormat="1" ht="12.75" hidden="1" outlineLevel="1">
      <c r="A163" s="120" t="s">
        <v>1689</v>
      </c>
      <c r="B163" s="121"/>
      <c r="C163" s="121" t="s">
        <v>1690</v>
      </c>
      <c r="D163" s="121" t="s">
        <v>1691</v>
      </c>
      <c r="E163" s="121">
        <v>0</v>
      </c>
      <c r="F163" s="121">
        <v>0</v>
      </c>
      <c r="G163" s="121"/>
      <c r="H163" s="120">
        <v>0</v>
      </c>
      <c r="I163" s="120">
        <v>0</v>
      </c>
      <c r="J163" s="120">
        <v>0</v>
      </c>
      <c r="K163" s="120">
        <v>0</v>
      </c>
      <c r="L163" s="120">
        <v>6468.75</v>
      </c>
      <c r="M163" s="120">
        <v>0</v>
      </c>
      <c r="N163" s="120">
        <v>0</v>
      </c>
      <c r="O163" s="120">
        <v>0</v>
      </c>
      <c r="P163" s="121">
        <v>6468.75</v>
      </c>
      <c r="Q163" s="121">
        <v>0</v>
      </c>
      <c r="R163" s="121">
        <f t="shared" si="7"/>
        <v>6468.75</v>
      </c>
      <c r="S163" s="120"/>
    </row>
    <row r="164" spans="1:19" s="122" customFormat="1" ht="12.75" hidden="1" outlineLevel="1">
      <c r="A164" s="120" t="s">
        <v>1692</v>
      </c>
      <c r="B164" s="121"/>
      <c r="C164" s="121" t="s">
        <v>1693</v>
      </c>
      <c r="D164" s="121" t="s">
        <v>1694</v>
      </c>
      <c r="E164" s="121">
        <v>0</v>
      </c>
      <c r="F164" s="121">
        <v>0</v>
      </c>
      <c r="G164" s="121"/>
      <c r="H164" s="120">
        <v>0</v>
      </c>
      <c r="I164" s="120">
        <v>0</v>
      </c>
      <c r="J164" s="120">
        <v>0</v>
      </c>
      <c r="K164" s="120">
        <v>0</v>
      </c>
      <c r="L164" s="120">
        <v>86.13</v>
      </c>
      <c r="M164" s="120">
        <v>0</v>
      </c>
      <c r="N164" s="120">
        <v>0</v>
      </c>
      <c r="O164" s="120">
        <v>0</v>
      </c>
      <c r="P164" s="121">
        <v>86.13</v>
      </c>
      <c r="Q164" s="121">
        <v>0</v>
      </c>
      <c r="R164" s="121">
        <f t="shared" si="7"/>
        <v>86.13</v>
      </c>
      <c r="S164" s="120"/>
    </row>
    <row r="165" spans="1:19" s="122" customFormat="1" ht="12.75" hidden="1" outlineLevel="1">
      <c r="A165" s="120" t="s">
        <v>1695</v>
      </c>
      <c r="B165" s="121"/>
      <c r="C165" s="121" t="s">
        <v>1696</v>
      </c>
      <c r="D165" s="121" t="s">
        <v>1697</v>
      </c>
      <c r="E165" s="121">
        <v>0</v>
      </c>
      <c r="F165" s="121">
        <v>0</v>
      </c>
      <c r="G165" s="121"/>
      <c r="H165" s="120">
        <v>0</v>
      </c>
      <c r="I165" s="120">
        <v>0</v>
      </c>
      <c r="J165" s="120">
        <v>0</v>
      </c>
      <c r="K165" s="120">
        <v>0</v>
      </c>
      <c r="L165" s="120">
        <v>986.98</v>
      </c>
      <c r="M165" s="120">
        <v>0</v>
      </c>
      <c r="N165" s="120">
        <v>0</v>
      </c>
      <c r="O165" s="120">
        <v>0</v>
      </c>
      <c r="P165" s="121">
        <v>986.98</v>
      </c>
      <c r="Q165" s="121">
        <v>0</v>
      </c>
      <c r="R165" s="121">
        <f t="shared" si="7"/>
        <v>986.98</v>
      </c>
      <c r="S165" s="120"/>
    </row>
    <row r="166" spans="1:19" s="122" customFormat="1" ht="12.75" hidden="1" outlineLevel="1">
      <c r="A166" s="120" t="s">
        <v>1698</v>
      </c>
      <c r="B166" s="121"/>
      <c r="C166" s="121" t="s">
        <v>1699</v>
      </c>
      <c r="D166" s="121" t="s">
        <v>1700</v>
      </c>
      <c r="E166" s="121">
        <v>0</v>
      </c>
      <c r="F166" s="121">
        <v>0</v>
      </c>
      <c r="G166" s="121"/>
      <c r="H166" s="120">
        <v>0</v>
      </c>
      <c r="I166" s="120">
        <v>0</v>
      </c>
      <c r="J166" s="120">
        <v>0</v>
      </c>
      <c r="K166" s="120">
        <v>0</v>
      </c>
      <c r="L166" s="120">
        <v>42.6</v>
      </c>
      <c r="M166" s="120">
        <v>0</v>
      </c>
      <c r="N166" s="120">
        <v>0</v>
      </c>
      <c r="O166" s="120">
        <v>0</v>
      </c>
      <c r="P166" s="121">
        <v>42.6</v>
      </c>
      <c r="Q166" s="121">
        <v>0</v>
      </c>
      <c r="R166" s="121">
        <f t="shared" si="7"/>
        <v>42.6</v>
      </c>
      <c r="S166" s="120"/>
    </row>
    <row r="167" spans="1:19" s="122" customFormat="1" ht="12.75" hidden="1" outlineLevel="1">
      <c r="A167" s="120" t="s">
        <v>1701</v>
      </c>
      <c r="B167" s="121"/>
      <c r="C167" s="121" t="s">
        <v>1702</v>
      </c>
      <c r="D167" s="121" t="s">
        <v>1703</v>
      </c>
      <c r="E167" s="121">
        <v>0</v>
      </c>
      <c r="F167" s="121">
        <v>0</v>
      </c>
      <c r="G167" s="121"/>
      <c r="H167" s="120">
        <v>0</v>
      </c>
      <c r="I167" s="120">
        <v>0</v>
      </c>
      <c r="J167" s="120">
        <v>0</v>
      </c>
      <c r="K167" s="120">
        <v>0</v>
      </c>
      <c r="L167" s="120">
        <v>2505.2</v>
      </c>
      <c r="M167" s="120">
        <v>0</v>
      </c>
      <c r="N167" s="120">
        <v>0</v>
      </c>
      <c r="O167" s="120">
        <v>0</v>
      </c>
      <c r="P167" s="121">
        <v>2505.2</v>
      </c>
      <c r="Q167" s="121">
        <v>0</v>
      </c>
      <c r="R167" s="121">
        <f t="shared" si="7"/>
        <v>2505.2</v>
      </c>
      <c r="S167" s="120"/>
    </row>
    <row r="168" spans="1:19" s="122" customFormat="1" ht="12.75" hidden="1" outlineLevel="1">
      <c r="A168" s="120" t="s">
        <v>1704</v>
      </c>
      <c r="B168" s="121"/>
      <c r="C168" s="121" t="s">
        <v>1705</v>
      </c>
      <c r="D168" s="121" t="s">
        <v>1706</v>
      </c>
      <c r="E168" s="121">
        <v>0</v>
      </c>
      <c r="F168" s="121">
        <v>0</v>
      </c>
      <c r="G168" s="121"/>
      <c r="H168" s="120">
        <v>0</v>
      </c>
      <c r="I168" s="120">
        <v>0</v>
      </c>
      <c r="J168" s="120">
        <v>0</v>
      </c>
      <c r="K168" s="120">
        <v>0</v>
      </c>
      <c r="L168" s="120">
        <v>20459.75</v>
      </c>
      <c r="M168" s="120">
        <v>0</v>
      </c>
      <c r="N168" s="120">
        <v>0</v>
      </c>
      <c r="O168" s="120">
        <v>0</v>
      </c>
      <c r="P168" s="121">
        <v>20459.75</v>
      </c>
      <c r="Q168" s="121">
        <v>0</v>
      </c>
      <c r="R168" s="121">
        <f t="shared" si="7"/>
        <v>20459.75</v>
      </c>
      <c r="S168" s="120"/>
    </row>
    <row r="169" spans="1:19" s="122" customFormat="1" ht="12.75" hidden="1" outlineLevel="1">
      <c r="A169" s="120" t="s">
        <v>1707</v>
      </c>
      <c r="B169" s="121"/>
      <c r="C169" s="121" t="s">
        <v>1708</v>
      </c>
      <c r="D169" s="121" t="s">
        <v>1709</v>
      </c>
      <c r="E169" s="121">
        <v>0</v>
      </c>
      <c r="F169" s="121">
        <v>0</v>
      </c>
      <c r="G169" s="121"/>
      <c r="H169" s="120">
        <v>0</v>
      </c>
      <c r="I169" s="120">
        <v>0</v>
      </c>
      <c r="J169" s="120">
        <v>0</v>
      </c>
      <c r="K169" s="120">
        <v>0</v>
      </c>
      <c r="L169" s="120">
        <v>3000</v>
      </c>
      <c r="M169" s="120">
        <v>0</v>
      </c>
      <c r="N169" s="120">
        <v>0</v>
      </c>
      <c r="O169" s="120">
        <v>0</v>
      </c>
      <c r="P169" s="121">
        <v>3000</v>
      </c>
      <c r="Q169" s="121">
        <v>0</v>
      </c>
      <c r="R169" s="121">
        <f t="shared" si="7"/>
        <v>3000</v>
      </c>
      <c r="S169" s="120"/>
    </row>
    <row r="170" spans="1:19" s="122" customFormat="1" ht="12.75" hidden="1" outlineLevel="1">
      <c r="A170" s="120" t="s">
        <v>1710</v>
      </c>
      <c r="B170" s="121"/>
      <c r="C170" s="121" t="s">
        <v>1711</v>
      </c>
      <c r="D170" s="121" t="s">
        <v>1712</v>
      </c>
      <c r="E170" s="121">
        <v>0</v>
      </c>
      <c r="F170" s="121">
        <v>0</v>
      </c>
      <c r="G170" s="121"/>
      <c r="H170" s="120">
        <v>0</v>
      </c>
      <c r="I170" s="120">
        <v>0</v>
      </c>
      <c r="J170" s="120">
        <v>0</v>
      </c>
      <c r="K170" s="120">
        <v>0</v>
      </c>
      <c r="L170" s="120">
        <v>133859.98</v>
      </c>
      <c r="M170" s="120">
        <v>0</v>
      </c>
      <c r="N170" s="120">
        <v>0</v>
      </c>
      <c r="O170" s="120">
        <v>0</v>
      </c>
      <c r="P170" s="121">
        <v>133859.98</v>
      </c>
      <c r="Q170" s="121">
        <v>0</v>
      </c>
      <c r="R170" s="121">
        <f t="shared" si="7"/>
        <v>133859.98</v>
      </c>
      <c r="S170" s="120"/>
    </row>
    <row r="171" spans="1:19" s="122" customFormat="1" ht="12.75" hidden="1" outlineLevel="1">
      <c r="A171" s="120" t="s">
        <v>1713</v>
      </c>
      <c r="B171" s="121"/>
      <c r="C171" s="121" t="s">
        <v>1714</v>
      </c>
      <c r="D171" s="121" t="s">
        <v>1715</v>
      </c>
      <c r="E171" s="121">
        <v>0</v>
      </c>
      <c r="F171" s="121">
        <v>0</v>
      </c>
      <c r="G171" s="121"/>
      <c r="H171" s="120">
        <v>0</v>
      </c>
      <c r="I171" s="120">
        <v>0</v>
      </c>
      <c r="J171" s="120">
        <v>0</v>
      </c>
      <c r="K171" s="120">
        <v>177967.08</v>
      </c>
      <c r="L171" s="120">
        <v>0</v>
      </c>
      <c r="M171" s="120">
        <v>0</v>
      </c>
      <c r="N171" s="120">
        <v>0</v>
      </c>
      <c r="O171" s="120">
        <v>0</v>
      </c>
      <c r="P171" s="121">
        <v>177967.08</v>
      </c>
      <c r="Q171" s="121">
        <v>0</v>
      </c>
      <c r="R171" s="121">
        <f t="shared" si="7"/>
        <v>177967.08</v>
      </c>
      <c r="S171" s="120"/>
    </row>
    <row r="172" spans="1:19" s="122" customFormat="1" ht="12.75" hidden="1" outlineLevel="1">
      <c r="A172" s="120" t="s">
        <v>1716</v>
      </c>
      <c r="B172" s="121"/>
      <c r="C172" s="121" t="s">
        <v>1717</v>
      </c>
      <c r="D172" s="121" t="s">
        <v>1718</v>
      </c>
      <c r="E172" s="121">
        <v>0</v>
      </c>
      <c r="F172" s="121">
        <v>0</v>
      </c>
      <c r="G172" s="121"/>
      <c r="H172" s="120">
        <v>0</v>
      </c>
      <c r="I172" s="120">
        <v>0</v>
      </c>
      <c r="J172" s="120">
        <v>0</v>
      </c>
      <c r="K172" s="120">
        <v>132955.02</v>
      </c>
      <c r="L172" s="120">
        <v>539551.89</v>
      </c>
      <c r="M172" s="120">
        <v>0</v>
      </c>
      <c r="N172" s="120">
        <v>0</v>
      </c>
      <c r="O172" s="120">
        <v>0</v>
      </c>
      <c r="P172" s="121">
        <v>672506.91</v>
      </c>
      <c r="Q172" s="121">
        <v>0</v>
      </c>
      <c r="R172" s="121">
        <f t="shared" si="7"/>
        <v>672506.91</v>
      </c>
      <c r="S172" s="120"/>
    </row>
    <row r="173" spans="1:19" s="122" customFormat="1" ht="12.75" hidden="1" outlineLevel="1">
      <c r="A173" s="120" t="s">
        <v>1719</v>
      </c>
      <c r="B173" s="121"/>
      <c r="C173" s="121" t="s">
        <v>1720</v>
      </c>
      <c r="D173" s="121" t="s">
        <v>1721</v>
      </c>
      <c r="E173" s="121">
        <v>0</v>
      </c>
      <c r="F173" s="121">
        <v>0</v>
      </c>
      <c r="G173" s="121"/>
      <c r="H173" s="120">
        <v>610594.29</v>
      </c>
      <c r="I173" s="120">
        <v>0</v>
      </c>
      <c r="J173" s="120">
        <v>0</v>
      </c>
      <c r="K173" s="120">
        <v>31524.71</v>
      </c>
      <c r="L173" s="120">
        <v>0</v>
      </c>
      <c r="M173" s="120">
        <v>0</v>
      </c>
      <c r="N173" s="120">
        <v>0</v>
      </c>
      <c r="O173" s="120">
        <v>0</v>
      </c>
      <c r="P173" s="121">
        <v>642119</v>
      </c>
      <c r="Q173" s="121">
        <v>0</v>
      </c>
      <c r="R173" s="121">
        <f t="shared" si="7"/>
        <v>642119</v>
      </c>
      <c r="S173" s="120"/>
    </row>
    <row r="174" spans="1:19" s="122" customFormat="1" ht="12.75" hidden="1" outlineLevel="1">
      <c r="A174" s="120" t="s">
        <v>1722</v>
      </c>
      <c r="B174" s="121"/>
      <c r="C174" s="121" t="s">
        <v>1723</v>
      </c>
      <c r="D174" s="121" t="s">
        <v>1724</v>
      </c>
      <c r="E174" s="121">
        <v>0</v>
      </c>
      <c r="F174" s="121">
        <v>0</v>
      </c>
      <c r="G174" s="121"/>
      <c r="H174" s="120">
        <v>0</v>
      </c>
      <c r="I174" s="120">
        <v>0</v>
      </c>
      <c r="J174" s="120">
        <v>0</v>
      </c>
      <c r="K174" s="120">
        <v>0</v>
      </c>
      <c r="L174" s="120">
        <v>3776.43</v>
      </c>
      <c r="M174" s="120">
        <v>0</v>
      </c>
      <c r="N174" s="120">
        <v>0</v>
      </c>
      <c r="O174" s="120">
        <v>0</v>
      </c>
      <c r="P174" s="121">
        <v>3776.43</v>
      </c>
      <c r="Q174" s="121">
        <v>0</v>
      </c>
      <c r="R174" s="121">
        <f t="shared" si="7"/>
        <v>3776.43</v>
      </c>
      <c r="S174" s="120"/>
    </row>
    <row r="175" spans="1:19" s="122" customFormat="1" ht="12.75" hidden="1" outlineLevel="1">
      <c r="A175" s="120" t="s">
        <v>1725</v>
      </c>
      <c r="B175" s="121"/>
      <c r="C175" s="121" t="s">
        <v>1726</v>
      </c>
      <c r="D175" s="121" t="s">
        <v>1727</v>
      </c>
      <c r="E175" s="121">
        <v>0</v>
      </c>
      <c r="F175" s="121">
        <v>0</v>
      </c>
      <c r="G175" s="121"/>
      <c r="H175" s="120">
        <v>0</v>
      </c>
      <c r="I175" s="120">
        <v>0</v>
      </c>
      <c r="J175" s="120">
        <v>0</v>
      </c>
      <c r="K175" s="120">
        <v>13240.36</v>
      </c>
      <c r="L175" s="120">
        <v>3410.76</v>
      </c>
      <c r="M175" s="120">
        <v>0</v>
      </c>
      <c r="N175" s="120">
        <v>0</v>
      </c>
      <c r="O175" s="120">
        <v>0</v>
      </c>
      <c r="P175" s="121">
        <v>16651.12</v>
      </c>
      <c r="Q175" s="121">
        <v>0</v>
      </c>
      <c r="R175" s="121">
        <f t="shared" si="7"/>
        <v>16651.12</v>
      </c>
      <c r="S175" s="120"/>
    </row>
    <row r="176" spans="1:19" s="122" customFormat="1" ht="12.75" hidden="1" outlineLevel="1">
      <c r="A176" s="120" t="s">
        <v>1728</v>
      </c>
      <c r="B176" s="121"/>
      <c r="C176" s="121" t="s">
        <v>1729</v>
      </c>
      <c r="D176" s="121" t="s">
        <v>1730</v>
      </c>
      <c r="E176" s="121">
        <v>0</v>
      </c>
      <c r="F176" s="121">
        <v>0</v>
      </c>
      <c r="G176" s="121"/>
      <c r="H176" s="120">
        <v>0</v>
      </c>
      <c r="I176" s="120">
        <v>0</v>
      </c>
      <c r="J176" s="120">
        <v>0</v>
      </c>
      <c r="K176" s="120">
        <v>0</v>
      </c>
      <c r="L176" s="120">
        <v>255.8</v>
      </c>
      <c r="M176" s="120">
        <v>0</v>
      </c>
      <c r="N176" s="120">
        <v>0</v>
      </c>
      <c r="O176" s="120">
        <v>0</v>
      </c>
      <c r="P176" s="121">
        <v>255.8</v>
      </c>
      <c r="Q176" s="121">
        <v>0</v>
      </c>
      <c r="R176" s="121">
        <f t="shared" si="7"/>
        <v>255.8</v>
      </c>
      <c r="S176" s="120"/>
    </row>
    <row r="177" spans="1:19" s="122" customFormat="1" ht="12.75" hidden="1" outlineLevel="1">
      <c r="A177" s="120" t="s">
        <v>1731</v>
      </c>
      <c r="B177" s="121"/>
      <c r="C177" s="121" t="s">
        <v>1732</v>
      </c>
      <c r="D177" s="121" t="s">
        <v>1733</v>
      </c>
      <c r="E177" s="121">
        <v>712595.86</v>
      </c>
      <c r="F177" s="121">
        <v>26266.97</v>
      </c>
      <c r="G177" s="121"/>
      <c r="H177" s="120">
        <v>0</v>
      </c>
      <c r="I177" s="120">
        <v>600</v>
      </c>
      <c r="J177" s="120">
        <v>51572.96</v>
      </c>
      <c r="K177" s="120">
        <v>0</v>
      </c>
      <c r="L177" s="120">
        <v>0</v>
      </c>
      <c r="M177" s="120">
        <v>0</v>
      </c>
      <c r="N177" s="120">
        <v>0</v>
      </c>
      <c r="O177" s="120">
        <v>3385.64</v>
      </c>
      <c r="P177" s="121">
        <v>55558.6</v>
      </c>
      <c r="Q177" s="121">
        <v>0</v>
      </c>
      <c r="R177" s="121">
        <f t="shared" si="7"/>
        <v>794421.4299999999</v>
      </c>
      <c r="S177" s="120"/>
    </row>
    <row r="178" spans="1:19" s="122" customFormat="1" ht="12.75" hidden="1" outlineLevel="1">
      <c r="A178" s="120" t="s">
        <v>1734</v>
      </c>
      <c r="B178" s="121"/>
      <c r="C178" s="121" t="s">
        <v>1735</v>
      </c>
      <c r="D178" s="121" t="s">
        <v>1736</v>
      </c>
      <c r="E178" s="121">
        <v>315394.5</v>
      </c>
      <c r="F178" s="121">
        <v>12859.82</v>
      </c>
      <c r="G178" s="121"/>
      <c r="H178" s="120">
        <v>53.85</v>
      </c>
      <c r="I178" s="120">
        <v>2301.27</v>
      </c>
      <c r="J178" s="120">
        <v>0</v>
      </c>
      <c r="K178" s="120">
        <v>0</v>
      </c>
      <c r="L178" s="120">
        <v>0</v>
      </c>
      <c r="M178" s="120">
        <v>0</v>
      </c>
      <c r="N178" s="120">
        <v>0</v>
      </c>
      <c r="O178" s="120">
        <v>454.52</v>
      </c>
      <c r="P178" s="121">
        <v>2809.64</v>
      </c>
      <c r="Q178" s="121">
        <v>0</v>
      </c>
      <c r="R178" s="121">
        <f t="shared" si="7"/>
        <v>331063.96</v>
      </c>
      <c r="S178" s="120"/>
    </row>
    <row r="179" spans="1:19" s="122" customFormat="1" ht="12.75" hidden="1" outlineLevel="1">
      <c r="A179" s="120" t="s">
        <v>1737</v>
      </c>
      <c r="B179" s="121"/>
      <c r="C179" s="121" t="s">
        <v>1738</v>
      </c>
      <c r="D179" s="121" t="s">
        <v>1739</v>
      </c>
      <c r="E179" s="121">
        <v>1006843.03</v>
      </c>
      <c r="F179" s="121">
        <v>3304.97</v>
      </c>
      <c r="G179" s="121"/>
      <c r="H179" s="120">
        <v>0</v>
      </c>
      <c r="I179" s="120">
        <v>3140.67</v>
      </c>
      <c r="J179" s="120">
        <v>0</v>
      </c>
      <c r="K179" s="120">
        <v>0</v>
      </c>
      <c r="L179" s="120">
        <v>0</v>
      </c>
      <c r="M179" s="120">
        <v>0</v>
      </c>
      <c r="N179" s="120">
        <v>0</v>
      </c>
      <c r="O179" s="120">
        <v>2831.14</v>
      </c>
      <c r="P179" s="121">
        <v>5971.81</v>
      </c>
      <c r="Q179" s="121">
        <v>0</v>
      </c>
      <c r="R179" s="121">
        <f t="shared" si="7"/>
        <v>1016119.81</v>
      </c>
      <c r="S179" s="120"/>
    </row>
    <row r="180" spans="1:19" s="122" customFormat="1" ht="12.75" hidden="1" outlineLevel="1">
      <c r="A180" s="120" t="s">
        <v>1740</v>
      </c>
      <c r="B180" s="121"/>
      <c r="C180" s="121" t="s">
        <v>1741</v>
      </c>
      <c r="D180" s="121" t="s">
        <v>1742</v>
      </c>
      <c r="E180" s="121">
        <v>545868.35</v>
      </c>
      <c r="F180" s="121">
        <v>75055.21</v>
      </c>
      <c r="G180" s="121"/>
      <c r="H180" s="120">
        <v>0</v>
      </c>
      <c r="I180" s="120">
        <v>0</v>
      </c>
      <c r="J180" s="120">
        <v>0</v>
      </c>
      <c r="K180" s="120">
        <v>0</v>
      </c>
      <c r="L180" s="120">
        <v>0</v>
      </c>
      <c r="M180" s="120">
        <v>0</v>
      </c>
      <c r="N180" s="120">
        <v>0</v>
      </c>
      <c r="O180" s="120">
        <v>0</v>
      </c>
      <c r="P180" s="121">
        <v>0</v>
      </c>
      <c r="Q180" s="121">
        <v>0</v>
      </c>
      <c r="R180" s="121">
        <f t="shared" si="7"/>
        <v>620923.5599999999</v>
      </c>
      <c r="S180" s="120"/>
    </row>
    <row r="181" spans="1:19" s="122" customFormat="1" ht="12.75" hidden="1" outlineLevel="1">
      <c r="A181" s="120" t="s">
        <v>1743</v>
      </c>
      <c r="B181" s="121"/>
      <c r="C181" s="121" t="s">
        <v>1744</v>
      </c>
      <c r="D181" s="121" t="s">
        <v>1745</v>
      </c>
      <c r="E181" s="121">
        <v>69277.17</v>
      </c>
      <c r="F181" s="121">
        <v>480</v>
      </c>
      <c r="G181" s="121"/>
      <c r="H181" s="120">
        <v>0</v>
      </c>
      <c r="I181" s="120">
        <v>0</v>
      </c>
      <c r="J181" s="120">
        <v>0</v>
      </c>
      <c r="K181" s="120">
        <v>0</v>
      </c>
      <c r="L181" s="120">
        <v>0</v>
      </c>
      <c r="M181" s="120">
        <v>0</v>
      </c>
      <c r="N181" s="120">
        <v>0</v>
      </c>
      <c r="O181" s="120">
        <v>0</v>
      </c>
      <c r="P181" s="121">
        <v>0</v>
      </c>
      <c r="Q181" s="121">
        <v>0</v>
      </c>
      <c r="R181" s="121">
        <f t="shared" si="7"/>
        <v>69757.17</v>
      </c>
      <c r="S181" s="120"/>
    </row>
    <row r="182" spans="1:19" s="122" customFormat="1" ht="12.75" hidden="1" outlineLevel="1">
      <c r="A182" s="120" t="s">
        <v>1746</v>
      </c>
      <c r="B182" s="121"/>
      <c r="C182" s="121" t="s">
        <v>1747</v>
      </c>
      <c r="D182" s="121" t="s">
        <v>1748</v>
      </c>
      <c r="E182" s="121">
        <v>5179.71</v>
      </c>
      <c r="F182" s="121">
        <v>1790.47</v>
      </c>
      <c r="G182" s="121"/>
      <c r="H182" s="120">
        <v>0</v>
      </c>
      <c r="I182" s="120">
        <v>0</v>
      </c>
      <c r="J182" s="120">
        <v>0</v>
      </c>
      <c r="K182" s="120">
        <v>0</v>
      </c>
      <c r="L182" s="120">
        <v>0</v>
      </c>
      <c r="M182" s="120">
        <v>0</v>
      </c>
      <c r="N182" s="120">
        <v>0</v>
      </c>
      <c r="O182" s="120">
        <v>0</v>
      </c>
      <c r="P182" s="121">
        <v>0</v>
      </c>
      <c r="Q182" s="121">
        <v>0</v>
      </c>
      <c r="R182" s="121">
        <f t="shared" si="7"/>
        <v>6970.18</v>
      </c>
      <c r="S182" s="120"/>
    </row>
    <row r="183" spans="1:19" s="122" customFormat="1" ht="12.75" hidden="1" outlineLevel="1">
      <c r="A183" s="120" t="s">
        <v>1749</v>
      </c>
      <c r="B183" s="121"/>
      <c r="C183" s="121" t="s">
        <v>1750</v>
      </c>
      <c r="D183" s="121" t="s">
        <v>1751</v>
      </c>
      <c r="E183" s="121">
        <v>-31.5</v>
      </c>
      <c r="F183" s="121">
        <v>0</v>
      </c>
      <c r="G183" s="121"/>
      <c r="H183" s="120">
        <v>0</v>
      </c>
      <c r="I183" s="120">
        <v>0</v>
      </c>
      <c r="J183" s="120">
        <v>0</v>
      </c>
      <c r="K183" s="120">
        <v>0</v>
      </c>
      <c r="L183" s="120">
        <v>0</v>
      </c>
      <c r="M183" s="120">
        <v>0</v>
      </c>
      <c r="N183" s="120">
        <v>0</v>
      </c>
      <c r="O183" s="120">
        <v>0</v>
      </c>
      <c r="P183" s="121">
        <v>0</v>
      </c>
      <c r="Q183" s="121">
        <v>0</v>
      </c>
      <c r="R183" s="121">
        <f t="shared" si="7"/>
        <v>-31.5</v>
      </c>
      <c r="S183" s="120"/>
    </row>
    <row r="184" spans="1:19" s="122" customFormat="1" ht="12.75" hidden="1" outlineLevel="1">
      <c r="A184" s="120" t="s">
        <v>1752</v>
      </c>
      <c r="B184" s="121"/>
      <c r="C184" s="121" t="s">
        <v>1753</v>
      </c>
      <c r="D184" s="121" t="s">
        <v>1754</v>
      </c>
      <c r="E184" s="121">
        <v>610.86</v>
      </c>
      <c r="F184" s="121">
        <v>0</v>
      </c>
      <c r="G184" s="121"/>
      <c r="H184" s="120">
        <v>0</v>
      </c>
      <c r="I184" s="120">
        <v>0</v>
      </c>
      <c r="J184" s="120">
        <v>0</v>
      </c>
      <c r="K184" s="120">
        <v>0</v>
      </c>
      <c r="L184" s="120">
        <v>0</v>
      </c>
      <c r="M184" s="120">
        <v>0</v>
      </c>
      <c r="N184" s="120">
        <v>0</v>
      </c>
      <c r="O184" s="120">
        <v>0</v>
      </c>
      <c r="P184" s="121">
        <v>0</v>
      </c>
      <c r="Q184" s="121">
        <v>0</v>
      </c>
      <c r="R184" s="121">
        <f t="shared" si="7"/>
        <v>610.86</v>
      </c>
      <c r="S184" s="120"/>
    </row>
    <row r="185" spans="1:19" s="122" customFormat="1" ht="12.75" hidden="1" outlineLevel="1">
      <c r="A185" s="120" t="s">
        <v>1755</v>
      </c>
      <c r="B185" s="121"/>
      <c r="C185" s="121" t="s">
        <v>1756</v>
      </c>
      <c r="D185" s="121" t="s">
        <v>1757</v>
      </c>
      <c r="E185" s="121">
        <v>41990.59</v>
      </c>
      <c r="F185" s="121">
        <v>0</v>
      </c>
      <c r="G185" s="121"/>
      <c r="H185" s="120">
        <v>0</v>
      </c>
      <c r="I185" s="120">
        <v>0</v>
      </c>
      <c r="J185" s="120">
        <v>0</v>
      </c>
      <c r="K185" s="120">
        <v>0</v>
      </c>
      <c r="L185" s="120">
        <v>0</v>
      </c>
      <c r="M185" s="120">
        <v>0</v>
      </c>
      <c r="N185" s="120">
        <v>0</v>
      </c>
      <c r="O185" s="120">
        <v>0</v>
      </c>
      <c r="P185" s="121">
        <v>0</v>
      </c>
      <c r="Q185" s="121">
        <v>0</v>
      </c>
      <c r="R185" s="121">
        <f t="shared" si="7"/>
        <v>41990.59</v>
      </c>
      <c r="S185" s="120"/>
    </row>
    <row r="186" spans="1:19" s="122" customFormat="1" ht="12.75" hidden="1" outlineLevel="1">
      <c r="A186" s="120" t="s">
        <v>1758</v>
      </c>
      <c r="B186" s="121"/>
      <c r="C186" s="121" t="s">
        <v>1759</v>
      </c>
      <c r="D186" s="121" t="s">
        <v>1760</v>
      </c>
      <c r="E186" s="121">
        <v>30808.12</v>
      </c>
      <c r="F186" s="121">
        <v>0</v>
      </c>
      <c r="G186" s="121"/>
      <c r="H186" s="120">
        <v>0</v>
      </c>
      <c r="I186" s="120">
        <v>0</v>
      </c>
      <c r="J186" s="120">
        <v>0</v>
      </c>
      <c r="K186" s="120">
        <v>0</v>
      </c>
      <c r="L186" s="120">
        <v>0</v>
      </c>
      <c r="M186" s="120">
        <v>0</v>
      </c>
      <c r="N186" s="120">
        <v>0</v>
      </c>
      <c r="O186" s="120">
        <v>0</v>
      </c>
      <c r="P186" s="121">
        <v>0</v>
      </c>
      <c r="Q186" s="121">
        <v>0</v>
      </c>
      <c r="R186" s="121">
        <f t="shared" si="7"/>
        <v>30808.12</v>
      </c>
      <c r="S186" s="120"/>
    </row>
    <row r="187" spans="1:19" s="122" customFormat="1" ht="12.75" hidden="1" outlineLevel="1">
      <c r="A187" s="120" t="s">
        <v>1761</v>
      </c>
      <c r="B187" s="121"/>
      <c r="C187" s="121" t="s">
        <v>1762</v>
      </c>
      <c r="D187" s="121" t="s">
        <v>1763</v>
      </c>
      <c r="E187" s="121">
        <v>45988.59</v>
      </c>
      <c r="F187" s="121">
        <v>200</v>
      </c>
      <c r="G187" s="121"/>
      <c r="H187" s="120">
        <v>0</v>
      </c>
      <c r="I187" s="120">
        <v>0</v>
      </c>
      <c r="J187" s="120">
        <v>0</v>
      </c>
      <c r="K187" s="120">
        <v>0</v>
      </c>
      <c r="L187" s="120">
        <v>0</v>
      </c>
      <c r="M187" s="120">
        <v>0</v>
      </c>
      <c r="N187" s="120">
        <v>0</v>
      </c>
      <c r="O187" s="120">
        <v>39.06</v>
      </c>
      <c r="P187" s="121">
        <v>39.06</v>
      </c>
      <c r="Q187" s="121">
        <v>0</v>
      </c>
      <c r="R187" s="121">
        <f t="shared" si="7"/>
        <v>46227.649999999994</v>
      </c>
      <c r="S187" s="120"/>
    </row>
    <row r="188" spans="1:19" s="122" customFormat="1" ht="12.75" hidden="1" outlineLevel="1">
      <c r="A188" s="120" t="s">
        <v>1764</v>
      </c>
      <c r="B188" s="121"/>
      <c r="C188" s="121" t="s">
        <v>1765</v>
      </c>
      <c r="D188" s="121" t="s">
        <v>1766</v>
      </c>
      <c r="E188" s="121">
        <v>25816.09</v>
      </c>
      <c r="F188" s="121">
        <v>7605.82</v>
      </c>
      <c r="G188" s="121"/>
      <c r="H188" s="120">
        <v>0</v>
      </c>
      <c r="I188" s="120">
        <v>0</v>
      </c>
      <c r="J188" s="120">
        <v>0</v>
      </c>
      <c r="K188" s="120">
        <v>0</v>
      </c>
      <c r="L188" s="120">
        <v>0</v>
      </c>
      <c r="M188" s="120">
        <v>0</v>
      </c>
      <c r="N188" s="120">
        <v>0</v>
      </c>
      <c r="O188" s="120">
        <v>0</v>
      </c>
      <c r="P188" s="121">
        <v>0</v>
      </c>
      <c r="Q188" s="121">
        <v>0</v>
      </c>
      <c r="R188" s="121">
        <f t="shared" si="7"/>
        <v>33421.91</v>
      </c>
      <c r="S188" s="120"/>
    </row>
    <row r="189" spans="1:19" s="122" customFormat="1" ht="12.75" hidden="1" outlineLevel="1">
      <c r="A189" s="120" t="s">
        <v>1767</v>
      </c>
      <c r="B189" s="121"/>
      <c r="C189" s="121" t="s">
        <v>1768</v>
      </c>
      <c r="D189" s="121" t="s">
        <v>2115</v>
      </c>
      <c r="E189" s="121">
        <v>718872.85</v>
      </c>
      <c r="F189" s="121">
        <v>23334.24</v>
      </c>
      <c r="G189" s="121"/>
      <c r="H189" s="120">
        <v>0</v>
      </c>
      <c r="I189" s="120">
        <v>0</v>
      </c>
      <c r="J189" s="120">
        <v>0</v>
      </c>
      <c r="K189" s="120">
        <v>0</v>
      </c>
      <c r="L189" s="120">
        <v>735.16</v>
      </c>
      <c r="M189" s="120">
        <v>0</v>
      </c>
      <c r="N189" s="120">
        <v>0</v>
      </c>
      <c r="O189" s="120">
        <v>4316.92</v>
      </c>
      <c r="P189" s="121">
        <v>5052.08</v>
      </c>
      <c r="Q189" s="121">
        <v>0</v>
      </c>
      <c r="R189" s="121">
        <f t="shared" si="7"/>
        <v>747259.1699999999</v>
      </c>
      <c r="S189" s="120"/>
    </row>
    <row r="190" spans="1:19" s="122" customFormat="1" ht="12.75" hidden="1" outlineLevel="1">
      <c r="A190" s="120" t="s">
        <v>2116</v>
      </c>
      <c r="B190" s="121"/>
      <c r="C190" s="121" t="s">
        <v>2117</v>
      </c>
      <c r="D190" s="121" t="s">
        <v>2118</v>
      </c>
      <c r="E190" s="121">
        <v>207424.52</v>
      </c>
      <c r="F190" s="121">
        <v>7289.33</v>
      </c>
      <c r="G190" s="121"/>
      <c r="H190" s="120">
        <v>0</v>
      </c>
      <c r="I190" s="120">
        <v>0</v>
      </c>
      <c r="J190" s="120">
        <v>0</v>
      </c>
      <c r="K190" s="120">
        <v>0</v>
      </c>
      <c r="L190" s="120">
        <v>0</v>
      </c>
      <c r="M190" s="120">
        <v>0</v>
      </c>
      <c r="N190" s="120">
        <v>0</v>
      </c>
      <c r="O190" s="120">
        <v>0</v>
      </c>
      <c r="P190" s="121">
        <v>0</v>
      </c>
      <c r="Q190" s="121">
        <v>0</v>
      </c>
      <c r="R190" s="121">
        <f t="shared" si="7"/>
        <v>214713.84999999998</v>
      </c>
      <c r="S190" s="120"/>
    </row>
    <row r="191" spans="1:19" s="122" customFormat="1" ht="12.75" hidden="1" outlineLevel="1">
      <c r="A191" s="120" t="s">
        <v>2119</v>
      </c>
      <c r="B191" s="121"/>
      <c r="C191" s="121" t="s">
        <v>2120</v>
      </c>
      <c r="D191" s="121" t="s">
        <v>2121</v>
      </c>
      <c r="E191" s="121">
        <v>20704.08</v>
      </c>
      <c r="F191" s="121">
        <v>179.21</v>
      </c>
      <c r="G191" s="121"/>
      <c r="H191" s="120">
        <v>0</v>
      </c>
      <c r="I191" s="120">
        <v>0</v>
      </c>
      <c r="J191" s="120">
        <v>0</v>
      </c>
      <c r="K191" s="120">
        <v>0</v>
      </c>
      <c r="L191" s="120">
        <v>0</v>
      </c>
      <c r="M191" s="120">
        <v>0</v>
      </c>
      <c r="N191" s="120">
        <v>0</v>
      </c>
      <c r="O191" s="120">
        <v>0</v>
      </c>
      <c r="P191" s="121">
        <v>0</v>
      </c>
      <c r="Q191" s="121">
        <v>0</v>
      </c>
      <c r="R191" s="121">
        <f t="shared" si="7"/>
        <v>20883.29</v>
      </c>
      <c r="S191" s="120"/>
    </row>
    <row r="192" spans="1:19" s="122" customFormat="1" ht="12.75" hidden="1" outlineLevel="1">
      <c r="A192" s="120" t="s">
        <v>2122</v>
      </c>
      <c r="B192" s="121"/>
      <c r="C192" s="121" t="s">
        <v>2123</v>
      </c>
      <c r="D192" s="121" t="s">
        <v>2124</v>
      </c>
      <c r="E192" s="121">
        <v>292885.61</v>
      </c>
      <c r="F192" s="121">
        <v>29086.36</v>
      </c>
      <c r="G192" s="121"/>
      <c r="H192" s="120">
        <v>5715.4</v>
      </c>
      <c r="I192" s="120">
        <v>2756.89</v>
      </c>
      <c r="J192" s="120">
        <v>75</v>
      </c>
      <c r="K192" s="120">
        <v>0</v>
      </c>
      <c r="L192" s="120">
        <v>0</v>
      </c>
      <c r="M192" s="120">
        <v>0</v>
      </c>
      <c r="N192" s="120">
        <v>749.4</v>
      </c>
      <c r="O192" s="120">
        <v>0</v>
      </c>
      <c r="P192" s="121">
        <v>9296.69</v>
      </c>
      <c r="Q192" s="121">
        <v>0</v>
      </c>
      <c r="R192" s="121">
        <f t="shared" si="7"/>
        <v>331268.66</v>
      </c>
      <c r="S192" s="120"/>
    </row>
    <row r="193" spans="1:19" s="122" customFormat="1" ht="12.75" hidden="1" outlineLevel="1">
      <c r="A193" s="120" t="s">
        <v>2125</v>
      </c>
      <c r="B193" s="121"/>
      <c r="C193" s="121" t="s">
        <v>2126</v>
      </c>
      <c r="D193" s="121" t="s">
        <v>2127</v>
      </c>
      <c r="E193" s="121">
        <v>54238</v>
      </c>
      <c r="F193" s="121">
        <v>0</v>
      </c>
      <c r="G193" s="121"/>
      <c r="H193" s="120">
        <v>12462.75</v>
      </c>
      <c r="I193" s="120">
        <v>6588.68</v>
      </c>
      <c r="J193" s="120">
        <v>0</v>
      </c>
      <c r="K193" s="120">
        <v>0</v>
      </c>
      <c r="L193" s="120">
        <v>0</v>
      </c>
      <c r="M193" s="120">
        <v>0</v>
      </c>
      <c r="N193" s="120">
        <v>0</v>
      </c>
      <c r="O193" s="120">
        <v>0</v>
      </c>
      <c r="P193" s="121">
        <v>19051.43</v>
      </c>
      <c r="Q193" s="121">
        <v>0</v>
      </c>
      <c r="R193" s="121">
        <f aca="true" t="shared" si="8" ref="R193:R256">E193+F193+G193+P193+Q193</f>
        <v>73289.43</v>
      </c>
      <c r="S193" s="120"/>
    </row>
    <row r="194" spans="1:19" s="122" customFormat="1" ht="12.75" hidden="1" outlineLevel="1">
      <c r="A194" s="120" t="s">
        <v>2128</v>
      </c>
      <c r="B194" s="121"/>
      <c r="C194" s="121" t="s">
        <v>2129</v>
      </c>
      <c r="D194" s="121" t="s">
        <v>2130</v>
      </c>
      <c r="E194" s="121">
        <v>22168.46</v>
      </c>
      <c r="F194" s="121">
        <v>0</v>
      </c>
      <c r="G194" s="121"/>
      <c r="H194" s="120">
        <v>0</v>
      </c>
      <c r="I194" s="120">
        <v>0</v>
      </c>
      <c r="J194" s="120">
        <v>0</v>
      </c>
      <c r="K194" s="120">
        <v>0</v>
      </c>
      <c r="L194" s="120">
        <v>0</v>
      </c>
      <c r="M194" s="120">
        <v>0</v>
      </c>
      <c r="N194" s="120">
        <v>0</v>
      </c>
      <c r="O194" s="120">
        <v>0</v>
      </c>
      <c r="P194" s="121">
        <v>0</v>
      </c>
      <c r="Q194" s="121">
        <v>0</v>
      </c>
      <c r="R194" s="121">
        <f t="shared" si="8"/>
        <v>22168.46</v>
      </c>
      <c r="S194" s="120"/>
    </row>
    <row r="195" spans="1:19" s="122" customFormat="1" ht="12.75" hidden="1" outlineLevel="1">
      <c r="A195" s="120" t="s">
        <v>2131</v>
      </c>
      <c r="B195" s="121"/>
      <c r="C195" s="121" t="s">
        <v>2132</v>
      </c>
      <c r="D195" s="121" t="s">
        <v>2133</v>
      </c>
      <c r="E195" s="121">
        <v>24679.79</v>
      </c>
      <c r="F195" s="121">
        <v>0</v>
      </c>
      <c r="G195" s="121"/>
      <c r="H195" s="120">
        <v>0</v>
      </c>
      <c r="I195" s="120">
        <v>2298.3</v>
      </c>
      <c r="J195" s="120">
        <v>0</v>
      </c>
      <c r="K195" s="120">
        <v>0</v>
      </c>
      <c r="L195" s="120">
        <v>0</v>
      </c>
      <c r="M195" s="120">
        <v>0</v>
      </c>
      <c r="N195" s="120">
        <v>84</v>
      </c>
      <c r="O195" s="120">
        <v>0</v>
      </c>
      <c r="P195" s="121">
        <v>2382.3</v>
      </c>
      <c r="Q195" s="121">
        <v>0</v>
      </c>
      <c r="R195" s="121">
        <f t="shared" si="8"/>
        <v>27062.09</v>
      </c>
      <c r="S195" s="120"/>
    </row>
    <row r="196" spans="1:19" s="122" customFormat="1" ht="12.75" hidden="1" outlineLevel="1">
      <c r="A196" s="120" t="s">
        <v>2134</v>
      </c>
      <c r="B196" s="121"/>
      <c r="C196" s="121" t="s">
        <v>2135</v>
      </c>
      <c r="D196" s="121" t="s">
        <v>2136</v>
      </c>
      <c r="E196" s="121">
        <v>31820.98</v>
      </c>
      <c r="F196" s="121">
        <v>0</v>
      </c>
      <c r="G196" s="121"/>
      <c r="H196" s="120">
        <v>0</v>
      </c>
      <c r="I196" s="120">
        <v>7405.52</v>
      </c>
      <c r="J196" s="120">
        <v>0</v>
      </c>
      <c r="K196" s="120">
        <v>0</v>
      </c>
      <c r="L196" s="120">
        <v>0</v>
      </c>
      <c r="M196" s="120">
        <v>0</v>
      </c>
      <c r="N196" s="120">
        <v>0</v>
      </c>
      <c r="O196" s="120">
        <v>0</v>
      </c>
      <c r="P196" s="121">
        <v>7405.52</v>
      </c>
      <c r="Q196" s="121">
        <v>0</v>
      </c>
      <c r="R196" s="121">
        <f t="shared" si="8"/>
        <v>39226.5</v>
      </c>
      <c r="S196" s="120"/>
    </row>
    <row r="197" spans="1:19" s="122" customFormat="1" ht="12.75" hidden="1" outlineLevel="1">
      <c r="A197" s="120" t="s">
        <v>2137</v>
      </c>
      <c r="B197" s="121"/>
      <c r="C197" s="121" t="s">
        <v>2138</v>
      </c>
      <c r="D197" s="121" t="s">
        <v>2139</v>
      </c>
      <c r="E197" s="121">
        <v>2912.64</v>
      </c>
      <c r="F197" s="121">
        <v>0</v>
      </c>
      <c r="G197" s="121"/>
      <c r="H197" s="120">
        <v>0</v>
      </c>
      <c r="I197" s="120">
        <v>0</v>
      </c>
      <c r="J197" s="120">
        <v>0</v>
      </c>
      <c r="K197" s="120">
        <v>0</v>
      </c>
      <c r="L197" s="120">
        <v>0</v>
      </c>
      <c r="M197" s="120">
        <v>0</v>
      </c>
      <c r="N197" s="120">
        <v>0</v>
      </c>
      <c r="O197" s="120">
        <v>0</v>
      </c>
      <c r="P197" s="121">
        <v>0</v>
      </c>
      <c r="Q197" s="121">
        <v>0</v>
      </c>
      <c r="R197" s="121">
        <f t="shared" si="8"/>
        <v>2912.64</v>
      </c>
      <c r="S197" s="120"/>
    </row>
    <row r="198" spans="1:19" s="122" customFormat="1" ht="12.75" hidden="1" outlineLevel="1">
      <c r="A198" s="120" t="s">
        <v>2140</v>
      </c>
      <c r="B198" s="121"/>
      <c r="C198" s="121" t="s">
        <v>2141</v>
      </c>
      <c r="D198" s="121" t="s">
        <v>2142</v>
      </c>
      <c r="E198" s="121">
        <v>0</v>
      </c>
      <c r="F198" s="121">
        <v>0</v>
      </c>
      <c r="G198" s="121"/>
      <c r="H198" s="120">
        <v>0</v>
      </c>
      <c r="I198" s="120">
        <v>795</v>
      </c>
      <c r="J198" s="120">
        <v>0</v>
      </c>
      <c r="K198" s="120">
        <v>0</v>
      </c>
      <c r="L198" s="120">
        <v>0</v>
      </c>
      <c r="M198" s="120">
        <v>0</v>
      </c>
      <c r="N198" s="120">
        <v>0</v>
      </c>
      <c r="O198" s="120">
        <v>0</v>
      </c>
      <c r="P198" s="121">
        <v>795</v>
      </c>
      <c r="Q198" s="121">
        <v>0</v>
      </c>
      <c r="R198" s="121">
        <f t="shared" si="8"/>
        <v>795</v>
      </c>
      <c r="S198" s="120"/>
    </row>
    <row r="199" spans="1:19" s="122" customFormat="1" ht="12.75" hidden="1" outlineLevel="1">
      <c r="A199" s="120" t="s">
        <v>2143</v>
      </c>
      <c r="B199" s="121"/>
      <c r="C199" s="121" t="s">
        <v>2144</v>
      </c>
      <c r="D199" s="121" t="s">
        <v>2145</v>
      </c>
      <c r="E199" s="121">
        <v>569806.27</v>
      </c>
      <c r="F199" s="121">
        <v>97730.59</v>
      </c>
      <c r="G199" s="121"/>
      <c r="H199" s="120">
        <v>0</v>
      </c>
      <c r="I199" s="120">
        <v>771.76</v>
      </c>
      <c r="J199" s="120">
        <v>504133.59</v>
      </c>
      <c r="K199" s="120">
        <v>0.37</v>
      </c>
      <c r="L199" s="120">
        <v>143.92</v>
      </c>
      <c r="M199" s="120">
        <v>-355.87</v>
      </c>
      <c r="N199" s="120">
        <v>1.02</v>
      </c>
      <c r="O199" s="120">
        <v>3597.75</v>
      </c>
      <c r="P199" s="121">
        <v>508292.54</v>
      </c>
      <c r="Q199" s="121">
        <v>0</v>
      </c>
      <c r="R199" s="121">
        <f t="shared" si="8"/>
        <v>1175829.4</v>
      </c>
      <c r="S199" s="120"/>
    </row>
    <row r="200" spans="1:19" s="122" customFormat="1" ht="12.75" hidden="1" outlineLevel="1">
      <c r="A200" s="120" t="s">
        <v>2146</v>
      </c>
      <c r="B200" s="121"/>
      <c r="C200" s="121" t="s">
        <v>2147</v>
      </c>
      <c r="D200" s="121" t="s">
        <v>2148</v>
      </c>
      <c r="E200" s="121">
        <v>10549.77</v>
      </c>
      <c r="F200" s="121">
        <v>142.78</v>
      </c>
      <c r="G200" s="121"/>
      <c r="H200" s="120">
        <v>0</v>
      </c>
      <c r="I200" s="120">
        <v>0</v>
      </c>
      <c r="J200" s="120">
        <v>69610.85</v>
      </c>
      <c r="K200" s="120">
        <v>0</v>
      </c>
      <c r="L200" s="120">
        <v>0</v>
      </c>
      <c r="M200" s="120">
        <v>0</v>
      </c>
      <c r="N200" s="120">
        <v>0</v>
      </c>
      <c r="O200" s="120">
        <v>6.4</v>
      </c>
      <c r="P200" s="121">
        <v>69617.25</v>
      </c>
      <c r="Q200" s="121">
        <v>0</v>
      </c>
      <c r="R200" s="121">
        <f t="shared" si="8"/>
        <v>80309.8</v>
      </c>
      <c r="S200" s="120"/>
    </row>
    <row r="201" spans="1:19" s="122" customFormat="1" ht="12.75" hidden="1" outlineLevel="1">
      <c r="A201" s="120" t="s">
        <v>2149</v>
      </c>
      <c r="B201" s="121"/>
      <c r="C201" s="121" t="s">
        <v>2150</v>
      </c>
      <c r="D201" s="121" t="s">
        <v>2151</v>
      </c>
      <c r="E201" s="121">
        <v>8952.05</v>
      </c>
      <c r="F201" s="121">
        <v>642.71</v>
      </c>
      <c r="G201" s="121"/>
      <c r="H201" s="120">
        <v>0</v>
      </c>
      <c r="I201" s="120">
        <v>0</v>
      </c>
      <c r="J201" s="120">
        <v>0</v>
      </c>
      <c r="K201" s="120">
        <v>634.86</v>
      </c>
      <c r="L201" s="120">
        <v>0</v>
      </c>
      <c r="M201" s="120">
        <v>0</v>
      </c>
      <c r="N201" s="120">
        <v>0</v>
      </c>
      <c r="O201" s="120">
        <v>0</v>
      </c>
      <c r="P201" s="121">
        <v>634.86</v>
      </c>
      <c r="Q201" s="121">
        <v>0</v>
      </c>
      <c r="R201" s="121">
        <f t="shared" si="8"/>
        <v>10229.619999999999</v>
      </c>
      <c r="S201" s="120"/>
    </row>
    <row r="202" spans="1:19" s="122" customFormat="1" ht="12.75" hidden="1" outlineLevel="1">
      <c r="A202" s="120" t="s">
        <v>2152</v>
      </c>
      <c r="B202" s="121"/>
      <c r="C202" s="121" t="s">
        <v>2153</v>
      </c>
      <c r="D202" s="121" t="s">
        <v>2154</v>
      </c>
      <c r="E202" s="121">
        <v>36310.37</v>
      </c>
      <c r="F202" s="121">
        <v>12.91</v>
      </c>
      <c r="G202" s="121"/>
      <c r="H202" s="120">
        <v>0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8.79</v>
      </c>
      <c r="O202" s="120">
        <v>1115.38</v>
      </c>
      <c r="P202" s="121">
        <v>1124.17</v>
      </c>
      <c r="Q202" s="121">
        <v>0</v>
      </c>
      <c r="R202" s="121">
        <f t="shared" si="8"/>
        <v>37447.450000000004</v>
      </c>
      <c r="S202" s="120"/>
    </row>
    <row r="203" spans="1:19" s="122" customFormat="1" ht="12.75" hidden="1" outlineLevel="1">
      <c r="A203" s="120" t="s">
        <v>2155</v>
      </c>
      <c r="B203" s="121"/>
      <c r="C203" s="121" t="s">
        <v>2156</v>
      </c>
      <c r="D203" s="121" t="s">
        <v>2157</v>
      </c>
      <c r="E203" s="121">
        <v>6323.56</v>
      </c>
      <c r="F203" s="121">
        <v>0</v>
      </c>
      <c r="G203" s="121"/>
      <c r="H203" s="120">
        <v>0</v>
      </c>
      <c r="I203" s="120">
        <v>0</v>
      </c>
      <c r="J203" s="120">
        <v>0</v>
      </c>
      <c r="K203" s="120">
        <v>0</v>
      </c>
      <c r="L203" s="120">
        <v>0</v>
      </c>
      <c r="M203" s="120">
        <v>0</v>
      </c>
      <c r="N203" s="120">
        <v>0</v>
      </c>
      <c r="O203" s="120">
        <v>9390.78</v>
      </c>
      <c r="P203" s="121">
        <v>9390.78</v>
      </c>
      <c r="Q203" s="121">
        <v>0</v>
      </c>
      <c r="R203" s="121">
        <f t="shared" si="8"/>
        <v>15714.34</v>
      </c>
      <c r="S203" s="120"/>
    </row>
    <row r="204" spans="1:19" s="122" customFormat="1" ht="12.75" hidden="1" outlineLevel="1">
      <c r="A204" s="120" t="s">
        <v>2158</v>
      </c>
      <c r="B204" s="121"/>
      <c r="C204" s="121" t="s">
        <v>2159</v>
      </c>
      <c r="D204" s="121" t="s">
        <v>2160</v>
      </c>
      <c r="E204" s="121">
        <v>74</v>
      </c>
      <c r="F204" s="121">
        <v>0</v>
      </c>
      <c r="G204" s="121"/>
      <c r="H204" s="120">
        <v>0</v>
      </c>
      <c r="I204" s="120">
        <v>0</v>
      </c>
      <c r="J204" s="120">
        <v>0</v>
      </c>
      <c r="K204" s="120">
        <v>0</v>
      </c>
      <c r="L204" s="120">
        <v>0</v>
      </c>
      <c r="M204" s="120">
        <v>0</v>
      </c>
      <c r="N204" s="120">
        <v>0</v>
      </c>
      <c r="O204" s="120">
        <v>0</v>
      </c>
      <c r="P204" s="121">
        <v>0</v>
      </c>
      <c r="Q204" s="121">
        <v>0</v>
      </c>
      <c r="R204" s="121">
        <f t="shared" si="8"/>
        <v>74</v>
      </c>
      <c r="S204" s="120"/>
    </row>
    <row r="205" spans="1:19" s="122" customFormat="1" ht="12.75" hidden="1" outlineLevel="1">
      <c r="A205" s="120" t="s">
        <v>2161</v>
      </c>
      <c r="B205" s="121"/>
      <c r="C205" s="121" t="s">
        <v>2162</v>
      </c>
      <c r="D205" s="121" t="s">
        <v>2163</v>
      </c>
      <c r="E205" s="121">
        <v>930850.07</v>
      </c>
      <c r="F205" s="121">
        <v>42683.15</v>
      </c>
      <c r="G205" s="121"/>
      <c r="H205" s="120">
        <v>247.5</v>
      </c>
      <c r="I205" s="120">
        <v>2430</v>
      </c>
      <c r="J205" s="120">
        <v>1350</v>
      </c>
      <c r="K205" s="120">
        <v>3240</v>
      </c>
      <c r="L205" s="120">
        <v>0</v>
      </c>
      <c r="M205" s="120">
        <v>-475.64</v>
      </c>
      <c r="N205" s="120">
        <v>0</v>
      </c>
      <c r="O205" s="120">
        <v>8685.17</v>
      </c>
      <c r="P205" s="121">
        <v>15477.03</v>
      </c>
      <c r="Q205" s="121">
        <v>0</v>
      </c>
      <c r="R205" s="121">
        <f t="shared" si="8"/>
        <v>989010.25</v>
      </c>
      <c r="S205" s="120"/>
    </row>
    <row r="206" spans="1:19" s="122" customFormat="1" ht="12.75" hidden="1" outlineLevel="1">
      <c r="A206" s="120" t="s">
        <v>2164</v>
      </c>
      <c r="B206" s="121"/>
      <c r="C206" s="121" t="s">
        <v>2165</v>
      </c>
      <c r="D206" s="121" t="s">
        <v>2166</v>
      </c>
      <c r="E206" s="121">
        <v>7656.02</v>
      </c>
      <c r="F206" s="121">
        <v>0</v>
      </c>
      <c r="G206" s="121"/>
      <c r="H206" s="120">
        <v>0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1">
        <v>0</v>
      </c>
      <c r="Q206" s="121">
        <v>0</v>
      </c>
      <c r="R206" s="121">
        <f t="shared" si="8"/>
        <v>7656.02</v>
      </c>
      <c r="S206" s="120"/>
    </row>
    <row r="207" spans="1:19" s="122" customFormat="1" ht="12.75" hidden="1" outlineLevel="1">
      <c r="A207" s="120" t="s">
        <v>2167</v>
      </c>
      <c r="B207" s="121"/>
      <c r="C207" s="121" t="s">
        <v>2168</v>
      </c>
      <c r="D207" s="121" t="s">
        <v>2169</v>
      </c>
      <c r="E207" s="121">
        <v>182426.75</v>
      </c>
      <c r="F207" s="121">
        <v>247</v>
      </c>
      <c r="G207" s="121"/>
      <c r="H207" s="120">
        <v>52225</v>
      </c>
      <c r="I207" s="120">
        <v>475</v>
      </c>
      <c r="J207" s="120">
        <v>0</v>
      </c>
      <c r="K207" s="120">
        <v>0</v>
      </c>
      <c r="L207" s="120">
        <v>0</v>
      </c>
      <c r="M207" s="120">
        <v>8768.29</v>
      </c>
      <c r="N207" s="120">
        <v>181</v>
      </c>
      <c r="O207" s="120">
        <v>5922.6</v>
      </c>
      <c r="P207" s="121">
        <v>67571.89</v>
      </c>
      <c r="Q207" s="121">
        <v>0</v>
      </c>
      <c r="R207" s="121">
        <f t="shared" si="8"/>
        <v>250245.64</v>
      </c>
      <c r="S207" s="120"/>
    </row>
    <row r="208" spans="1:19" s="122" customFormat="1" ht="12.75" hidden="1" outlineLevel="1">
      <c r="A208" s="120" t="s">
        <v>2170</v>
      </c>
      <c r="B208" s="121"/>
      <c r="C208" s="121" t="s">
        <v>2171</v>
      </c>
      <c r="D208" s="121" t="s">
        <v>2172</v>
      </c>
      <c r="E208" s="121">
        <v>59.51</v>
      </c>
      <c r="F208" s="121">
        <v>0</v>
      </c>
      <c r="G208" s="121"/>
      <c r="H208" s="120">
        <v>0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1">
        <v>0</v>
      </c>
      <c r="Q208" s="121">
        <v>0</v>
      </c>
      <c r="R208" s="121">
        <f t="shared" si="8"/>
        <v>59.51</v>
      </c>
      <c r="S208" s="120"/>
    </row>
    <row r="209" spans="1:19" s="122" customFormat="1" ht="12.75" hidden="1" outlineLevel="1">
      <c r="A209" s="120" t="s">
        <v>2173</v>
      </c>
      <c r="B209" s="121"/>
      <c r="C209" s="121" t="s">
        <v>2174</v>
      </c>
      <c r="D209" s="121" t="s">
        <v>2175</v>
      </c>
      <c r="E209" s="121">
        <v>142899.64</v>
      </c>
      <c r="F209" s="121">
        <v>1547.22</v>
      </c>
      <c r="G209" s="121"/>
      <c r="H209" s="120">
        <v>1393.02</v>
      </c>
      <c r="I209" s="120">
        <v>4582.93</v>
      </c>
      <c r="J209" s="120">
        <v>3793.58</v>
      </c>
      <c r="K209" s="120">
        <v>0</v>
      </c>
      <c r="L209" s="120">
        <v>0</v>
      </c>
      <c r="M209" s="120">
        <v>-23003.88</v>
      </c>
      <c r="N209" s="120">
        <v>0</v>
      </c>
      <c r="O209" s="120">
        <v>0</v>
      </c>
      <c r="P209" s="121">
        <v>-13234.35</v>
      </c>
      <c r="Q209" s="121">
        <v>0</v>
      </c>
      <c r="R209" s="121">
        <f t="shared" si="8"/>
        <v>131212.51</v>
      </c>
      <c r="S209" s="120"/>
    </row>
    <row r="210" spans="1:19" s="122" customFormat="1" ht="12.75" hidden="1" outlineLevel="1">
      <c r="A210" s="120" t="s">
        <v>2176</v>
      </c>
      <c r="B210" s="121"/>
      <c r="C210" s="121" t="s">
        <v>2177</v>
      </c>
      <c r="D210" s="121" t="s">
        <v>2178</v>
      </c>
      <c r="E210" s="121">
        <v>18011.79</v>
      </c>
      <c r="F210" s="121">
        <v>138.04</v>
      </c>
      <c r="G210" s="121"/>
      <c r="H210" s="120">
        <v>0</v>
      </c>
      <c r="I210" s="120">
        <v>0</v>
      </c>
      <c r="J210" s="120">
        <v>94.25</v>
      </c>
      <c r="K210" s="120">
        <v>130.25</v>
      </c>
      <c r="L210" s="120">
        <v>0</v>
      </c>
      <c r="M210" s="120">
        <v>-3901.39</v>
      </c>
      <c r="N210" s="120">
        <v>0</v>
      </c>
      <c r="O210" s="120">
        <v>1786.11</v>
      </c>
      <c r="P210" s="121">
        <v>-1890.78</v>
      </c>
      <c r="Q210" s="121">
        <v>0</v>
      </c>
      <c r="R210" s="121">
        <f t="shared" si="8"/>
        <v>16259.050000000001</v>
      </c>
      <c r="S210" s="120"/>
    </row>
    <row r="211" spans="1:19" s="122" customFormat="1" ht="12.75" hidden="1" outlineLevel="1">
      <c r="A211" s="120" t="s">
        <v>2179</v>
      </c>
      <c r="B211" s="121"/>
      <c r="C211" s="121" t="s">
        <v>2180</v>
      </c>
      <c r="D211" s="121" t="s">
        <v>2181</v>
      </c>
      <c r="E211" s="121">
        <v>67986.65</v>
      </c>
      <c r="F211" s="121">
        <v>1621.63</v>
      </c>
      <c r="G211" s="121"/>
      <c r="H211" s="120">
        <v>0</v>
      </c>
      <c r="I211" s="120">
        <v>61.2</v>
      </c>
      <c r="J211" s="120">
        <v>78.38</v>
      </c>
      <c r="K211" s="120">
        <v>78.57</v>
      </c>
      <c r="L211" s="120">
        <v>0.2</v>
      </c>
      <c r="M211" s="120">
        <v>94440.5</v>
      </c>
      <c r="N211" s="120">
        <v>0</v>
      </c>
      <c r="O211" s="120">
        <v>505.5</v>
      </c>
      <c r="P211" s="121">
        <v>95164.35</v>
      </c>
      <c r="Q211" s="121">
        <v>0</v>
      </c>
      <c r="R211" s="121">
        <f t="shared" si="8"/>
        <v>164772.63</v>
      </c>
      <c r="S211" s="120"/>
    </row>
    <row r="212" spans="1:19" s="122" customFormat="1" ht="12.75" hidden="1" outlineLevel="1">
      <c r="A212" s="120" t="s">
        <v>2182</v>
      </c>
      <c r="B212" s="121"/>
      <c r="C212" s="121" t="s">
        <v>2183</v>
      </c>
      <c r="D212" s="121" t="s">
        <v>2184</v>
      </c>
      <c r="E212" s="121">
        <v>67.5</v>
      </c>
      <c r="F212" s="121">
        <v>0</v>
      </c>
      <c r="G212" s="121"/>
      <c r="H212" s="120">
        <v>0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1">
        <v>0</v>
      </c>
      <c r="Q212" s="121">
        <v>0</v>
      </c>
      <c r="R212" s="121">
        <f t="shared" si="8"/>
        <v>67.5</v>
      </c>
      <c r="S212" s="120"/>
    </row>
    <row r="213" spans="1:19" s="122" customFormat="1" ht="12.75" hidden="1" outlineLevel="1">
      <c r="A213" s="120" t="s">
        <v>2185</v>
      </c>
      <c r="B213" s="121"/>
      <c r="C213" s="121" t="s">
        <v>2186</v>
      </c>
      <c r="D213" s="121" t="s">
        <v>2187</v>
      </c>
      <c r="E213" s="121">
        <v>112898.45</v>
      </c>
      <c r="F213" s="121">
        <v>55874.5</v>
      </c>
      <c r="G213" s="121"/>
      <c r="H213" s="120">
        <v>0</v>
      </c>
      <c r="I213" s="120">
        <v>0</v>
      </c>
      <c r="J213" s="120">
        <v>0</v>
      </c>
      <c r="K213" s="120">
        <v>0</v>
      </c>
      <c r="L213" s="120">
        <v>0</v>
      </c>
      <c r="M213" s="120">
        <v>1548.38</v>
      </c>
      <c r="N213" s="120">
        <v>0</v>
      </c>
      <c r="O213" s="120">
        <v>432</v>
      </c>
      <c r="P213" s="121">
        <v>1980.38</v>
      </c>
      <c r="Q213" s="121">
        <v>0</v>
      </c>
      <c r="R213" s="121">
        <f t="shared" si="8"/>
        <v>170753.33000000002</v>
      </c>
      <c r="S213" s="120"/>
    </row>
    <row r="214" spans="1:19" s="122" customFormat="1" ht="12.75" hidden="1" outlineLevel="1">
      <c r="A214" s="120" t="s">
        <v>2188</v>
      </c>
      <c r="B214" s="121"/>
      <c r="C214" s="121" t="s">
        <v>2189</v>
      </c>
      <c r="D214" s="121" t="s">
        <v>2190</v>
      </c>
      <c r="E214" s="121">
        <v>339819.68</v>
      </c>
      <c r="F214" s="121">
        <v>3967.1</v>
      </c>
      <c r="G214" s="121"/>
      <c r="H214" s="120">
        <v>0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1">
        <v>0</v>
      </c>
      <c r="Q214" s="121">
        <v>0</v>
      </c>
      <c r="R214" s="121">
        <f t="shared" si="8"/>
        <v>343786.77999999997</v>
      </c>
      <c r="S214" s="120"/>
    </row>
    <row r="215" spans="1:19" s="122" customFormat="1" ht="12.75" hidden="1" outlineLevel="1">
      <c r="A215" s="120" t="s">
        <v>2191</v>
      </c>
      <c r="B215" s="121"/>
      <c r="C215" s="121" t="s">
        <v>2192</v>
      </c>
      <c r="D215" s="121" t="s">
        <v>2193</v>
      </c>
      <c r="E215" s="121">
        <v>576267.29</v>
      </c>
      <c r="F215" s="121">
        <v>0</v>
      </c>
      <c r="G215" s="121"/>
      <c r="H215" s="120">
        <v>0</v>
      </c>
      <c r="I215" s="120">
        <v>0</v>
      </c>
      <c r="J215" s="120">
        <v>0</v>
      </c>
      <c r="K215" s="120">
        <v>0</v>
      </c>
      <c r="L215" s="120">
        <v>0</v>
      </c>
      <c r="M215" s="120">
        <v>0</v>
      </c>
      <c r="N215" s="120">
        <v>0</v>
      </c>
      <c r="O215" s="120">
        <v>0</v>
      </c>
      <c r="P215" s="121">
        <v>0</v>
      </c>
      <c r="Q215" s="121">
        <v>0</v>
      </c>
      <c r="R215" s="121">
        <f t="shared" si="8"/>
        <v>576267.29</v>
      </c>
      <c r="S215" s="120"/>
    </row>
    <row r="216" spans="1:19" s="122" customFormat="1" ht="12.75" hidden="1" outlineLevel="1">
      <c r="A216" s="120" t="s">
        <v>2194</v>
      </c>
      <c r="B216" s="121"/>
      <c r="C216" s="121" t="s">
        <v>2195</v>
      </c>
      <c r="D216" s="121" t="s">
        <v>2196</v>
      </c>
      <c r="E216" s="121">
        <v>16904.39</v>
      </c>
      <c r="F216" s="121">
        <v>9225</v>
      </c>
      <c r="G216" s="121"/>
      <c r="H216" s="120">
        <v>0</v>
      </c>
      <c r="I216" s="120">
        <v>0</v>
      </c>
      <c r="J216" s="120">
        <v>0</v>
      </c>
      <c r="K216" s="120">
        <v>0</v>
      </c>
      <c r="L216" s="120">
        <v>0</v>
      </c>
      <c r="M216" s="120">
        <v>0</v>
      </c>
      <c r="N216" s="120">
        <v>0</v>
      </c>
      <c r="O216" s="120">
        <v>0</v>
      </c>
      <c r="P216" s="121">
        <v>0</v>
      </c>
      <c r="Q216" s="121">
        <v>0</v>
      </c>
      <c r="R216" s="121">
        <f t="shared" si="8"/>
        <v>26129.39</v>
      </c>
      <c r="S216" s="120"/>
    </row>
    <row r="217" spans="1:19" s="122" customFormat="1" ht="12.75" hidden="1" outlineLevel="1">
      <c r="A217" s="120" t="s">
        <v>2197</v>
      </c>
      <c r="B217" s="121"/>
      <c r="C217" s="121" t="s">
        <v>2198</v>
      </c>
      <c r="D217" s="121" t="s">
        <v>2199</v>
      </c>
      <c r="E217" s="121">
        <v>281544.99</v>
      </c>
      <c r="F217" s="121">
        <v>211.25</v>
      </c>
      <c r="G217" s="121"/>
      <c r="H217" s="120">
        <v>0</v>
      </c>
      <c r="I217" s="120">
        <v>1106.92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1">
        <v>1106.92</v>
      </c>
      <c r="Q217" s="121">
        <v>0</v>
      </c>
      <c r="R217" s="121">
        <f t="shared" si="8"/>
        <v>282863.16</v>
      </c>
      <c r="S217" s="120"/>
    </row>
    <row r="218" spans="1:19" s="122" customFormat="1" ht="12.75" hidden="1" outlineLevel="1">
      <c r="A218" s="120" t="s">
        <v>2200</v>
      </c>
      <c r="B218" s="121"/>
      <c r="C218" s="121" t="s">
        <v>2201</v>
      </c>
      <c r="D218" s="121" t="s">
        <v>2202</v>
      </c>
      <c r="E218" s="121">
        <v>15594.9</v>
      </c>
      <c r="F218" s="121">
        <v>0</v>
      </c>
      <c r="G218" s="121"/>
      <c r="H218" s="120">
        <v>0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1">
        <v>0</v>
      </c>
      <c r="Q218" s="121">
        <v>0</v>
      </c>
      <c r="R218" s="121">
        <f t="shared" si="8"/>
        <v>15594.9</v>
      </c>
      <c r="S218" s="120"/>
    </row>
    <row r="219" spans="1:19" s="122" customFormat="1" ht="12.75" hidden="1" outlineLevel="1">
      <c r="A219" s="120" t="s">
        <v>2203</v>
      </c>
      <c r="B219" s="121"/>
      <c r="C219" s="121" t="s">
        <v>2204</v>
      </c>
      <c r="D219" s="121" t="s">
        <v>2205</v>
      </c>
      <c r="E219" s="121">
        <v>1692628.91</v>
      </c>
      <c r="F219" s="121">
        <v>0</v>
      </c>
      <c r="G219" s="121"/>
      <c r="H219" s="120">
        <v>3143.34</v>
      </c>
      <c r="I219" s="120">
        <v>0</v>
      </c>
      <c r="J219" s="120">
        <v>331.73</v>
      </c>
      <c r="K219" s="120">
        <v>87.92</v>
      </c>
      <c r="L219" s="120">
        <v>0</v>
      </c>
      <c r="M219" s="120">
        <v>390.18</v>
      </c>
      <c r="N219" s="120">
        <v>89.71</v>
      </c>
      <c r="O219" s="120">
        <v>110</v>
      </c>
      <c r="P219" s="121">
        <v>4152.88</v>
      </c>
      <c r="Q219" s="121">
        <v>0</v>
      </c>
      <c r="R219" s="121">
        <f t="shared" si="8"/>
        <v>1696781.7899999998</v>
      </c>
      <c r="S219" s="120"/>
    </row>
    <row r="220" spans="1:19" s="122" customFormat="1" ht="12.75" hidden="1" outlineLevel="1">
      <c r="A220" s="120" t="s">
        <v>2206</v>
      </c>
      <c r="B220" s="121"/>
      <c r="C220" s="121" t="s">
        <v>2207</v>
      </c>
      <c r="D220" s="121" t="s">
        <v>2208</v>
      </c>
      <c r="E220" s="121">
        <v>400</v>
      </c>
      <c r="F220" s="121">
        <v>0</v>
      </c>
      <c r="G220" s="121"/>
      <c r="H220" s="120">
        <v>0</v>
      </c>
      <c r="I220" s="120">
        <v>0</v>
      </c>
      <c r="J220" s="120">
        <v>0</v>
      </c>
      <c r="K220" s="120">
        <v>0</v>
      </c>
      <c r="L220" s="120">
        <v>0</v>
      </c>
      <c r="M220" s="120">
        <v>0</v>
      </c>
      <c r="N220" s="120">
        <v>0</v>
      </c>
      <c r="O220" s="120">
        <v>0</v>
      </c>
      <c r="P220" s="121">
        <v>0</v>
      </c>
      <c r="Q220" s="121">
        <v>0</v>
      </c>
      <c r="R220" s="121">
        <f t="shared" si="8"/>
        <v>400</v>
      </c>
      <c r="S220" s="120"/>
    </row>
    <row r="221" spans="1:19" s="122" customFormat="1" ht="12.75" hidden="1" outlineLevel="1">
      <c r="A221" s="120" t="s">
        <v>2209</v>
      </c>
      <c r="B221" s="121"/>
      <c r="C221" s="121" t="s">
        <v>2210</v>
      </c>
      <c r="D221" s="121" t="s">
        <v>2211</v>
      </c>
      <c r="E221" s="121">
        <v>125008.24</v>
      </c>
      <c r="F221" s="121">
        <v>43703.63</v>
      </c>
      <c r="G221" s="121"/>
      <c r="H221" s="120">
        <v>0</v>
      </c>
      <c r="I221" s="120">
        <v>0</v>
      </c>
      <c r="J221" s="120">
        <v>0</v>
      </c>
      <c r="K221" s="120">
        <v>0</v>
      </c>
      <c r="L221" s="120">
        <v>0</v>
      </c>
      <c r="M221" s="120">
        <v>0</v>
      </c>
      <c r="N221" s="120">
        <v>0</v>
      </c>
      <c r="O221" s="120">
        <v>0</v>
      </c>
      <c r="P221" s="121">
        <v>0</v>
      </c>
      <c r="Q221" s="121">
        <v>0</v>
      </c>
      <c r="R221" s="121">
        <f t="shared" si="8"/>
        <v>168711.87</v>
      </c>
      <c r="S221" s="120"/>
    </row>
    <row r="222" spans="1:19" s="122" customFormat="1" ht="12.75" hidden="1" outlineLevel="1">
      <c r="A222" s="120" t="s">
        <v>2212</v>
      </c>
      <c r="B222" s="121"/>
      <c r="C222" s="121" t="s">
        <v>2213</v>
      </c>
      <c r="D222" s="121" t="s">
        <v>2214</v>
      </c>
      <c r="E222" s="121">
        <v>557759.25</v>
      </c>
      <c r="F222" s="121">
        <v>38789.43</v>
      </c>
      <c r="G222" s="121"/>
      <c r="H222" s="120">
        <v>0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603.8</v>
      </c>
      <c r="P222" s="121">
        <v>603.8</v>
      </c>
      <c r="Q222" s="121">
        <v>0</v>
      </c>
      <c r="R222" s="121">
        <f t="shared" si="8"/>
        <v>597152.4800000001</v>
      </c>
      <c r="S222" s="120"/>
    </row>
    <row r="223" spans="1:19" s="122" customFormat="1" ht="12.75" hidden="1" outlineLevel="1">
      <c r="A223" s="120" t="s">
        <v>2215</v>
      </c>
      <c r="B223" s="121"/>
      <c r="C223" s="121" t="s">
        <v>2216</v>
      </c>
      <c r="D223" s="121" t="s">
        <v>2217</v>
      </c>
      <c r="E223" s="121">
        <v>540451.16</v>
      </c>
      <c r="F223" s="121">
        <v>37166.01</v>
      </c>
      <c r="G223" s="121"/>
      <c r="H223" s="120">
        <v>0</v>
      </c>
      <c r="I223" s="120">
        <v>21453.91</v>
      </c>
      <c r="J223" s="120">
        <v>443.17</v>
      </c>
      <c r="K223" s="120">
        <v>0</v>
      </c>
      <c r="L223" s="120">
        <v>224.5</v>
      </c>
      <c r="M223" s="120">
        <v>0</v>
      </c>
      <c r="N223" s="120">
        <v>306.69</v>
      </c>
      <c r="O223" s="120">
        <v>4535.82</v>
      </c>
      <c r="P223" s="121">
        <v>26964.09</v>
      </c>
      <c r="Q223" s="121">
        <v>0</v>
      </c>
      <c r="R223" s="121">
        <f t="shared" si="8"/>
        <v>604581.26</v>
      </c>
      <c r="S223" s="120"/>
    </row>
    <row r="224" spans="1:19" s="122" customFormat="1" ht="12.75" hidden="1" outlineLevel="1">
      <c r="A224" s="120" t="s">
        <v>2218</v>
      </c>
      <c r="B224" s="121"/>
      <c r="C224" s="121" t="s">
        <v>2219</v>
      </c>
      <c r="D224" s="121" t="s">
        <v>2220</v>
      </c>
      <c r="E224" s="121">
        <v>237224.34</v>
      </c>
      <c r="F224" s="121">
        <v>4611.3</v>
      </c>
      <c r="G224" s="121"/>
      <c r="H224" s="120">
        <v>0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1">
        <v>0</v>
      </c>
      <c r="Q224" s="121">
        <v>0</v>
      </c>
      <c r="R224" s="121">
        <f t="shared" si="8"/>
        <v>241835.63999999998</v>
      </c>
      <c r="S224" s="120"/>
    </row>
    <row r="225" spans="1:19" s="122" customFormat="1" ht="12.75" hidden="1" outlineLevel="1">
      <c r="A225" s="120" t="s">
        <v>2221</v>
      </c>
      <c r="B225" s="121"/>
      <c r="C225" s="121" t="s">
        <v>2222</v>
      </c>
      <c r="D225" s="121" t="s">
        <v>2223</v>
      </c>
      <c r="E225" s="121">
        <v>3563776.44</v>
      </c>
      <c r="F225" s="121">
        <v>125096.65</v>
      </c>
      <c r="G225" s="121"/>
      <c r="H225" s="120">
        <v>0</v>
      </c>
      <c r="I225" s="120">
        <v>110.85</v>
      </c>
      <c r="J225" s="120">
        <v>1740.08</v>
      </c>
      <c r="K225" s="120">
        <v>368.61</v>
      </c>
      <c r="L225" s="120">
        <v>239</v>
      </c>
      <c r="M225" s="120">
        <v>514.85</v>
      </c>
      <c r="N225" s="120">
        <v>0</v>
      </c>
      <c r="O225" s="120">
        <v>37999.06</v>
      </c>
      <c r="P225" s="121">
        <v>40972.45</v>
      </c>
      <c r="Q225" s="121">
        <v>0</v>
      </c>
      <c r="R225" s="121">
        <f t="shared" si="8"/>
        <v>3729845.54</v>
      </c>
      <c r="S225" s="120"/>
    </row>
    <row r="226" spans="1:19" s="122" customFormat="1" ht="12.75" hidden="1" outlineLevel="1">
      <c r="A226" s="120" t="s">
        <v>2224</v>
      </c>
      <c r="B226" s="121"/>
      <c r="C226" s="121" t="s">
        <v>2225</v>
      </c>
      <c r="D226" s="121" t="s">
        <v>2226</v>
      </c>
      <c r="E226" s="121">
        <v>678224.57</v>
      </c>
      <c r="F226" s="121">
        <v>49252.42</v>
      </c>
      <c r="G226" s="121"/>
      <c r="H226" s="120">
        <v>0</v>
      </c>
      <c r="I226" s="120">
        <v>6583.88</v>
      </c>
      <c r="J226" s="120">
        <v>657.17</v>
      </c>
      <c r="K226" s="120">
        <v>2288.49</v>
      </c>
      <c r="L226" s="120">
        <v>3125.08</v>
      </c>
      <c r="M226" s="120">
        <v>0</v>
      </c>
      <c r="N226" s="120">
        <v>21.4</v>
      </c>
      <c r="O226" s="120">
        <v>8313.7</v>
      </c>
      <c r="P226" s="121">
        <v>20989.72</v>
      </c>
      <c r="Q226" s="121">
        <v>0</v>
      </c>
      <c r="R226" s="121">
        <f t="shared" si="8"/>
        <v>748466.71</v>
      </c>
      <c r="S226" s="120"/>
    </row>
    <row r="227" spans="1:19" s="122" customFormat="1" ht="12.75" hidden="1" outlineLevel="1">
      <c r="A227" s="120" t="s">
        <v>2227</v>
      </c>
      <c r="B227" s="121"/>
      <c r="C227" s="121" t="s">
        <v>2228</v>
      </c>
      <c r="D227" s="121" t="s">
        <v>2229</v>
      </c>
      <c r="E227" s="121">
        <v>400</v>
      </c>
      <c r="F227" s="121">
        <v>0</v>
      </c>
      <c r="G227" s="121"/>
      <c r="H227" s="120">
        <v>0</v>
      </c>
      <c r="I227" s="120">
        <v>0</v>
      </c>
      <c r="J227" s="120">
        <v>0</v>
      </c>
      <c r="K227" s="120">
        <v>0</v>
      </c>
      <c r="L227" s="120">
        <v>0</v>
      </c>
      <c r="M227" s="120">
        <v>0</v>
      </c>
      <c r="N227" s="120">
        <v>0</v>
      </c>
      <c r="O227" s="120">
        <v>0</v>
      </c>
      <c r="P227" s="121">
        <v>0</v>
      </c>
      <c r="Q227" s="121">
        <v>0</v>
      </c>
      <c r="R227" s="121">
        <f t="shared" si="8"/>
        <v>400</v>
      </c>
      <c r="S227" s="120"/>
    </row>
    <row r="228" spans="1:19" s="122" customFormat="1" ht="12.75" hidden="1" outlineLevel="1">
      <c r="A228" s="120" t="s">
        <v>2230</v>
      </c>
      <c r="B228" s="121"/>
      <c r="C228" s="121" t="s">
        <v>2231</v>
      </c>
      <c r="D228" s="121" t="s">
        <v>2232</v>
      </c>
      <c r="E228" s="121">
        <v>194052.85</v>
      </c>
      <c r="F228" s="121">
        <v>250.6</v>
      </c>
      <c r="G228" s="121"/>
      <c r="H228" s="120">
        <v>0</v>
      </c>
      <c r="I228" s="120">
        <v>0</v>
      </c>
      <c r="J228" s="120">
        <v>29.51</v>
      </c>
      <c r="K228" s="120">
        <v>0</v>
      </c>
      <c r="L228" s="120">
        <v>0</v>
      </c>
      <c r="M228" s="120">
        <v>13223.57</v>
      </c>
      <c r="N228" s="120">
        <v>0</v>
      </c>
      <c r="O228" s="120">
        <v>0</v>
      </c>
      <c r="P228" s="121">
        <v>13253.08</v>
      </c>
      <c r="Q228" s="121">
        <v>0</v>
      </c>
      <c r="R228" s="121">
        <f t="shared" si="8"/>
        <v>207556.53</v>
      </c>
      <c r="S228" s="120"/>
    </row>
    <row r="229" spans="1:19" s="122" customFormat="1" ht="12.75" hidden="1" outlineLevel="1">
      <c r="A229" s="120" t="s">
        <v>2233</v>
      </c>
      <c r="B229" s="121"/>
      <c r="C229" s="121" t="s">
        <v>2234</v>
      </c>
      <c r="D229" s="121" t="s">
        <v>2235</v>
      </c>
      <c r="E229" s="121">
        <v>2584.22</v>
      </c>
      <c r="F229" s="121">
        <v>0</v>
      </c>
      <c r="G229" s="121"/>
      <c r="H229" s="120">
        <v>0</v>
      </c>
      <c r="I229" s="120">
        <v>0</v>
      </c>
      <c r="J229" s="120">
        <v>0</v>
      </c>
      <c r="K229" s="120">
        <v>0</v>
      </c>
      <c r="L229" s="120">
        <v>0</v>
      </c>
      <c r="M229" s="120">
        <v>0</v>
      </c>
      <c r="N229" s="120">
        <v>0</v>
      </c>
      <c r="O229" s="120">
        <v>0</v>
      </c>
      <c r="P229" s="121">
        <v>0</v>
      </c>
      <c r="Q229" s="121">
        <v>0</v>
      </c>
      <c r="R229" s="121">
        <f t="shared" si="8"/>
        <v>2584.22</v>
      </c>
      <c r="S229" s="120"/>
    </row>
    <row r="230" spans="1:19" s="122" customFormat="1" ht="12.75" hidden="1" outlineLevel="1">
      <c r="A230" s="120" t="s">
        <v>2236</v>
      </c>
      <c r="B230" s="121"/>
      <c r="C230" s="121" t="s">
        <v>2237</v>
      </c>
      <c r="D230" s="121" t="s">
        <v>2238</v>
      </c>
      <c r="E230" s="121">
        <v>1649.89</v>
      </c>
      <c r="F230" s="121">
        <v>0</v>
      </c>
      <c r="G230" s="121"/>
      <c r="H230" s="120">
        <v>200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17.99</v>
      </c>
      <c r="O230" s="120">
        <v>0</v>
      </c>
      <c r="P230" s="121">
        <v>217.99</v>
      </c>
      <c r="Q230" s="121">
        <v>0</v>
      </c>
      <c r="R230" s="121">
        <f t="shared" si="8"/>
        <v>1867.88</v>
      </c>
      <c r="S230" s="120"/>
    </row>
    <row r="231" spans="1:19" s="122" customFormat="1" ht="12.75" hidden="1" outlineLevel="1">
      <c r="A231" s="120" t="s">
        <v>2239</v>
      </c>
      <c r="B231" s="121"/>
      <c r="C231" s="121" t="s">
        <v>2240</v>
      </c>
      <c r="D231" s="121" t="s">
        <v>2241</v>
      </c>
      <c r="E231" s="121">
        <v>402048.5</v>
      </c>
      <c r="F231" s="121">
        <v>15736.76</v>
      </c>
      <c r="G231" s="121"/>
      <c r="H231" s="120">
        <v>0</v>
      </c>
      <c r="I231" s="120">
        <v>513.55</v>
      </c>
      <c r="J231" s="120">
        <v>0</v>
      </c>
      <c r="K231" s="120">
        <v>0</v>
      </c>
      <c r="L231" s="120">
        <v>0</v>
      </c>
      <c r="M231" s="120">
        <v>0</v>
      </c>
      <c r="N231" s="120">
        <v>120</v>
      </c>
      <c r="O231" s="120">
        <v>1523.9</v>
      </c>
      <c r="P231" s="121">
        <v>2157.45</v>
      </c>
      <c r="Q231" s="121">
        <v>0</v>
      </c>
      <c r="R231" s="121">
        <f t="shared" si="8"/>
        <v>419942.71</v>
      </c>
      <c r="S231" s="120"/>
    </row>
    <row r="232" spans="1:19" s="122" customFormat="1" ht="12.75" hidden="1" outlineLevel="1">
      <c r="A232" s="120" t="s">
        <v>2242</v>
      </c>
      <c r="B232" s="121"/>
      <c r="C232" s="121" t="s">
        <v>2243</v>
      </c>
      <c r="D232" s="121" t="s">
        <v>2244</v>
      </c>
      <c r="E232" s="121">
        <v>240086.52</v>
      </c>
      <c r="F232" s="121">
        <v>107890.96</v>
      </c>
      <c r="G232" s="121"/>
      <c r="H232" s="120">
        <v>0</v>
      </c>
      <c r="I232" s="120">
        <v>0</v>
      </c>
      <c r="J232" s="120">
        <v>0</v>
      </c>
      <c r="K232" s="120">
        <v>0</v>
      </c>
      <c r="L232" s="120">
        <v>0</v>
      </c>
      <c r="M232" s="120">
        <v>0</v>
      </c>
      <c r="N232" s="120">
        <v>0</v>
      </c>
      <c r="O232" s="120">
        <v>0</v>
      </c>
      <c r="P232" s="121">
        <v>0</v>
      </c>
      <c r="Q232" s="121">
        <v>0</v>
      </c>
      <c r="R232" s="121">
        <f t="shared" si="8"/>
        <v>347977.48</v>
      </c>
      <c r="S232" s="120"/>
    </row>
    <row r="233" spans="1:19" s="122" customFormat="1" ht="12.75" hidden="1" outlineLevel="1">
      <c r="A233" s="120" t="s">
        <v>2245</v>
      </c>
      <c r="B233" s="121"/>
      <c r="C233" s="121" t="s">
        <v>2246</v>
      </c>
      <c r="D233" s="121" t="s">
        <v>2247</v>
      </c>
      <c r="E233" s="121">
        <v>7429.92</v>
      </c>
      <c r="F233" s="121">
        <v>0</v>
      </c>
      <c r="G233" s="121"/>
      <c r="H233" s="120">
        <v>0</v>
      </c>
      <c r="I233" s="120">
        <v>0</v>
      </c>
      <c r="J233" s="120">
        <v>0</v>
      </c>
      <c r="K233" s="120">
        <v>0</v>
      </c>
      <c r="L233" s="120">
        <v>0</v>
      </c>
      <c r="M233" s="120">
        <v>0</v>
      </c>
      <c r="N233" s="120">
        <v>0</v>
      </c>
      <c r="O233" s="120">
        <v>0</v>
      </c>
      <c r="P233" s="121">
        <v>0</v>
      </c>
      <c r="Q233" s="121">
        <v>0</v>
      </c>
      <c r="R233" s="121">
        <f t="shared" si="8"/>
        <v>7429.92</v>
      </c>
      <c r="S233" s="120"/>
    </row>
    <row r="234" spans="1:19" s="122" customFormat="1" ht="12.75" hidden="1" outlineLevel="1">
      <c r="A234" s="120" t="s">
        <v>2248</v>
      </c>
      <c r="B234" s="121"/>
      <c r="C234" s="121" t="s">
        <v>2249</v>
      </c>
      <c r="D234" s="121" t="s">
        <v>2250</v>
      </c>
      <c r="E234" s="121">
        <v>14524.28</v>
      </c>
      <c r="F234" s="121">
        <v>0</v>
      </c>
      <c r="G234" s="121"/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1">
        <v>0</v>
      </c>
      <c r="Q234" s="121">
        <v>0</v>
      </c>
      <c r="R234" s="121">
        <f t="shared" si="8"/>
        <v>14524.28</v>
      </c>
      <c r="S234" s="120"/>
    </row>
    <row r="235" spans="1:19" s="122" customFormat="1" ht="12.75" hidden="1" outlineLevel="1">
      <c r="A235" s="120" t="s">
        <v>2251</v>
      </c>
      <c r="B235" s="121"/>
      <c r="C235" s="121" t="s">
        <v>2252</v>
      </c>
      <c r="D235" s="121" t="s">
        <v>2253</v>
      </c>
      <c r="E235" s="121">
        <v>298322.78</v>
      </c>
      <c r="F235" s="121">
        <v>0</v>
      </c>
      <c r="G235" s="121"/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50487.97</v>
      </c>
      <c r="P235" s="121">
        <v>50487.97</v>
      </c>
      <c r="Q235" s="121">
        <v>0</v>
      </c>
      <c r="R235" s="121">
        <f t="shared" si="8"/>
        <v>348810.75</v>
      </c>
      <c r="S235" s="120"/>
    </row>
    <row r="236" spans="1:19" s="122" customFormat="1" ht="12.75" hidden="1" outlineLevel="1">
      <c r="A236" s="120" t="s">
        <v>2254</v>
      </c>
      <c r="B236" s="121"/>
      <c r="C236" s="121" t="s">
        <v>2255</v>
      </c>
      <c r="D236" s="121" t="s">
        <v>2256</v>
      </c>
      <c r="E236" s="121">
        <v>148999.94</v>
      </c>
      <c r="F236" s="121">
        <v>2121</v>
      </c>
      <c r="G236" s="121"/>
      <c r="H236" s="120">
        <v>0</v>
      </c>
      <c r="I236" s="120">
        <v>0</v>
      </c>
      <c r="J236" s="120">
        <v>0</v>
      </c>
      <c r="K236" s="120">
        <v>0</v>
      </c>
      <c r="L236" s="120">
        <v>0</v>
      </c>
      <c r="M236" s="120">
        <v>0</v>
      </c>
      <c r="N236" s="120">
        <v>0</v>
      </c>
      <c r="O236" s="120">
        <v>0</v>
      </c>
      <c r="P236" s="121">
        <v>0</v>
      </c>
      <c r="Q236" s="121">
        <v>0</v>
      </c>
      <c r="R236" s="121">
        <f t="shared" si="8"/>
        <v>151120.94</v>
      </c>
      <c r="S236" s="120"/>
    </row>
    <row r="237" spans="1:19" s="122" customFormat="1" ht="12.75" hidden="1" outlineLevel="1">
      <c r="A237" s="120" t="s">
        <v>2257</v>
      </c>
      <c r="B237" s="121"/>
      <c r="C237" s="121" t="s">
        <v>2258</v>
      </c>
      <c r="D237" s="121" t="s">
        <v>2259</v>
      </c>
      <c r="E237" s="121">
        <v>21508.66</v>
      </c>
      <c r="F237" s="121">
        <v>0</v>
      </c>
      <c r="G237" s="121"/>
      <c r="H237" s="120">
        <v>0</v>
      </c>
      <c r="I237" s="120">
        <v>0</v>
      </c>
      <c r="J237" s="120">
        <v>0</v>
      </c>
      <c r="K237" s="120">
        <v>0</v>
      </c>
      <c r="L237" s="120">
        <v>0</v>
      </c>
      <c r="M237" s="120">
        <v>0</v>
      </c>
      <c r="N237" s="120">
        <v>39.95</v>
      </c>
      <c r="O237" s="120">
        <v>0</v>
      </c>
      <c r="P237" s="121">
        <v>39.95</v>
      </c>
      <c r="Q237" s="121">
        <v>0</v>
      </c>
      <c r="R237" s="121">
        <f t="shared" si="8"/>
        <v>21548.61</v>
      </c>
      <c r="S237" s="120"/>
    </row>
    <row r="238" spans="1:19" s="122" customFormat="1" ht="12.75" hidden="1" outlineLevel="1">
      <c r="A238" s="120" t="s">
        <v>2260</v>
      </c>
      <c r="B238" s="121"/>
      <c r="C238" s="121" t="s">
        <v>2261</v>
      </c>
      <c r="D238" s="121" t="s">
        <v>2262</v>
      </c>
      <c r="E238" s="121">
        <v>51260.04</v>
      </c>
      <c r="F238" s="121">
        <v>0</v>
      </c>
      <c r="G238" s="121"/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2494.57</v>
      </c>
      <c r="P238" s="121">
        <v>2494.57</v>
      </c>
      <c r="Q238" s="121">
        <v>0</v>
      </c>
      <c r="R238" s="121">
        <f t="shared" si="8"/>
        <v>53754.61</v>
      </c>
      <c r="S238" s="120"/>
    </row>
    <row r="239" spans="1:19" s="122" customFormat="1" ht="12.75" hidden="1" outlineLevel="1">
      <c r="A239" s="120" t="s">
        <v>2263</v>
      </c>
      <c r="B239" s="121"/>
      <c r="C239" s="121" t="s">
        <v>2264</v>
      </c>
      <c r="D239" s="121" t="s">
        <v>2265</v>
      </c>
      <c r="E239" s="121">
        <v>58855.13</v>
      </c>
      <c r="F239" s="121">
        <v>0</v>
      </c>
      <c r="G239" s="121"/>
      <c r="H239" s="120">
        <v>38954.13</v>
      </c>
      <c r="I239" s="120">
        <v>0</v>
      </c>
      <c r="J239" s="120">
        <v>12059.77</v>
      </c>
      <c r="K239" s="120">
        <v>1838.03</v>
      </c>
      <c r="L239" s="120">
        <v>0</v>
      </c>
      <c r="M239" s="120">
        <v>0</v>
      </c>
      <c r="N239" s="120">
        <v>2.38</v>
      </c>
      <c r="O239" s="120">
        <v>462.86</v>
      </c>
      <c r="P239" s="121">
        <v>53317.17</v>
      </c>
      <c r="Q239" s="121">
        <v>0</v>
      </c>
      <c r="R239" s="121">
        <f t="shared" si="8"/>
        <v>112172.29999999999</v>
      </c>
      <c r="S239" s="120"/>
    </row>
    <row r="240" spans="1:19" s="122" customFormat="1" ht="12.75" hidden="1" outlineLevel="1">
      <c r="A240" s="120" t="s">
        <v>2266</v>
      </c>
      <c r="B240" s="121"/>
      <c r="C240" s="121" t="s">
        <v>2267</v>
      </c>
      <c r="D240" s="121" t="s">
        <v>2268</v>
      </c>
      <c r="E240" s="121">
        <v>16903.05</v>
      </c>
      <c r="F240" s="121">
        <v>0</v>
      </c>
      <c r="G240" s="121"/>
      <c r="H240" s="120">
        <v>172.28</v>
      </c>
      <c r="I240" s="120">
        <v>0</v>
      </c>
      <c r="J240" s="120">
        <v>0</v>
      </c>
      <c r="K240" s="120">
        <v>0</v>
      </c>
      <c r="L240" s="120">
        <v>0</v>
      </c>
      <c r="M240" s="120">
        <v>0</v>
      </c>
      <c r="N240" s="120">
        <v>0</v>
      </c>
      <c r="O240" s="120">
        <v>0</v>
      </c>
      <c r="P240" s="121">
        <v>172.28</v>
      </c>
      <c r="Q240" s="121">
        <v>0</v>
      </c>
      <c r="R240" s="121">
        <f t="shared" si="8"/>
        <v>17075.329999999998</v>
      </c>
      <c r="S240" s="120"/>
    </row>
    <row r="241" spans="1:19" s="122" customFormat="1" ht="12.75" hidden="1" outlineLevel="1">
      <c r="A241" s="120" t="s">
        <v>2269</v>
      </c>
      <c r="B241" s="121"/>
      <c r="C241" s="121" t="s">
        <v>2270</v>
      </c>
      <c r="D241" s="121" t="s">
        <v>2271</v>
      </c>
      <c r="E241" s="121">
        <v>-1.42</v>
      </c>
      <c r="F241" s="121">
        <v>0</v>
      </c>
      <c r="G241" s="121"/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1">
        <v>0</v>
      </c>
      <c r="Q241" s="121">
        <v>0</v>
      </c>
      <c r="R241" s="121">
        <f t="shared" si="8"/>
        <v>-1.42</v>
      </c>
      <c r="S241" s="120"/>
    </row>
    <row r="242" spans="1:19" s="122" customFormat="1" ht="12.75" hidden="1" outlineLevel="1">
      <c r="A242" s="120" t="s">
        <v>2272</v>
      </c>
      <c r="B242" s="121"/>
      <c r="C242" s="121" t="s">
        <v>2273</v>
      </c>
      <c r="D242" s="121" t="s">
        <v>2274</v>
      </c>
      <c r="E242" s="121">
        <v>22938.86</v>
      </c>
      <c r="F242" s="121">
        <v>0</v>
      </c>
      <c r="G242" s="121"/>
      <c r="H242" s="120">
        <v>0</v>
      </c>
      <c r="I242" s="120">
        <v>0</v>
      </c>
      <c r="J242" s="120">
        <v>0</v>
      </c>
      <c r="K242" s="120">
        <v>0</v>
      </c>
      <c r="L242" s="120">
        <v>8625.13</v>
      </c>
      <c r="M242" s="120">
        <v>0</v>
      </c>
      <c r="N242" s="120">
        <v>0</v>
      </c>
      <c r="O242" s="120">
        <v>0</v>
      </c>
      <c r="P242" s="121">
        <v>8625.13</v>
      </c>
      <c r="Q242" s="121">
        <v>0</v>
      </c>
      <c r="R242" s="121">
        <f t="shared" si="8"/>
        <v>31563.989999999998</v>
      </c>
      <c r="S242" s="120"/>
    </row>
    <row r="243" spans="1:19" s="122" customFormat="1" ht="12.75" hidden="1" outlineLevel="1">
      <c r="A243" s="120" t="s">
        <v>2275</v>
      </c>
      <c r="B243" s="121"/>
      <c r="C243" s="121" t="s">
        <v>2276</v>
      </c>
      <c r="D243" s="121" t="s">
        <v>2277</v>
      </c>
      <c r="E243" s="121">
        <v>4056.03</v>
      </c>
      <c r="F243" s="121">
        <v>0</v>
      </c>
      <c r="G243" s="121"/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10845.71</v>
      </c>
      <c r="P243" s="121">
        <v>10845.71</v>
      </c>
      <c r="Q243" s="121">
        <v>0</v>
      </c>
      <c r="R243" s="121">
        <f t="shared" si="8"/>
        <v>14901.74</v>
      </c>
      <c r="S243" s="120"/>
    </row>
    <row r="244" spans="1:19" s="122" customFormat="1" ht="12.75" hidden="1" outlineLevel="1">
      <c r="A244" s="120" t="s">
        <v>2278</v>
      </c>
      <c r="B244" s="121"/>
      <c r="C244" s="121" t="s">
        <v>2279</v>
      </c>
      <c r="D244" s="121" t="s">
        <v>2280</v>
      </c>
      <c r="E244" s="121">
        <v>1713.52</v>
      </c>
      <c r="F244" s="121">
        <v>0</v>
      </c>
      <c r="G244" s="121"/>
      <c r="H244" s="120">
        <v>0</v>
      </c>
      <c r="I244" s="120">
        <v>0</v>
      </c>
      <c r="J244" s="120">
        <v>0</v>
      </c>
      <c r="K244" s="120">
        <v>0</v>
      </c>
      <c r="L244" s="120">
        <v>0</v>
      </c>
      <c r="M244" s="120">
        <v>0</v>
      </c>
      <c r="N244" s="120">
        <v>0</v>
      </c>
      <c r="O244" s="120">
        <v>185.3</v>
      </c>
      <c r="P244" s="121">
        <v>185.3</v>
      </c>
      <c r="Q244" s="121">
        <v>0</v>
      </c>
      <c r="R244" s="121">
        <f t="shared" si="8"/>
        <v>1898.82</v>
      </c>
      <c r="S244" s="120"/>
    </row>
    <row r="245" spans="1:19" s="122" customFormat="1" ht="12.75" hidden="1" outlineLevel="1">
      <c r="A245" s="120" t="s">
        <v>2281</v>
      </c>
      <c r="B245" s="121"/>
      <c r="C245" s="121" t="s">
        <v>2282</v>
      </c>
      <c r="D245" s="121" t="s">
        <v>2283</v>
      </c>
      <c r="E245" s="121">
        <v>1758.84</v>
      </c>
      <c r="F245" s="121">
        <v>0</v>
      </c>
      <c r="G245" s="121"/>
      <c r="H245" s="120">
        <v>0</v>
      </c>
      <c r="I245" s="120">
        <v>0</v>
      </c>
      <c r="J245" s="120">
        <v>0</v>
      </c>
      <c r="K245" s="120">
        <v>0</v>
      </c>
      <c r="L245" s="120">
        <v>0</v>
      </c>
      <c r="M245" s="120">
        <v>0</v>
      </c>
      <c r="N245" s="120">
        <v>0</v>
      </c>
      <c r="O245" s="120">
        <v>0</v>
      </c>
      <c r="P245" s="121">
        <v>0</v>
      </c>
      <c r="Q245" s="121">
        <v>0</v>
      </c>
      <c r="R245" s="121">
        <f t="shared" si="8"/>
        <v>1758.84</v>
      </c>
      <c r="S245" s="120"/>
    </row>
    <row r="246" spans="1:19" s="122" customFormat="1" ht="12.75" hidden="1" outlineLevel="1">
      <c r="A246" s="120" t="s">
        <v>2284</v>
      </c>
      <c r="B246" s="121"/>
      <c r="C246" s="121" t="s">
        <v>2285</v>
      </c>
      <c r="D246" s="121" t="s">
        <v>2286</v>
      </c>
      <c r="E246" s="121">
        <v>118460.84</v>
      </c>
      <c r="F246" s="121">
        <v>0</v>
      </c>
      <c r="G246" s="121"/>
      <c r="H246" s="120">
        <v>3000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482.65</v>
      </c>
      <c r="O246" s="120">
        <v>1011.06</v>
      </c>
      <c r="P246" s="121">
        <v>4493.71</v>
      </c>
      <c r="Q246" s="121">
        <v>0</v>
      </c>
      <c r="R246" s="121">
        <f t="shared" si="8"/>
        <v>122954.55</v>
      </c>
      <c r="S246" s="120"/>
    </row>
    <row r="247" spans="1:19" s="122" customFormat="1" ht="12.75" hidden="1" outlineLevel="1">
      <c r="A247" s="120" t="s">
        <v>2287</v>
      </c>
      <c r="B247" s="121"/>
      <c r="C247" s="121" t="s">
        <v>2288</v>
      </c>
      <c r="D247" s="121" t="s">
        <v>2289</v>
      </c>
      <c r="E247" s="121">
        <v>39505.86</v>
      </c>
      <c r="F247" s="121">
        <v>0</v>
      </c>
      <c r="G247" s="121"/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147072.09</v>
      </c>
      <c r="P247" s="121">
        <v>147072.09</v>
      </c>
      <c r="Q247" s="121">
        <v>0</v>
      </c>
      <c r="R247" s="121">
        <f t="shared" si="8"/>
        <v>186577.95</v>
      </c>
      <c r="S247" s="120"/>
    </row>
    <row r="248" spans="1:19" s="122" customFormat="1" ht="12.75" hidden="1" outlineLevel="1">
      <c r="A248" s="120" t="s">
        <v>2290</v>
      </c>
      <c r="B248" s="121"/>
      <c r="C248" s="121" t="s">
        <v>2291</v>
      </c>
      <c r="D248" s="121" t="s">
        <v>2292</v>
      </c>
      <c r="E248" s="121">
        <v>0</v>
      </c>
      <c r="F248" s="121">
        <v>0</v>
      </c>
      <c r="G248" s="121"/>
      <c r="H248" s="120">
        <v>0</v>
      </c>
      <c r="I248" s="120">
        <v>0</v>
      </c>
      <c r="J248" s="120">
        <v>0</v>
      </c>
      <c r="K248" s="120">
        <v>0</v>
      </c>
      <c r="L248" s="120">
        <v>0</v>
      </c>
      <c r="M248" s="120">
        <v>0</v>
      </c>
      <c r="N248" s="120">
        <v>0</v>
      </c>
      <c r="O248" s="120">
        <v>16477.78</v>
      </c>
      <c r="P248" s="121">
        <v>16477.78</v>
      </c>
      <c r="Q248" s="121">
        <v>0</v>
      </c>
      <c r="R248" s="121">
        <f t="shared" si="8"/>
        <v>16477.78</v>
      </c>
      <c r="S248" s="120"/>
    </row>
    <row r="249" spans="1:19" s="122" customFormat="1" ht="12.75" hidden="1" outlineLevel="1">
      <c r="A249" s="120" t="s">
        <v>2293</v>
      </c>
      <c r="B249" s="121"/>
      <c r="C249" s="121" t="s">
        <v>2294</v>
      </c>
      <c r="D249" s="121" t="s">
        <v>2295</v>
      </c>
      <c r="E249" s="121">
        <v>0</v>
      </c>
      <c r="F249" s="121">
        <v>0</v>
      </c>
      <c r="G249" s="121"/>
      <c r="H249" s="120">
        <v>0</v>
      </c>
      <c r="I249" s="120">
        <v>0</v>
      </c>
      <c r="J249" s="120">
        <v>0</v>
      </c>
      <c r="K249" s="120">
        <v>0</v>
      </c>
      <c r="L249" s="120">
        <v>0</v>
      </c>
      <c r="M249" s="120">
        <v>0</v>
      </c>
      <c r="N249" s="120">
        <v>0</v>
      </c>
      <c r="O249" s="120">
        <v>834.3</v>
      </c>
      <c r="P249" s="121">
        <v>834.3</v>
      </c>
      <c r="Q249" s="121">
        <v>0</v>
      </c>
      <c r="R249" s="121">
        <f t="shared" si="8"/>
        <v>834.3</v>
      </c>
      <c r="S249" s="120"/>
    </row>
    <row r="250" spans="1:19" s="122" customFormat="1" ht="12.75" hidden="1" outlineLevel="1">
      <c r="A250" s="120" t="s">
        <v>2296</v>
      </c>
      <c r="B250" s="121"/>
      <c r="C250" s="121" t="s">
        <v>2297</v>
      </c>
      <c r="D250" s="121" t="s">
        <v>2298</v>
      </c>
      <c r="E250" s="121">
        <v>0</v>
      </c>
      <c r="F250" s="121">
        <v>0</v>
      </c>
      <c r="G250" s="121"/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4015.71</v>
      </c>
      <c r="P250" s="121">
        <v>4015.71</v>
      </c>
      <c r="Q250" s="121">
        <v>0</v>
      </c>
      <c r="R250" s="121">
        <f t="shared" si="8"/>
        <v>4015.71</v>
      </c>
      <c r="S250" s="120"/>
    </row>
    <row r="251" spans="1:19" s="122" customFormat="1" ht="12.75" hidden="1" outlineLevel="1">
      <c r="A251" s="120" t="s">
        <v>2299</v>
      </c>
      <c r="B251" s="121"/>
      <c r="C251" s="121" t="s">
        <v>2300</v>
      </c>
      <c r="D251" s="121" t="s">
        <v>2301</v>
      </c>
      <c r="E251" s="121">
        <v>0</v>
      </c>
      <c r="F251" s="121">
        <v>0</v>
      </c>
      <c r="G251" s="121"/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15142.34</v>
      </c>
      <c r="P251" s="121">
        <v>15142.34</v>
      </c>
      <c r="Q251" s="121">
        <v>0</v>
      </c>
      <c r="R251" s="121">
        <f t="shared" si="8"/>
        <v>15142.34</v>
      </c>
      <c r="S251" s="120"/>
    </row>
    <row r="252" spans="1:19" s="122" customFormat="1" ht="12.75" hidden="1" outlineLevel="1">
      <c r="A252" s="120" t="s">
        <v>2302</v>
      </c>
      <c r="B252" s="121"/>
      <c r="C252" s="121" t="s">
        <v>2303</v>
      </c>
      <c r="D252" s="121" t="s">
        <v>2304</v>
      </c>
      <c r="E252" s="121">
        <v>230</v>
      </c>
      <c r="F252" s="121">
        <v>0</v>
      </c>
      <c r="G252" s="121"/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1">
        <v>0</v>
      </c>
      <c r="Q252" s="121">
        <v>0</v>
      </c>
      <c r="R252" s="121">
        <f t="shared" si="8"/>
        <v>230</v>
      </c>
      <c r="S252" s="120"/>
    </row>
    <row r="253" spans="1:19" s="122" customFormat="1" ht="12.75" hidden="1" outlineLevel="1">
      <c r="A253" s="120" t="s">
        <v>2305</v>
      </c>
      <c r="B253" s="121"/>
      <c r="C253" s="121" t="s">
        <v>2306</v>
      </c>
      <c r="D253" s="121" t="s">
        <v>2307</v>
      </c>
      <c r="E253" s="121">
        <v>1826</v>
      </c>
      <c r="F253" s="121">
        <v>0</v>
      </c>
      <c r="G253" s="121"/>
      <c r="H253" s="120">
        <v>0</v>
      </c>
      <c r="I253" s="120">
        <v>0</v>
      </c>
      <c r="J253" s="120">
        <v>0</v>
      </c>
      <c r="K253" s="120">
        <v>0</v>
      </c>
      <c r="L253" s="120">
        <v>0</v>
      </c>
      <c r="M253" s="120">
        <v>0</v>
      </c>
      <c r="N253" s="120">
        <v>0</v>
      </c>
      <c r="O253" s="120">
        <v>0</v>
      </c>
      <c r="P253" s="121">
        <v>0</v>
      </c>
      <c r="Q253" s="121">
        <v>0</v>
      </c>
      <c r="R253" s="121">
        <f t="shared" si="8"/>
        <v>1826</v>
      </c>
      <c r="S253" s="120"/>
    </row>
    <row r="254" spans="1:19" s="122" customFormat="1" ht="12.75" hidden="1" outlineLevel="1">
      <c r="A254" s="120" t="s">
        <v>2308</v>
      </c>
      <c r="B254" s="121"/>
      <c r="C254" s="121" t="s">
        <v>2309</v>
      </c>
      <c r="D254" s="121" t="s">
        <v>2310</v>
      </c>
      <c r="E254" s="121">
        <v>87.83</v>
      </c>
      <c r="F254" s="121">
        <v>0</v>
      </c>
      <c r="G254" s="121"/>
      <c r="H254" s="120">
        <v>0</v>
      </c>
      <c r="I254" s="120">
        <v>0</v>
      </c>
      <c r="J254" s="120">
        <v>0</v>
      </c>
      <c r="K254" s="120">
        <v>0</v>
      </c>
      <c r="L254" s="120">
        <v>0</v>
      </c>
      <c r="M254" s="120">
        <v>0</v>
      </c>
      <c r="N254" s="120">
        <v>0</v>
      </c>
      <c r="O254" s="120">
        <v>0</v>
      </c>
      <c r="P254" s="121">
        <v>0</v>
      </c>
      <c r="Q254" s="121">
        <v>0</v>
      </c>
      <c r="R254" s="121">
        <f t="shared" si="8"/>
        <v>87.83</v>
      </c>
      <c r="S254" s="120"/>
    </row>
    <row r="255" spans="1:19" s="122" customFormat="1" ht="12.75" hidden="1" outlineLevel="1">
      <c r="A255" s="120" t="s">
        <v>2311</v>
      </c>
      <c r="B255" s="121"/>
      <c r="C255" s="121" t="s">
        <v>2312</v>
      </c>
      <c r="D255" s="121" t="s">
        <v>2313</v>
      </c>
      <c r="E255" s="121">
        <v>249.17</v>
      </c>
      <c r="F255" s="121">
        <v>0</v>
      </c>
      <c r="G255" s="121"/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1">
        <v>0</v>
      </c>
      <c r="Q255" s="121">
        <v>0</v>
      </c>
      <c r="R255" s="121">
        <f t="shared" si="8"/>
        <v>249.17</v>
      </c>
      <c r="S255" s="120"/>
    </row>
    <row r="256" spans="1:19" s="122" customFormat="1" ht="12.75" hidden="1" outlineLevel="1">
      <c r="A256" s="120" t="s">
        <v>2314</v>
      </c>
      <c r="B256" s="121"/>
      <c r="C256" s="121" t="s">
        <v>2315</v>
      </c>
      <c r="D256" s="121" t="s">
        <v>2316</v>
      </c>
      <c r="E256" s="121">
        <v>1718.44</v>
      </c>
      <c r="F256" s="121">
        <v>0</v>
      </c>
      <c r="G256" s="121"/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1">
        <v>0</v>
      </c>
      <c r="Q256" s="121">
        <v>0</v>
      </c>
      <c r="R256" s="121">
        <f t="shared" si="8"/>
        <v>1718.44</v>
      </c>
      <c r="S256" s="120"/>
    </row>
    <row r="257" spans="1:19" s="122" customFormat="1" ht="12.75" hidden="1" outlineLevel="1">
      <c r="A257" s="120" t="s">
        <v>2317</v>
      </c>
      <c r="B257" s="121"/>
      <c r="C257" s="121" t="s">
        <v>2318</v>
      </c>
      <c r="D257" s="121" t="s">
        <v>2319</v>
      </c>
      <c r="E257" s="121">
        <v>-5.95</v>
      </c>
      <c r="F257" s="121">
        <v>0</v>
      </c>
      <c r="G257" s="121"/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1">
        <v>0</v>
      </c>
      <c r="Q257" s="121">
        <v>0</v>
      </c>
      <c r="R257" s="121">
        <f aca="true" t="shared" si="9" ref="R257:R320">E257+F257+G257+P257+Q257</f>
        <v>-5.95</v>
      </c>
      <c r="S257" s="120"/>
    </row>
    <row r="258" spans="1:19" s="122" customFormat="1" ht="12.75" hidden="1" outlineLevel="1">
      <c r="A258" s="120" t="s">
        <v>2320</v>
      </c>
      <c r="B258" s="121"/>
      <c r="C258" s="121" t="s">
        <v>2321</v>
      </c>
      <c r="D258" s="121" t="s">
        <v>2322</v>
      </c>
      <c r="E258" s="121">
        <v>138.44</v>
      </c>
      <c r="F258" s="121">
        <v>0</v>
      </c>
      <c r="G258" s="121"/>
      <c r="H258" s="120">
        <v>0</v>
      </c>
      <c r="I258" s="120">
        <v>0</v>
      </c>
      <c r="J258" s="120">
        <v>0</v>
      </c>
      <c r="K258" s="120">
        <v>0</v>
      </c>
      <c r="L258" s="120">
        <v>0</v>
      </c>
      <c r="M258" s="120">
        <v>0</v>
      </c>
      <c r="N258" s="120">
        <v>0</v>
      </c>
      <c r="O258" s="120">
        <v>0</v>
      </c>
      <c r="P258" s="121">
        <v>0</v>
      </c>
      <c r="Q258" s="121">
        <v>0</v>
      </c>
      <c r="R258" s="121">
        <f t="shared" si="9"/>
        <v>138.44</v>
      </c>
      <c r="S258" s="120"/>
    </row>
    <row r="259" spans="1:19" s="122" customFormat="1" ht="12.75" hidden="1" outlineLevel="1">
      <c r="A259" s="120" t="s">
        <v>2323</v>
      </c>
      <c r="B259" s="121"/>
      <c r="C259" s="121" t="s">
        <v>2324</v>
      </c>
      <c r="D259" s="121" t="s">
        <v>2325</v>
      </c>
      <c r="E259" s="121">
        <v>1410</v>
      </c>
      <c r="F259" s="121">
        <v>0</v>
      </c>
      <c r="G259" s="121"/>
      <c r="H259" s="120">
        <v>0</v>
      </c>
      <c r="I259" s="120">
        <v>0</v>
      </c>
      <c r="J259" s="120">
        <v>0</v>
      </c>
      <c r="K259" s="120">
        <v>0</v>
      </c>
      <c r="L259" s="120">
        <v>0</v>
      </c>
      <c r="M259" s="120">
        <v>0</v>
      </c>
      <c r="N259" s="120">
        <v>0</v>
      </c>
      <c r="O259" s="120">
        <v>0</v>
      </c>
      <c r="P259" s="121">
        <v>0</v>
      </c>
      <c r="Q259" s="121">
        <v>0</v>
      </c>
      <c r="R259" s="121">
        <f t="shared" si="9"/>
        <v>1410</v>
      </c>
      <c r="S259" s="120"/>
    </row>
    <row r="260" spans="1:19" s="122" customFormat="1" ht="12.75" hidden="1" outlineLevel="1">
      <c r="A260" s="120" t="s">
        <v>2326</v>
      </c>
      <c r="B260" s="121"/>
      <c r="C260" s="121" t="s">
        <v>2327</v>
      </c>
      <c r="D260" s="121" t="s">
        <v>2328</v>
      </c>
      <c r="E260" s="121">
        <v>83117.56</v>
      </c>
      <c r="F260" s="121">
        <v>748.17</v>
      </c>
      <c r="G260" s="121"/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1">
        <v>0</v>
      </c>
      <c r="Q260" s="121">
        <v>0</v>
      </c>
      <c r="R260" s="121">
        <f t="shared" si="9"/>
        <v>83865.73</v>
      </c>
      <c r="S260" s="120"/>
    </row>
    <row r="261" spans="1:19" s="122" customFormat="1" ht="12.75" hidden="1" outlineLevel="1">
      <c r="A261" s="120" t="s">
        <v>2329</v>
      </c>
      <c r="B261" s="121"/>
      <c r="C261" s="121" t="s">
        <v>2330</v>
      </c>
      <c r="D261" s="121" t="s">
        <v>2331</v>
      </c>
      <c r="E261" s="121">
        <v>298694.06</v>
      </c>
      <c r="F261" s="121">
        <v>3795</v>
      </c>
      <c r="G261" s="121"/>
      <c r="H261" s="120">
        <v>0</v>
      </c>
      <c r="I261" s="120">
        <v>593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7397.5</v>
      </c>
      <c r="P261" s="121">
        <v>7990.5</v>
      </c>
      <c r="Q261" s="121">
        <v>0</v>
      </c>
      <c r="R261" s="121">
        <f t="shared" si="9"/>
        <v>310479.56</v>
      </c>
      <c r="S261" s="120"/>
    </row>
    <row r="262" spans="1:19" s="122" customFormat="1" ht="12.75" hidden="1" outlineLevel="1">
      <c r="A262" s="120" t="s">
        <v>2332</v>
      </c>
      <c r="B262" s="121"/>
      <c r="C262" s="121" t="s">
        <v>2333</v>
      </c>
      <c r="D262" s="121" t="s">
        <v>2334</v>
      </c>
      <c r="E262" s="121">
        <v>75809.12</v>
      </c>
      <c r="F262" s="121">
        <v>100</v>
      </c>
      <c r="G262" s="121"/>
      <c r="H262" s="120">
        <v>0</v>
      </c>
      <c r="I262" s="120">
        <v>100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1">
        <v>100</v>
      </c>
      <c r="Q262" s="121">
        <v>0</v>
      </c>
      <c r="R262" s="121">
        <f t="shared" si="9"/>
        <v>76009.12</v>
      </c>
      <c r="S262" s="120"/>
    </row>
    <row r="263" spans="1:19" s="122" customFormat="1" ht="12.75" hidden="1" outlineLevel="1">
      <c r="A263" s="120" t="s">
        <v>2335</v>
      </c>
      <c r="B263" s="121"/>
      <c r="C263" s="121" t="s">
        <v>2336</v>
      </c>
      <c r="D263" s="121" t="s">
        <v>2337</v>
      </c>
      <c r="E263" s="121">
        <v>6091.5</v>
      </c>
      <c r="F263" s="121">
        <v>535.5</v>
      </c>
      <c r="G263" s="121"/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178</v>
      </c>
      <c r="P263" s="121">
        <v>178</v>
      </c>
      <c r="Q263" s="121">
        <v>0</v>
      </c>
      <c r="R263" s="121">
        <f t="shared" si="9"/>
        <v>6805</v>
      </c>
      <c r="S263" s="120"/>
    </row>
    <row r="264" spans="1:19" s="122" customFormat="1" ht="12.75" hidden="1" outlineLevel="1">
      <c r="A264" s="120" t="s">
        <v>2338</v>
      </c>
      <c r="B264" s="121"/>
      <c r="C264" s="121" t="s">
        <v>2339</v>
      </c>
      <c r="D264" s="121" t="s">
        <v>2340</v>
      </c>
      <c r="E264" s="121">
        <v>171473.97</v>
      </c>
      <c r="F264" s="121">
        <v>3445</v>
      </c>
      <c r="G264" s="121"/>
      <c r="H264" s="120">
        <v>0</v>
      </c>
      <c r="I264" s="120">
        <v>0</v>
      </c>
      <c r="J264" s="120">
        <v>0</v>
      </c>
      <c r="K264" s="120">
        <v>0</v>
      </c>
      <c r="L264" s="120">
        <v>0</v>
      </c>
      <c r="M264" s="120">
        <v>0</v>
      </c>
      <c r="N264" s="120">
        <v>0</v>
      </c>
      <c r="O264" s="120">
        <v>0</v>
      </c>
      <c r="P264" s="121">
        <v>0</v>
      </c>
      <c r="Q264" s="121">
        <v>0</v>
      </c>
      <c r="R264" s="121">
        <f t="shared" si="9"/>
        <v>174918.97</v>
      </c>
      <c r="S264" s="120"/>
    </row>
    <row r="265" spans="1:19" s="122" customFormat="1" ht="12.75" hidden="1" outlineLevel="1">
      <c r="A265" s="120" t="s">
        <v>2341</v>
      </c>
      <c r="B265" s="121"/>
      <c r="C265" s="121" t="s">
        <v>2342</v>
      </c>
      <c r="D265" s="121" t="s">
        <v>2343</v>
      </c>
      <c r="E265" s="121">
        <v>130</v>
      </c>
      <c r="F265" s="121">
        <v>0</v>
      </c>
      <c r="G265" s="121"/>
      <c r="H265" s="120">
        <v>0</v>
      </c>
      <c r="I265" s="120">
        <v>0</v>
      </c>
      <c r="J265" s="120">
        <v>0</v>
      </c>
      <c r="K265" s="120">
        <v>0</v>
      </c>
      <c r="L265" s="120">
        <v>0</v>
      </c>
      <c r="M265" s="120">
        <v>0</v>
      </c>
      <c r="N265" s="120">
        <v>0</v>
      </c>
      <c r="O265" s="120">
        <v>0</v>
      </c>
      <c r="P265" s="121">
        <v>0</v>
      </c>
      <c r="Q265" s="121">
        <v>0</v>
      </c>
      <c r="R265" s="121">
        <f t="shared" si="9"/>
        <v>130</v>
      </c>
      <c r="S265" s="120"/>
    </row>
    <row r="266" spans="1:19" s="122" customFormat="1" ht="12.75" hidden="1" outlineLevel="1">
      <c r="A266" s="120" t="s">
        <v>2344</v>
      </c>
      <c r="B266" s="121"/>
      <c r="C266" s="121" t="s">
        <v>2345</v>
      </c>
      <c r="D266" s="121" t="s">
        <v>2346</v>
      </c>
      <c r="E266" s="121">
        <v>112940.64</v>
      </c>
      <c r="F266" s="121">
        <v>0</v>
      </c>
      <c r="G266" s="121"/>
      <c r="H266" s="120">
        <v>0</v>
      </c>
      <c r="I266" s="120">
        <v>5468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954</v>
      </c>
      <c r="P266" s="121">
        <v>6422</v>
      </c>
      <c r="Q266" s="121">
        <v>0</v>
      </c>
      <c r="R266" s="121">
        <f t="shared" si="9"/>
        <v>119362.64</v>
      </c>
      <c r="S266" s="120"/>
    </row>
    <row r="267" spans="1:19" s="122" customFormat="1" ht="12.75" hidden="1" outlineLevel="1">
      <c r="A267" s="120" t="s">
        <v>2347</v>
      </c>
      <c r="B267" s="121"/>
      <c r="C267" s="121" t="s">
        <v>2348</v>
      </c>
      <c r="D267" s="121" t="s">
        <v>2349</v>
      </c>
      <c r="E267" s="121">
        <v>27874.65</v>
      </c>
      <c r="F267" s="121">
        <v>0</v>
      </c>
      <c r="G267" s="121"/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1">
        <v>0</v>
      </c>
      <c r="Q267" s="121">
        <v>0</v>
      </c>
      <c r="R267" s="121">
        <f t="shared" si="9"/>
        <v>27874.65</v>
      </c>
      <c r="S267" s="120"/>
    </row>
    <row r="268" spans="1:19" s="122" customFormat="1" ht="12.75" hidden="1" outlineLevel="1">
      <c r="A268" s="120" t="s">
        <v>2350</v>
      </c>
      <c r="B268" s="121"/>
      <c r="C268" s="121" t="s">
        <v>2351</v>
      </c>
      <c r="D268" s="121" t="s">
        <v>2352</v>
      </c>
      <c r="E268" s="121">
        <v>450150.25</v>
      </c>
      <c r="F268" s="121">
        <v>2590.75</v>
      </c>
      <c r="G268" s="121"/>
      <c r="H268" s="120">
        <v>0</v>
      </c>
      <c r="I268" s="120">
        <v>114.22</v>
      </c>
      <c r="J268" s="120">
        <v>0</v>
      </c>
      <c r="K268" s="120">
        <v>38.94</v>
      </c>
      <c r="L268" s="120">
        <v>0</v>
      </c>
      <c r="M268" s="120">
        <v>0</v>
      </c>
      <c r="N268" s="120">
        <v>38.4</v>
      </c>
      <c r="O268" s="120">
        <v>426.97</v>
      </c>
      <c r="P268" s="121">
        <v>618.53</v>
      </c>
      <c r="Q268" s="121">
        <v>0</v>
      </c>
      <c r="R268" s="121">
        <f t="shared" si="9"/>
        <v>453359.53</v>
      </c>
      <c r="S268" s="120"/>
    </row>
    <row r="269" spans="1:19" s="122" customFormat="1" ht="12.75" hidden="1" outlineLevel="1">
      <c r="A269" s="120" t="s">
        <v>2353</v>
      </c>
      <c r="B269" s="121"/>
      <c r="C269" s="121" t="s">
        <v>2354</v>
      </c>
      <c r="D269" s="121" t="s">
        <v>2355</v>
      </c>
      <c r="E269" s="121">
        <v>350772.97</v>
      </c>
      <c r="F269" s="121">
        <v>-30</v>
      </c>
      <c r="G269" s="121"/>
      <c r="H269" s="120">
        <v>0</v>
      </c>
      <c r="I269" s="120">
        <v>2161.37</v>
      </c>
      <c r="J269" s="120">
        <v>0</v>
      </c>
      <c r="K269" s="120">
        <v>0</v>
      </c>
      <c r="L269" s="120">
        <v>0</v>
      </c>
      <c r="M269" s="120">
        <v>0</v>
      </c>
      <c r="N269" s="120">
        <v>0</v>
      </c>
      <c r="O269" s="120">
        <v>12388.95</v>
      </c>
      <c r="P269" s="121">
        <v>14550.32</v>
      </c>
      <c r="Q269" s="121">
        <v>0</v>
      </c>
      <c r="R269" s="121">
        <f t="shared" si="9"/>
        <v>365293.29</v>
      </c>
      <c r="S269" s="120"/>
    </row>
    <row r="270" spans="1:19" s="122" customFormat="1" ht="12.75" hidden="1" outlineLevel="1">
      <c r="A270" s="120" t="s">
        <v>2356</v>
      </c>
      <c r="B270" s="121"/>
      <c r="C270" s="121" t="s">
        <v>2357</v>
      </c>
      <c r="D270" s="121" t="s">
        <v>2358</v>
      </c>
      <c r="E270" s="121">
        <v>75406.76</v>
      </c>
      <c r="F270" s="121">
        <v>0</v>
      </c>
      <c r="G270" s="121"/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1">
        <v>0</v>
      </c>
      <c r="Q270" s="121">
        <v>0</v>
      </c>
      <c r="R270" s="121">
        <f t="shared" si="9"/>
        <v>75406.76</v>
      </c>
      <c r="S270" s="120"/>
    </row>
    <row r="271" spans="1:19" s="122" customFormat="1" ht="12.75" hidden="1" outlineLevel="1">
      <c r="A271" s="120" t="s">
        <v>2359</v>
      </c>
      <c r="B271" s="121"/>
      <c r="C271" s="121" t="s">
        <v>2360</v>
      </c>
      <c r="D271" s="121" t="s">
        <v>2361</v>
      </c>
      <c r="E271" s="121">
        <v>41.95</v>
      </c>
      <c r="F271" s="121">
        <v>0</v>
      </c>
      <c r="G271" s="121"/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1">
        <v>0</v>
      </c>
      <c r="Q271" s="121">
        <v>0</v>
      </c>
      <c r="R271" s="121">
        <f t="shared" si="9"/>
        <v>41.95</v>
      </c>
      <c r="S271" s="120"/>
    </row>
    <row r="272" spans="1:19" s="122" customFormat="1" ht="12.75" hidden="1" outlineLevel="1">
      <c r="A272" s="120" t="s">
        <v>2362</v>
      </c>
      <c r="B272" s="121"/>
      <c r="C272" s="121" t="s">
        <v>2363</v>
      </c>
      <c r="D272" s="121" t="s">
        <v>2364</v>
      </c>
      <c r="E272" s="121">
        <v>260246.09</v>
      </c>
      <c r="F272" s="121">
        <v>815.99</v>
      </c>
      <c r="G272" s="121"/>
      <c r="H272" s="120">
        <v>0</v>
      </c>
      <c r="I272" s="120">
        <v>0</v>
      </c>
      <c r="J272" s="120">
        <v>0</v>
      </c>
      <c r="K272" s="120">
        <v>0</v>
      </c>
      <c r="L272" s="120">
        <v>0</v>
      </c>
      <c r="M272" s="120">
        <v>0</v>
      </c>
      <c r="N272" s="120">
        <v>975</v>
      </c>
      <c r="O272" s="120">
        <v>0</v>
      </c>
      <c r="P272" s="121">
        <v>975</v>
      </c>
      <c r="Q272" s="121">
        <v>0</v>
      </c>
      <c r="R272" s="121">
        <f t="shared" si="9"/>
        <v>262037.08</v>
      </c>
      <c r="S272" s="120"/>
    </row>
    <row r="273" spans="1:19" s="122" customFormat="1" ht="12.75" hidden="1" outlineLevel="1">
      <c r="A273" s="120" t="s">
        <v>2365</v>
      </c>
      <c r="B273" s="121"/>
      <c r="C273" s="121" t="s">
        <v>2366</v>
      </c>
      <c r="D273" s="121" t="s">
        <v>2367</v>
      </c>
      <c r="E273" s="121">
        <v>374894.45</v>
      </c>
      <c r="F273" s="121">
        <v>3824.56</v>
      </c>
      <c r="G273" s="121"/>
      <c r="H273" s="120">
        <v>0</v>
      </c>
      <c r="I273" s="120">
        <v>1138.56</v>
      </c>
      <c r="J273" s="120">
        <v>0</v>
      </c>
      <c r="K273" s="120">
        <v>90</v>
      </c>
      <c r="L273" s="120">
        <v>0</v>
      </c>
      <c r="M273" s="120">
        <v>0</v>
      </c>
      <c r="N273" s="120">
        <v>0</v>
      </c>
      <c r="O273" s="120">
        <v>266.53</v>
      </c>
      <c r="P273" s="121">
        <v>1495.09</v>
      </c>
      <c r="Q273" s="121">
        <v>0</v>
      </c>
      <c r="R273" s="121">
        <f t="shared" si="9"/>
        <v>380214.10000000003</v>
      </c>
      <c r="S273" s="120"/>
    </row>
    <row r="274" spans="1:19" s="122" customFormat="1" ht="12.75" hidden="1" outlineLevel="1">
      <c r="A274" s="120" t="s">
        <v>2368</v>
      </c>
      <c r="B274" s="121"/>
      <c r="C274" s="121" t="s">
        <v>2369</v>
      </c>
      <c r="D274" s="121" t="s">
        <v>2370</v>
      </c>
      <c r="E274" s="121">
        <v>1351865.76</v>
      </c>
      <c r="F274" s="121">
        <v>27972.02</v>
      </c>
      <c r="G274" s="121"/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240889.8</v>
      </c>
      <c r="N274" s="120">
        <v>0</v>
      </c>
      <c r="O274" s="120">
        <v>0</v>
      </c>
      <c r="P274" s="121">
        <v>240889.8</v>
      </c>
      <c r="Q274" s="121">
        <v>0</v>
      </c>
      <c r="R274" s="121">
        <f t="shared" si="9"/>
        <v>1620727.58</v>
      </c>
      <c r="S274" s="120"/>
    </row>
    <row r="275" spans="1:19" s="122" customFormat="1" ht="12.75" hidden="1" outlineLevel="1">
      <c r="A275" s="120" t="s">
        <v>2371</v>
      </c>
      <c r="B275" s="121"/>
      <c r="C275" s="121" t="s">
        <v>2372</v>
      </c>
      <c r="D275" s="121" t="s">
        <v>2373</v>
      </c>
      <c r="E275" s="121">
        <v>163151.56</v>
      </c>
      <c r="F275" s="121">
        <v>0</v>
      </c>
      <c r="G275" s="121"/>
      <c r="H275" s="120">
        <v>0</v>
      </c>
      <c r="I275" s="120">
        <v>195.9</v>
      </c>
      <c r="J275" s="120">
        <v>0</v>
      </c>
      <c r="K275" s="120">
        <v>0</v>
      </c>
      <c r="L275" s="120">
        <v>0</v>
      </c>
      <c r="M275" s="120">
        <v>865</v>
      </c>
      <c r="N275" s="120">
        <v>0</v>
      </c>
      <c r="O275" s="120">
        <v>42594.1</v>
      </c>
      <c r="P275" s="121">
        <v>43655</v>
      </c>
      <c r="Q275" s="121">
        <v>0</v>
      </c>
      <c r="R275" s="121">
        <f t="shared" si="9"/>
        <v>206806.56</v>
      </c>
      <c r="S275" s="120"/>
    </row>
    <row r="276" spans="1:19" s="122" customFormat="1" ht="12.75" hidden="1" outlineLevel="1">
      <c r="A276" s="120" t="s">
        <v>2374</v>
      </c>
      <c r="B276" s="121"/>
      <c r="C276" s="121" t="s">
        <v>2375</v>
      </c>
      <c r="D276" s="121" t="s">
        <v>2376</v>
      </c>
      <c r="E276" s="121">
        <v>118005.07</v>
      </c>
      <c r="F276" s="121">
        <v>0</v>
      </c>
      <c r="G276" s="121"/>
      <c r="H276" s="120">
        <v>0</v>
      </c>
      <c r="I276" s="120">
        <v>4260</v>
      </c>
      <c r="J276" s="120">
        <v>0</v>
      </c>
      <c r="K276" s="120">
        <v>0</v>
      </c>
      <c r="L276" s="120">
        <v>0</v>
      </c>
      <c r="M276" s="120">
        <v>34014</v>
      </c>
      <c r="N276" s="120">
        <v>0</v>
      </c>
      <c r="O276" s="120">
        <v>4586.05</v>
      </c>
      <c r="P276" s="121">
        <v>42860.05</v>
      </c>
      <c r="Q276" s="121">
        <v>0</v>
      </c>
      <c r="R276" s="121">
        <f t="shared" si="9"/>
        <v>160865.12</v>
      </c>
      <c r="S276" s="120"/>
    </row>
    <row r="277" spans="1:19" s="122" customFormat="1" ht="12.75" hidden="1" outlineLevel="1">
      <c r="A277" s="120" t="s">
        <v>2377</v>
      </c>
      <c r="B277" s="121"/>
      <c r="C277" s="121" t="s">
        <v>2378</v>
      </c>
      <c r="D277" s="121" t="s">
        <v>2379</v>
      </c>
      <c r="E277" s="121">
        <v>165368.94</v>
      </c>
      <c r="F277" s="121">
        <v>3346.83</v>
      </c>
      <c r="G277" s="121"/>
      <c r="H277" s="120">
        <v>0</v>
      </c>
      <c r="I277" s="120">
        <v>0</v>
      </c>
      <c r="J277" s="120">
        <v>0</v>
      </c>
      <c r="K277" s="120">
        <v>349</v>
      </c>
      <c r="L277" s="120">
        <v>0</v>
      </c>
      <c r="M277" s="120">
        <v>733681.4</v>
      </c>
      <c r="N277" s="120">
        <v>1451.3</v>
      </c>
      <c r="O277" s="120">
        <v>2420.87</v>
      </c>
      <c r="P277" s="121">
        <v>737902.57</v>
      </c>
      <c r="Q277" s="121">
        <v>0</v>
      </c>
      <c r="R277" s="121">
        <f t="shared" si="9"/>
        <v>906618.34</v>
      </c>
      <c r="S277" s="120"/>
    </row>
    <row r="278" spans="1:19" s="122" customFormat="1" ht="12.75" hidden="1" outlineLevel="1">
      <c r="A278" s="120" t="s">
        <v>2380</v>
      </c>
      <c r="B278" s="121"/>
      <c r="C278" s="121" t="s">
        <v>2381</v>
      </c>
      <c r="D278" s="121" t="s">
        <v>2382</v>
      </c>
      <c r="E278" s="121">
        <v>222857.5</v>
      </c>
      <c r="F278" s="121">
        <v>0</v>
      </c>
      <c r="G278" s="121"/>
      <c r="H278" s="120">
        <v>0</v>
      </c>
      <c r="I278" s="120">
        <v>0</v>
      </c>
      <c r="J278" s="120">
        <v>0</v>
      </c>
      <c r="K278" s="120">
        <v>0</v>
      </c>
      <c r="L278" s="120">
        <v>0</v>
      </c>
      <c r="M278" s="120">
        <v>0</v>
      </c>
      <c r="N278" s="120">
        <v>0</v>
      </c>
      <c r="O278" s="120">
        <v>-356.61</v>
      </c>
      <c r="P278" s="121">
        <v>-356.61</v>
      </c>
      <c r="Q278" s="121">
        <v>0</v>
      </c>
      <c r="R278" s="121">
        <f t="shared" si="9"/>
        <v>222500.89</v>
      </c>
      <c r="S278" s="120"/>
    </row>
    <row r="279" spans="1:19" s="122" customFormat="1" ht="12.75" hidden="1" outlineLevel="1">
      <c r="A279" s="120" t="s">
        <v>2383</v>
      </c>
      <c r="B279" s="121"/>
      <c r="C279" s="121" t="s">
        <v>2384</v>
      </c>
      <c r="D279" s="121" t="s">
        <v>2385</v>
      </c>
      <c r="E279" s="121">
        <v>74511.16</v>
      </c>
      <c r="F279" s="121">
        <v>0</v>
      </c>
      <c r="G279" s="121"/>
      <c r="H279" s="120">
        <v>0</v>
      </c>
      <c r="I279" s="120">
        <v>0</v>
      </c>
      <c r="J279" s="120">
        <v>0</v>
      </c>
      <c r="K279" s="120">
        <v>0</v>
      </c>
      <c r="L279" s="120">
        <v>0</v>
      </c>
      <c r="M279" s="120">
        <v>0</v>
      </c>
      <c r="N279" s="120">
        <v>0</v>
      </c>
      <c r="O279" s="120">
        <v>0</v>
      </c>
      <c r="P279" s="121">
        <v>0</v>
      </c>
      <c r="Q279" s="121">
        <v>0</v>
      </c>
      <c r="R279" s="121">
        <f t="shared" si="9"/>
        <v>74511.16</v>
      </c>
      <c r="S279" s="120"/>
    </row>
    <row r="280" spans="1:19" s="122" customFormat="1" ht="12.75" hidden="1" outlineLevel="1">
      <c r="A280" s="120" t="s">
        <v>2386</v>
      </c>
      <c r="B280" s="121"/>
      <c r="C280" s="121" t="s">
        <v>2387</v>
      </c>
      <c r="D280" s="121" t="s">
        <v>2388</v>
      </c>
      <c r="E280" s="121">
        <v>96746.81</v>
      </c>
      <c r="F280" s="121">
        <v>278.53</v>
      </c>
      <c r="G280" s="121"/>
      <c r="H280" s="120">
        <v>0</v>
      </c>
      <c r="I280" s="120">
        <v>2069.09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1">
        <v>2069.09</v>
      </c>
      <c r="Q280" s="121">
        <v>0</v>
      </c>
      <c r="R280" s="121">
        <f t="shared" si="9"/>
        <v>99094.43</v>
      </c>
      <c r="S280" s="120"/>
    </row>
    <row r="281" spans="1:19" s="122" customFormat="1" ht="12.75" hidden="1" outlineLevel="1">
      <c r="A281" s="120" t="s">
        <v>2389</v>
      </c>
      <c r="B281" s="121"/>
      <c r="C281" s="121" t="s">
        <v>2390</v>
      </c>
      <c r="D281" s="121" t="s">
        <v>2391</v>
      </c>
      <c r="E281" s="121">
        <v>0</v>
      </c>
      <c r="F281" s="121">
        <v>0</v>
      </c>
      <c r="G281" s="121"/>
      <c r="H281" s="120">
        <v>0</v>
      </c>
      <c r="I281" s="120">
        <v>0</v>
      </c>
      <c r="J281" s="120">
        <v>644.86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1">
        <v>644.86</v>
      </c>
      <c r="Q281" s="121">
        <v>0</v>
      </c>
      <c r="R281" s="121">
        <f t="shared" si="9"/>
        <v>644.86</v>
      </c>
      <c r="S281" s="120"/>
    </row>
    <row r="282" spans="1:19" s="122" customFormat="1" ht="12.75" hidden="1" outlineLevel="1">
      <c r="A282" s="120" t="s">
        <v>2392</v>
      </c>
      <c r="B282" s="121"/>
      <c r="C282" s="121" t="s">
        <v>2393</v>
      </c>
      <c r="D282" s="121" t="s">
        <v>2394</v>
      </c>
      <c r="E282" s="121">
        <v>61747.35</v>
      </c>
      <c r="F282" s="121">
        <v>0</v>
      </c>
      <c r="G282" s="121"/>
      <c r="H282" s="120">
        <v>0</v>
      </c>
      <c r="I282" s="120">
        <v>0</v>
      </c>
      <c r="J282" s="120">
        <v>0</v>
      </c>
      <c r="K282" s="120">
        <v>0</v>
      </c>
      <c r="L282" s="120">
        <v>0</v>
      </c>
      <c r="M282" s="120">
        <v>0</v>
      </c>
      <c r="N282" s="120">
        <v>0</v>
      </c>
      <c r="O282" s="120">
        <v>0</v>
      </c>
      <c r="P282" s="121">
        <v>0</v>
      </c>
      <c r="Q282" s="121">
        <v>0</v>
      </c>
      <c r="R282" s="121">
        <f t="shared" si="9"/>
        <v>61747.35</v>
      </c>
      <c r="S282" s="120"/>
    </row>
    <row r="283" spans="1:19" s="122" customFormat="1" ht="12.75" hidden="1" outlineLevel="1">
      <c r="A283" s="120" t="s">
        <v>2395</v>
      </c>
      <c r="B283" s="121"/>
      <c r="C283" s="121" t="s">
        <v>2396</v>
      </c>
      <c r="D283" s="121" t="s">
        <v>2397</v>
      </c>
      <c r="E283" s="121">
        <v>336.5</v>
      </c>
      <c r="F283" s="121">
        <v>0</v>
      </c>
      <c r="G283" s="121"/>
      <c r="H283" s="120">
        <v>0</v>
      </c>
      <c r="I283" s="120">
        <v>0</v>
      </c>
      <c r="J283" s="120">
        <v>0</v>
      </c>
      <c r="K283" s="120">
        <v>0</v>
      </c>
      <c r="L283" s="120">
        <v>0</v>
      </c>
      <c r="M283" s="120">
        <v>0</v>
      </c>
      <c r="N283" s="120">
        <v>0</v>
      </c>
      <c r="O283" s="120">
        <v>0</v>
      </c>
      <c r="P283" s="121">
        <v>0</v>
      </c>
      <c r="Q283" s="121">
        <v>0</v>
      </c>
      <c r="R283" s="121">
        <f t="shared" si="9"/>
        <v>336.5</v>
      </c>
      <c r="S283" s="120"/>
    </row>
    <row r="284" spans="1:19" s="122" customFormat="1" ht="12.75" hidden="1" outlineLevel="1">
      <c r="A284" s="120" t="s">
        <v>2398</v>
      </c>
      <c r="B284" s="121"/>
      <c r="C284" s="121" t="s">
        <v>2399</v>
      </c>
      <c r="D284" s="121" t="s">
        <v>2400</v>
      </c>
      <c r="E284" s="121">
        <v>212738.22</v>
      </c>
      <c r="F284" s="121">
        <v>1521.55</v>
      </c>
      <c r="G284" s="121"/>
      <c r="H284" s="120">
        <v>8410</v>
      </c>
      <c r="I284" s="120">
        <v>2402.14</v>
      </c>
      <c r="J284" s="120">
        <v>909.21</v>
      </c>
      <c r="K284" s="120">
        <v>0</v>
      </c>
      <c r="L284" s="120">
        <v>0</v>
      </c>
      <c r="M284" s="120">
        <v>4500</v>
      </c>
      <c r="N284" s="120">
        <v>377.25</v>
      </c>
      <c r="O284" s="120">
        <v>3230.29</v>
      </c>
      <c r="P284" s="121">
        <v>19828.89</v>
      </c>
      <c r="Q284" s="121">
        <v>0</v>
      </c>
      <c r="R284" s="121">
        <f t="shared" si="9"/>
        <v>234088.65999999997</v>
      </c>
      <c r="S284" s="120"/>
    </row>
    <row r="285" spans="1:19" s="122" customFormat="1" ht="12.75" hidden="1" outlineLevel="1">
      <c r="A285" s="120" t="s">
        <v>2401</v>
      </c>
      <c r="B285" s="121"/>
      <c r="C285" s="121" t="s">
        <v>2402</v>
      </c>
      <c r="D285" s="121" t="s">
        <v>2403</v>
      </c>
      <c r="E285" s="121">
        <v>15.93</v>
      </c>
      <c r="F285" s="121">
        <v>0</v>
      </c>
      <c r="G285" s="121"/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1">
        <v>0</v>
      </c>
      <c r="Q285" s="121">
        <v>0</v>
      </c>
      <c r="R285" s="121">
        <f t="shared" si="9"/>
        <v>15.93</v>
      </c>
      <c r="S285" s="120"/>
    </row>
    <row r="286" spans="1:19" s="122" customFormat="1" ht="12.75" hidden="1" outlineLevel="1">
      <c r="A286" s="120" t="s">
        <v>2404</v>
      </c>
      <c r="B286" s="121"/>
      <c r="C286" s="121" t="s">
        <v>2405</v>
      </c>
      <c r="D286" s="121" t="s">
        <v>2406</v>
      </c>
      <c r="E286" s="121">
        <v>23492.08</v>
      </c>
      <c r="F286" s="121">
        <v>0</v>
      </c>
      <c r="G286" s="121"/>
      <c r="H286" s="120">
        <v>1008.7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1176</v>
      </c>
      <c r="P286" s="121">
        <v>2184.7</v>
      </c>
      <c r="Q286" s="121">
        <v>0</v>
      </c>
      <c r="R286" s="121">
        <f t="shared" si="9"/>
        <v>25676.780000000002</v>
      </c>
      <c r="S286" s="120"/>
    </row>
    <row r="287" spans="1:19" s="122" customFormat="1" ht="12.75" hidden="1" outlineLevel="1">
      <c r="A287" s="120" t="s">
        <v>2407</v>
      </c>
      <c r="B287" s="121"/>
      <c r="C287" s="121" t="s">
        <v>2408</v>
      </c>
      <c r="D287" s="121" t="s">
        <v>2409</v>
      </c>
      <c r="E287" s="121">
        <v>21745.5</v>
      </c>
      <c r="F287" s="121">
        <v>0</v>
      </c>
      <c r="G287" s="121"/>
      <c r="H287" s="120">
        <v>0</v>
      </c>
      <c r="I287" s="120">
        <v>0</v>
      </c>
      <c r="J287" s="120">
        <v>0</v>
      </c>
      <c r="K287" s="120">
        <v>276.18</v>
      </c>
      <c r="L287" s="120">
        <v>0</v>
      </c>
      <c r="M287" s="120">
        <v>0</v>
      </c>
      <c r="N287" s="120">
        <v>0</v>
      </c>
      <c r="O287" s="120">
        <v>457.38</v>
      </c>
      <c r="P287" s="121">
        <v>733.56</v>
      </c>
      <c r="Q287" s="121">
        <v>0</v>
      </c>
      <c r="R287" s="121">
        <f t="shared" si="9"/>
        <v>22479.06</v>
      </c>
      <c r="S287" s="120"/>
    </row>
    <row r="288" spans="1:19" s="122" customFormat="1" ht="12.75" hidden="1" outlineLevel="1">
      <c r="A288" s="120" t="s">
        <v>2410</v>
      </c>
      <c r="B288" s="121"/>
      <c r="C288" s="121" t="s">
        <v>2411</v>
      </c>
      <c r="D288" s="121" t="s">
        <v>2412</v>
      </c>
      <c r="E288" s="121">
        <v>910474.32</v>
      </c>
      <c r="F288" s="121">
        <v>17923.41</v>
      </c>
      <c r="G288" s="121"/>
      <c r="H288" s="120">
        <v>-333.79</v>
      </c>
      <c r="I288" s="120">
        <v>14052.5</v>
      </c>
      <c r="J288" s="120">
        <v>2451.1</v>
      </c>
      <c r="K288" s="120">
        <v>1071</v>
      </c>
      <c r="L288" s="120">
        <v>0</v>
      </c>
      <c r="M288" s="120">
        <v>-25899.6</v>
      </c>
      <c r="N288" s="120">
        <v>0</v>
      </c>
      <c r="O288" s="120">
        <v>-12019.03</v>
      </c>
      <c r="P288" s="121">
        <v>-20677.82</v>
      </c>
      <c r="Q288" s="121">
        <v>0</v>
      </c>
      <c r="R288" s="121">
        <f t="shared" si="9"/>
        <v>907719.91</v>
      </c>
      <c r="S288" s="120"/>
    </row>
    <row r="289" spans="1:19" s="122" customFormat="1" ht="12.75" hidden="1" outlineLevel="1">
      <c r="A289" s="120" t="s">
        <v>2413</v>
      </c>
      <c r="B289" s="121"/>
      <c r="C289" s="121" t="s">
        <v>2414</v>
      </c>
      <c r="D289" s="121" t="s">
        <v>2415</v>
      </c>
      <c r="E289" s="121">
        <v>-48.36</v>
      </c>
      <c r="F289" s="121">
        <v>0</v>
      </c>
      <c r="G289" s="121"/>
      <c r="H289" s="120">
        <v>0</v>
      </c>
      <c r="I289" s="120">
        <v>0</v>
      </c>
      <c r="J289" s="120">
        <v>0</v>
      </c>
      <c r="K289" s="120">
        <v>0</v>
      </c>
      <c r="L289" s="120">
        <v>0</v>
      </c>
      <c r="M289" s="120">
        <v>0</v>
      </c>
      <c r="N289" s="120">
        <v>0</v>
      </c>
      <c r="O289" s="120">
        <v>0</v>
      </c>
      <c r="P289" s="121">
        <v>0</v>
      </c>
      <c r="Q289" s="121">
        <v>0</v>
      </c>
      <c r="R289" s="121">
        <f t="shared" si="9"/>
        <v>-48.36</v>
      </c>
      <c r="S289" s="120"/>
    </row>
    <row r="290" spans="1:19" s="122" customFormat="1" ht="12.75" hidden="1" outlineLevel="1">
      <c r="A290" s="120" t="s">
        <v>2416</v>
      </c>
      <c r="B290" s="121"/>
      <c r="C290" s="121" t="s">
        <v>2417</v>
      </c>
      <c r="D290" s="121" t="s">
        <v>2418</v>
      </c>
      <c r="E290" s="121">
        <v>15171.5</v>
      </c>
      <c r="F290" s="121">
        <v>0</v>
      </c>
      <c r="G290" s="121"/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1">
        <v>0</v>
      </c>
      <c r="Q290" s="121">
        <v>0</v>
      </c>
      <c r="R290" s="121">
        <f t="shared" si="9"/>
        <v>15171.5</v>
      </c>
      <c r="S290" s="120"/>
    </row>
    <row r="291" spans="1:19" s="122" customFormat="1" ht="12.75" hidden="1" outlineLevel="1">
      <c r="A291" s="120" t="s">
        <v>2419</v>
      </c>
      <c r="B291" s="121"/>
      <c r="C291" s="121" t="s">
        <v>2420</v>
      </c>
      <c r="D291" s="121" t="s">
        <v>2421</v>
      </c>
      <c r="E291" s="121">
        <v>234016.82</v>
      </c>
      <c r="F291" s="121">
        <v>0</v>
      </c>
      <c r="G291" s="121"/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1">
        <v>0</v>
      </c>
      <c r="Q291" s="121">
        <v>0</v>
      </c>
      <c r="R291" s="121">
        <f t="shared" si="9"/>
        <v>234016.82</v>
      </c>
      <c r="S291" s="120"/>
    </row>
    <row r="292" spans="1:19" s="122" customFormat="1" ht="12.75" hidden="1" outlineLevel="1">
      <c r="A292" s="120" t="s">
        <v>2422</v>
      </c>
      <c r="B292" s="121"/>
      <c r="C292" s="121" t="s">
        <v>2423</v>
      </c>
      <c r="D292" s="121" t="s">
        <v>2424</v>
      </c>
      <c r="E292" s="121">
        <v>8053.59</v>
      </c>
      <c r="F292" s="121">
        <v>0</v>
      </c>
      <c r="G292" s="121"/>
      <c r="H292" s="120">
        <v>9.09</v>
      </c>
      <c r="I292" s="120">
        <v>0</v>
      </c>
      <c r="J292" s="120">
        <v>0</v>
      </c>
      <c r="K292" s="120">
        <v>0</v>
      </c>
      <c r="L292" s="120">
        <v>0</v>
      </c>
      <c r="M292" s="120">
        <v>0</v>
      </c>
      <c r="N292" s="120">
        <v>0</v>
      </c>
      <c r="O292" s="120">
        <v>0</v>
      </c>
      <c r="P292" s="121">
        <v>9.09</v>
      </c>
      <c r="Q292" s="121">
        <v>0</v>
      </c>
      <c r="R292" s="121">
        <f t="shared" si="9"/>
        <v>8062.68</v>
      </c>
      <c r="S292" s="120"/>
    </row>
    <row r="293" spans="1:19" s="122" customFormat="1" ht="12.75" hidden="1" outlineLevel="1">
      <c r="A293" s="120" t="s">
        <v>2425</v>
      </c>
      <c r="B293" s="121"/>
      <c r="C293" s="121" t="s">
        <v>2426</v>
      </c>
      <c r="D293" s="121" t="s">
        <v>2427</v>
      </c>
      <c r="E293" s="121">
        <v>4862095.97</v>
      </c>
      <c r="F293" s="121">
        <v>0</v>
      </c>
      <c r="G293" s="121"/>
      <c r="H293" s="120">
        <v>0</v>
      </c>
      <c r="I293" s="120">
        <v>0</v>
      </c>
      <c r="J293" s="120">
        <v>0</v>
      </c>
      <c r="K293" s="120">
        <v>0</v>
      </c>
      <c r="L293" s="120">
        <v>0</v>
      </c>
      <c r="M293" s="120">
        <v>0</v>
      </c>
      <c r="N293" s="120">
        <v>0</v>
      </c>
      <c r="O293" s="120">
        <v>0</v>
      </c>
      <c r="P293" s="121">
        <v>0</v>
      </c>
      <c r="Q293" s="121">
        <v>0</v>
      </c>
      <c r="R293" s="121">
        <f t="shared" si="9"/>
        <v>4862095.97</v>
      </c>
      <c r="S293" s="120"/>
    </row>
    <row r="294" spans="1:19" s="122" customFormat="1" ht="12.75" hidden="1" outlineLevel="1">
      <c r="A294" s="120" t="s">
        <v>2428</v>
      </c>
      <c r="B294" s="121"/>
      <c r="C294" s="121" t="s">
        <v>2429</v>
      </c>
      <c r="D294" s="121" t="s">
        <v>2430</v>
      </c>
      <c r="E294" s="121">
        <v>15608.76</v>
      </c>
      <c r="F294" s="121">
        <v>0</v>
      </c>
      <c r="G294" s="121"/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1">
        <v>0</v>
      </c>
      <c r="Q294" s="121">
        <v>0</v>
      </c>
      <c r="R294" s="121">
        <f t="shared" si="9"/>
        <v>15608.76</v>
      </c>
      <c r="S294" s="120"/>
    </row>
    <row r="295" spans="1:19" s="122" customFormat="1" ht="12.75" hidden="1" outlineLevel="1">
      <c r="A295" s="120" t="s">
        <v>2431</v>
      </c>
      <c r="B295" s="121"/>
      <c r="C295" s="121" t="s">
        <v>2432</v>
      </c>
      <c r="D295" s="121" t="s">
        <v>2433</v>
      </c>
      <c r="E295" s="121">
        <v>0</v>
      </c>
      <c r="F295" s="121">
        <v>0</v>
      </c>
      <c r="G295" s="121"/>
      <c r="H295" s="120">
        <v>0</v>
      </c>
      <c r="I295" s="120">
        <v>0</v>
      </c>
      <c r="J295" s="120">
        <v>0</v>
      </c>
      <c r="K295" s="120">
        <v>0</v>
      </c>
      <c r="L295" s="120">
        <v>0</v>
      </c>
      <c r="M295" s="120">
        <v>0</v>
      </c>
      <c r="N295" s="120">
        <v>0</v>
      </c>
      <c r="O295" s="120">
        <v>250.02</v>
      </c>
      <c r="P295" s="121">
        <v>250.02</v>
      </c>
      <c r="Q295" s="121">
        <v>0</v>
      </c>
      <c r="R295" s="121">
        <f t="shared" si="9"/>
        <v>250.02</v>
      </c>
      <c r="S295" s="120"/>
    </row>
    <row r="296" spans="1:19" s="122" customFormat="1" ht="12.75" hidden="1" outlineLevel="1">
      <c r="A296" s="120" t="s">
        <v>2434</v>
      </c>
      <c r="B296" s="121"/>
      <c r="C296" s="121" t="s">
        <v>2435</v>
      </c>
      <c r="D296" s="121" t="s">
        <v>2436</v>
      </c>
      <c r="E296" s="121">
        <v>-100696.28</v>
      </c>
      <c r="F296" s="121">
        <v>21350.07</v>
      </c>
      <c r="G296" s="121"/>
      <c r="H296" s="120">
        <v>0</v>
      </c>
      <c r="I296" s="120">
        <v>0</v>
      </c>
      <c r="J296" s="120">
        <v>0</v>
      </c>
      <c r="K296" s="120">
        <v>0</v>
      </c>
      <c r="L296" s="120">
        <v>0</v>
      </c>
      <c r="M296" s="120">
        <v>0</v>
      </c>
      <c r="N296" s="120">
        <v>0</v>
      </c>
      <c r="O296" s="120">
        <v>9880.25</v>
      </c>
      <c r="P296" s="121">
        <v>9880.25</v>
      </c>
      <c r="Q296" s="121">
        <v>0</v>
      </c>
      <c r="R296" s="121">
        <f t="shared" si="9"/>
        <v>-69465.95999999999</v>
      </c>
      <c r="S296" s="120"/>
    </row>
    <row r="297" spans="1:19" s="122" customFormat="1" ht="12.75" hidden="1" outlineLevel="1">
      <c r="A297" s="120" t="s">
        <v>2437</v>
      </c>
      <c r="B297" s="121"/>
      <c r="C297" s="121" t="s">
        <v>2438</v>
      </c>
      <c r="D297" s="121" t="s">
        <v>2439</v>
      </c>
      <c r="E297" s="121">
        <v>2295.84</v>
      </c>
      <c r="F297" s="121">
        <v>0</v>
      </c>
      <c r="G297" s="121"/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26.4</v>
      </c>
      <c r="P297" s="121">
        <v>26.4</v>
      </c>
      <c r="Q297" s="121">
        <v>0</v>
      </c>
      <c r="R297" s="121">
        <f t="shared" si="9"/>
        <v>2322.2400000000002</v>
      </c>
      <c r="S297" s="120"/>
    </row>
    <row r="298" spans="1:19" s="122" customFormat="1" ht="12.75" hidden="1" outlineLevel="1">
      <c r="A298" s="120" t="s">
        <v>2440</v>
      </c>
      <c r="B298" s="121"/>
      <c r="C298" s="121" t="s">
        <v>2441</v>
      </c>
      <c r="D298" s="121" t="s">
        <v>2442</v>
      </c>
      <c r="E298" s="121">
        <v>42916.03</v>
      </c>
      <c r="F298" s="121">
        <v>0</v>
      </c>
      <c r="G298" s="121"/>
      <c r="H298" s="120">
        <v>0</v>
      </c>
      <c r="I298" s="120">
        <v>0</v>
      </c>
      <c r="J298" s="120">
        <v>0</v>
      </c>
      <c r="K298" s="120">
        <v>0</v>
      </c>
      <c r="L298" s="120">
        <v>11361.67</v>
      </c>
      <c r="M298" s="120">
        <v>0</v>
      </c>
      <c r="N298" s="120">
        <v>0</v>
      </c>
      <c r="O298" s="120">
        <v>0</v>
      </c>
      <c r="P298" s="121">
        <v>11361.67</v>
      </c>
      <c r="Q298" s="121">
        <v>0</v>
      </c>
      <c r="R298" s="121">
        <f t="shared" si="9"/>
        <v>54277.7</v>
      </c>
      <c r="S298" s="120"/>
    </row>
    <row r="299" spans="1:19" s="122" customFormat="1" ht="12.75" hidden="1" outlineLevel="1">
      <c r="A299" s="120" t="s">
        <v>2443</v>
      </c>
      <c r="B299" s="121"/>
      <c r="C299" s="121" t="s">
        <v>2444</v>
      </c>
      <c r="D299" s="121" t="s">
        <v>2445</v>
      </c>
      <c r="E299" s="121">
        <v>1321612.91</v>
      </c>
      <c r="F299" s="121">
        <v>45979.35</v>
      </c>
      <c r="G299" s="121"/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474.75</v>
      </c>
      <c r="O299" s="120">
        <v>-555.4</v>
      </c>
      <c r="P299" s="121">
        <v>-80.65</v>
      </c>
      <c r="Q299" s="121">
        <v>0</v>
      </c>
      <c r="R299" s="121">
        <f t="shared" si="9"/>
        <v>1367511.61</v>
      </c>
      <c r="S299" s="120"/>
    </row>
    <row r="300" spans="1:19" s="122" customFormat="1" ht="12.75" hidden="1" outlineLevel="1">
      <c r="A300" s="120" t="s">
        <v>2446</v>
      </c>
      <c r="B300" s="121"/>
      <c r="C300" s="121" t="s">
        <v>2447</v>
      </c>
      <c r="D300" s="121" t="s">
        <v>2448</v>
      </c>
      <c r="E300" s="121">
        <v>1157830.19</v>
      </c>
      <c r="F300" s="121">
        <v>17530.5</v>
      </c>
      <c r="G300" s="121"/>
      <c r="H300" s="120">
        <v>0</v>
      </c>
      <c r="I300" s="120">
        <v>0</v>
      </c>
      <c r="J300" s="120">
        <v>0</v>
      </c>
      <c r="K300" s="120">
        <v>0</v>
      </c>
      <c r="L300" s="120">
        <v>0</v>
      </c>
      <c r="M300" s="120">
        <v>0</v>
      </c>
      <c r="N300" s="120">
        <v>0</v>
      </c>
      <c r="O300" s="120">
        <v>25708.08</v>
      </c>
      <c r="P300" s="121">
        <v>25708.08</v>
      </c>
      <c r="Q300" s="121">
        <v>0</v>
      </c>
      <c r="R300" s="121">
        <f t="shared" si="9"/>
        <v>1201068.77</v>
      </c>
      <c r="S300" s="120"/>
    </row>
    <row r="301" spans="1:19" s="122" customFormat="1" ht="12.75" hidden="1" outlineLevel="1">
      <c r="A301" s="120" t="s">
        <v>2449</v>
      </c>
      <c r="B301" s="121"/>
      <c r="C301" s="121" t="s">
        <v>2450</v>
      </c>
      <c r="D301" s="121" t="s">
        <v>2451</v>
      </c>
      <c r="E301" s="121">
        <v>13695.37</v>
      </c>
      <c r="F301" s="121">
        <v>0</v>
      </c>
      <c r="G301" s="121"/>
      <c r="H301" s="120">
        <v>0</v>
      </c>
      <c r="I301" s="120">
        <v>0</v>
      </c>
      <c r="J301" s="120">
        <v>0</v>
      </c>
      <c r="K301" s="120">
        <v>0</v>
      </c>
      <c r="L301" s="120">
        <v>0</v>
      </c>
      <c r="M301" s="120">
        <v>0</v>
      </c>
      <c r="N301" s="120">
        <v>0</v>
      </c>
      <c r="O301" s="120">
        <v>0</v>
      </c>
      <c r="P301" s="121">
        <v>0</v>
      </c>
      <c r="Q301" s="121">
        <v>0</v>
      </c>
      <c r="R301" s="121">
        <f t="shared" si="9"/>
        <v>13695.37</v>
      </c>
      <c r="S301" s="120"/>
    </row>
    <row r="302" spans="1:19" s="122" customFormat="1" ht="12.75" hidden="1" outlineLevel="1">
      <c r="A302" s="120" t="s">
        <v>2452</v>
      </c>
      <c r="B302" s="121"/>
      <c r="C302" s="121" t="s">
        <v>2453</v>
      </c>
      <c r="D302" s="121" t="s">
        <v>2454</v>
      </c>
      <c r="E302" s="121">
        <v>2025</v>
      </c>
      <c r="F302" s="121">
        <v>0</v>
      </c>
      <c r="G302" s="121"/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1">
        <v>0</v>
      </c>
      <c r="Q302" s="121">
        <v>0</v>
      </c>
      <c r="R302" s="121">
        <f t="shared" si="9"/>
        <v>2025</v>
      </c>
      <c r="S302" s="120"/>
    </row>
    <row r="303" spans="1:19" s="122" customFormat="1" ht="12.75" hidden="1" outlineLevel="1">
      <c r="A303" s="120" t="s">
        <v>2455</v>
      </c>
      <c r="B303" s="121"/>
      <c r="C303" s="121" t="s">
        <v>2456</v>
      </c>
      <c r="D303" s="121" t="s">
        <v>2457</v>
      </c>
      <c r="E303" s="121">
        <v>7239.81</v>
      </c>
      <c r="F303" s="121">
        <v>0</v>
      </c>
      <c r="G303" s="121"/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1">
        <v>0</v>
      </c>
      <c r="Q303" s="121">
        <v>0</v>
      </c>
      <c r="R303" s="121">
        <f t="shared" si="9"/>
        <v>7239.81</v>
      </c>
      <c r="S303" s="120"/>
    </row>
    <row r="304" spans="1:19" s="122" customFormat="1" ht="12.75" hidden="1" outlineLevel="1">
      <c r="A304" s="120" t="s">
        <v>2458</v>
      </c>
      <c r="B304" s="121"/>
      <c r="C304" s="121" t="s">
        <v>2459</v>
      </c>
      <c r="D304" s="121" t="s">
        <v>2460</v>
      </c>
      <c r="E304" s="121">
        <v>71850.04</v>
      </c>
      <c r="F304" s="121">
        <v>32.05</v>
      </c>
      <c r="G304" s="121"/>
      <c r="H304" s="120">
        <v>4593.6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470.8</v>
      </c>
      <c r="P304" s="121">
        <v>5064.4</v>
      </c>
      <c r="Q304" s="121">
        <v>0</v>
      </c>
      <c r="R304" s="121">
        <f t="shared" si="9"/>
        <v>76946.48999999999</v>
      </c>
      <c r="S304" s="120"/>
    </row>
    <row r="305" spans="1:19" s="122" customFormat="1" ht="12.75" hidden="1" outlineLevel="1">
      <c r="A305" s="120" t="s">
        <v>2461</v>
      </c>
      <c r="B305" s="121"/>
      <c r="C305" s="121" t="s">
        <v>2462</v>
      </c>
      <c r="D305" s="121" t="s">
        <v>2463</v>
      </c>
      <c r="E305" s="121">
        <v>310.84</v>
      </c>
      <c r="F305" s="121">
        <v>0</v>
      </c>
      <c r="G305" s="121"/>
      <c r="H305" s="120">
        <v>0</v>
      </c>
      <c r="I305" s="120">
        <v>0</v>
      </c>
      <c r="J305" s="120">
        <v>0</v>
      </c>
      <c r="K305" s="120">
        <v>0</v>
      </c>
      <c r="L305" s="120">
        <v>0</v>
      </c>
      <c r="M305" s="120">
        <v>0</v>
      </c>
      <c r="N305" s="120">
        <v>0</v>
      </c>
      <c r="O305" s="120">
        <v>0</v>
      </c>
      <c r="P305" s="121">
        <v>0</v>
      </c>
      <c r="Q305" s="121">
        <v>0</v>
      </c>
      <c r="R305" s="121">
        <f t="shared" si="9"/>
        <v>310.84</v>
      </c>
      <c r="S305" s="120"/>
    </row>
    <row r="306" spans="1:19" s="122" customFormat="1" ht="12.75" hidden="1" outlineLevel="1">
      <c r="A306" s="120" t="s">
        <v>2464</v>
      </c>
      <c r="B306" s="121"/>
      <c r="C306" s="121" t="s">
        <v>2465</v>
      </c>
      <c r="D306" s="121" t="s">
        <v>2466</v>
      </c>
      <c r="E306" s="121">
        <v>5913.14</v>
      </c>
      <c r="F306" s="121">
        <v>3.1</v>
      </c>
      <c r="G306" s="121"/>
      <c r="H306" s="120">
        <v>0</v>
      </c>
      <c r="I306" s="120">
        <v>0</v>
      </c>
      <c r="J306" s="120">
        <v>0</v>
      </c>
      <c r="K306" s="120">
        <v>0</v>
      </c>
      <c r="L306" s="120">
        <v>0</v>
      </c>
      <c r="M306" s="120">
        <v>0</v>
      </c>
      <c r="N306" s="120">
        <v>0</v>
      </c>
      <c r="O306" s="120">
        <v>34.1</v>
      </c>
      <c r="P306" s="121">
        <v>34.1</v>
      </c>
      <c r="Q306" s="121">
        <v>0</v>
      </c>
      <c r="R306" s="121">
        <f t="shared" si="9"/>
        <v>5950.340000000001</v>
      </c>
      <c r="S306" s="120"/>
    </row>
    <row r="307" spans="1:19" s="122" customFormat="1" ht="12.75" hidden="1" outlineLevel="1">
      <c r="A307" s="120" t="s">
        <v>2467</v>
      </c>
      <c r="B307" s="121"/>
      <c r="C307" s="121" t="s">
        <v>2468</v>
      </c>
      <c r="D307" s="121" t="s">
        <v>2469</v>
      </c>
      <c r="E307" s="121">
        <v>17213.87</v>
      </c>
      <c r="F307" s="121">
        <v>0</v>
      </c>
      <c r="G307" s="121"/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1">
        <v>0</v>
      </c>
      <c r="Q307" s="121">
        <v>0</v>
      </c>
      <c r="R307" s="121">
        <f t="shared" si="9"/>
        <v>17213.87</v>
      </c>
      <c r="S307" s="120"/>
    </row>
    <row r="308" spans="1:19" s="122" customFormat="1" ht="12.75" hidden="1" outlineLevel="1">
      <c r="A308" s="120" t="s">
        <v>2470</v>
      </c>
      <c r="B308" s="121"/>
      <c r="C308" s="121" t="s">
        <v>2471</v>
      </c>
      <c r="D308" s="121" t="s">
        <v>2472</v>
      </c>
      <c r="E308" s="121">
        <v>201561.69</v>
      </c>
      <c r="F308" s="121">
        <v>252.92</v>
      </c>
      <c r="G308" s="121"/>
      <c r="H308" s="120">
        <v>726.25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2065.58</v>
      </c>
      <c r="P308" s="121">
        <v>2791.83</v>
      </c>
      <c r="Q308" s="121">
        <v>0</v>
      </c>
      <c r="R308" s="121">
        <f t="shared" si="9"/>
        <v>204606.44</v>
      </c>
      <c r="S308" s="120"/>
    </row>
    <row r="309" spans="1:19" s="122" customFormat="1" ht="12.75" hidden="1" outlineLevel="1">
      <c r="A309" s="120" t="s">
        <v>2473</v>
      </c>
      <c r="B309" s="121"/>
      <c r="C309" s="121" t="s">
        <v>2474</v>
      </c>
      <c r="D309" s="121" t="s">
        <v>2475</v>
      </c>
      <c r="E309" s="121">
        <v>136106.76</v>
      </c>
      <c r="F309" s="121">
        <v>3550</v>
      </c>
      <c r="G309" s="121"/>
      <c r="H309" s="120">
        <v>1909</v>
      </c>
      <c r="I309" s="120">
        <v>0</v>
      </c>
      <c r="J309" s="120">
        <v>300</v>
      </c>
      <c r="K309" s="120">
        <v>0</v>
      </c>
      <c r="L309" s="120">
        <v>0</v>
      </c>
      <c r="M309" s="120">
        <v>9870</v>
      </c>
      <c r="N309" s="120">
        <v>150</v>
      </c>
      <c r="O309" s="120">
        <v>0</v>
      </c>
      <c r="P309" s="121">
        <v>12229</v>
      </c>
      <c r="Q309" s="121">
        <v>0</v>
      </c>
      <c r="R309" s="121">
        <f t="shared" si="9"/>
        <v>151885.76</v>
      </c>
      <c r="S309" s="120"/>
    </row>
    <row r="310" spans="1:19" s="122" customFormat="1" ht="12.75" hidden="1" outlineLevel="1">
      <c r="A310" s="120" t="s">
        <v>2476</v>
      </c>
      <c r="B310" s="121"/>
      <c r="C310" s="121" t="s">
        <v>2477</v>
      </c>
      <c r="D310" s="121" t="s">
        <v>2478</v>
      </c>
      <c r="E310" s="121">
        <v>181405.87</v>
      </c>
      <c r="F310" s="121">
        <v>0</v>
      </c>
      <c r="G310" s="121"/>
      <c r="H310" s="120">
        <v>0</v>
      </c>
      <c r="I310" s="120">
        <v>0</v>
      </c>
      <c r="J310" s="120">
        <v>0</v>
      </c>
      <c r="K310" s="120">
        <v>0</v>
      </c>
      <c r="L310" s="120">
        <v>0</v>
      </c>
      <c r="M310" s="120">
        <v>0</v>
      </c>
      <c r="N310" s="120">
        <v>0</v>
      </c>
      <c r="O310" s="120">
        <v>1033.94</v>
      </c>
      <c r="P310" s="121">
        <v>1033.94</v>
      </c>
      <c r="Q310" s="121">
        <v>0</v>
      </c>
      <c r="R310" s="121">
        <f t="shared" si="9"/>
        <v>182439.81</v>
      </c>
      <c r="S310" s="120"/>
    </row>
    <row r="311" spans="1:19" s="122" customFormat="1" ht="12.75" hidden="1" outlineLevel="1">
      <c r="A311" s="120" t="s">
        <v>2479</v>
      </c>
      <c r="B311" s="121"/>
      <c r="C311" s="121" t="s">
        <v>2480</v>
      </c>
      <c r="D311" s="121" t="s">
        <v>2481</v>
      </c>
      <c r="E311" s="121">
        <v>11230.43</v>
      </c>
      <c r="F311" s="121">
        <v>0</v>
      </c>
      <c r="G311" s="121"/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114</v>
      </c>
      <c r="P311" s="121">
        <v>114</v>
      </c>
      <c r="Q311" s="121">
        <v>0</v>
      </c>
      <c r="R311" s="121">
        <f t="shared" si="9"/>
        <v>11344.43</v>
      </c>
      <c r="S311" s="120"/>
    </row>
    <row r="312" spans="1:19" s="122" customFormat="1" ht="12.75" hidden="1" outlineLevel="1">
      <c r="A312" s="120" t="s">
        <v>2482</v>
      </c>
      <c r="B312" s="121"/>
      <c r="C312" s="121" t="s">
        <v>2483</v>
      </c>
      <c r="D312" s="121" t="s">
        <v>2484</v>
      </c>
      <c r="E312" s="121">
        <v>1025.6</v>
      </c>
      <c r="F312" s="121">
        <v>0</v>
      </c>
      <c r="G312" s="121"/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1">
        <v>0</v>
      </c>
      <c r="Q312" s="121">
        <v>0</v>
      </c>
      <c r="R312" s="121">
        <f t="shared" si="9"/>
        <v>1025.6</v>
      </c>
      <c r="S312" s="120"/>
    </row>
    <row r="313" spans="1:19" s="122" customFormat="1" ht="12.75" hidden="1" outlineLevel="1">
      <c r="A313" s="120" t="s">
        <v>2485</v>
      </c>
      <c r="B313" s="121"/>
      <c r="C313" s="121" t="s">
        <v>2486</v>
      </c>
      <c r="D313" s="121" t="s">
        <v>2487</v>
      </c>
      <c r="E313" s="121">
        <v>207721.96</v>
      </c>
      <c r="F313" s="121">
        <v>11468.35</v>
      </c>
      <c r="G313" s="121"/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1">
        <v>0</v>
      </c>
      <c r="Q313" s="121">
        <v>0</v>
      </c>
      <c r="R313" s="121">
        <f t="shared" si="9"/>
        <v>219190.31</v>
      </c>
      <c r="S313" s="120"/>
    </row>
    <row r="314" spans="1:19" s="122" customFormat="1" ht="12.75" hidden="1" outlineLevel="1">
      <c r="A314" s="120" t="s">
        <v>2488</v>
      </c>
      <c r="B314" s="121"/>
      <c r="C314" s="121" t="s">
        <v>2489</v>
      </c>
      <c r="D314" s="121" t="s">
        <v>2490</v>
      </c>
      <c r="E314" s="121">
        <v>4750</v>
      </c>
      <c r="F314" s="121">
        <v>0</v>
      </c>
      <c r="G314" s="121"/>
      <c r="H314" s="120">
        <v>0</v>
      </c>
      <c r="I314" s="120">
        <v>0</v>
      </c>
      <c r="J314" s="120">
        <v>0</v>
      </c>
      <c r="K314" s="120">
        <v>0</v>
      </c>
      <c r="L314" s="120">
        <v>0</v>
      </c>
      <c r="M314" s="120">
        <v>0</v>
      </c>
      <c r="N314" s="120">
        <v>0</v>
      </c>
      <c r="O314" s="120">
        <v>0</v>
      </c>
      <c r="P314" s="121">
        <v>0</v>
      </c>
      <c r="Q314" s="121">
        <v>0</v>
      </c>
      <c r="R314" s="121">
        <f t="shared" si="9"/>
        <v>4750</v>
      </c>
      <c r="S314" s="120"/>
    </row>
    <row r="315" spans="1:19" s="122" customFormat="1" ht="12.75" hidden="1" outlineLevel="1">
      <c r="A315" s="120" t="s">
        <v>2491</v>
      </c>
      <c r="B315" s="121"/>
      <c r="C315" s="121" t="s">
        <v>2492</v>
      </c>
      <c r="D315" s="121" t="s">
        <v>2493</v>
      </c>
      <c r="E315" s="121">
        <v>6728.11</v>
      </c>
      <c r="F315" s="121">
        <v>0</v>
      </c>
      <c r="G315" s="121"/>
      <c r="H315" s="120">
        <v>0</v>
      </c>
      <c r="I315" s="120">
        <v>0</v>
      </c>
      <c r="J315" s="120">
        <v>0</v>
      </c>
      <c r="K315" s="120">
        <v>0</v>
      </c>
      <c r="L315" s="120">
        <v>0</v>
      </c>
      <c r="M315" s="120">
        <v>0</v>
      </c>
      <c r="N315" s="120">
        <v>0</v>
      </c>
      <c r="O315" s="120">
        <v>0</v>
      </c>
      <c r="P315" s="121">
        <v>0</v>
      </c>
      <c r="Q315" s="121">
        <v>0</v>
      </c>
      <c r="R315" s="121">
        <f t="shared" si="9"/>
        <v>6728.11</v>
      </c>
      <c r="S315" s="120"/>
    </row>
    <row r="316" spans="1:19" s="122" customFormat="1" ht="12.75" hidden="1" outlineLevel="1">
      <c r="A316" s="120" t="s">
        <v>2494</v>
      </c>
      <c r="B316" s="121"/>
      <c r="C316" s="121" t="s">
        <v>2495</v>
      </c>
      <c r="D316" s="121" t="s">
        <v>2496</v>
      </c>
      <c r="E316" s="121">
        <v>542.51</v>
      </c>
      <c r="F316" s="121">
        <v>0</v>
      </c>
      <c r="G316" s="121"/>
      <c r="H316" s="120">
        <v>0</v>
      </c>
      <c r="I316" s="120">
        <v>0</v>
      </c>
      <c r="J316" s="120">
        <v>0</v>
      </c>
      <c r="K316" s="120">
        <v>0</v>
      </c>
      <c r="L316" s="120">
        <v>0</v>
      </c>
      <c r="M316" s="120">
        <v>0</v>
      </c>
      <c r="N316" s="120">
        <v>0</v>
      </c>
      <c r="O316" s="120">
        <v>0</v>
      </c>
      <c r="P316" s="121">
        <v>0</v>
      </c>
      <c r="Q316" s="121">
        <v>0</v>
      </c>
      <c r="R316" s="121">
        <f t="shared" si="9"/>
        <v>542.51</v>
      </c>
      <c r="S316" s="120"/>
    </row>
    <row r="317" spans="1:19" s="122" customFormat="1" ht="12.75" hidden="1" outlineLevel="1">
      <c r="A317" s="120" t="s">
        <v>2497</v>
      </c>
      <c r="B317" s="121"/>
      <c r="C317" s="121" t="s">
        <v>2498</v>
      </c>
      <c r="D317" s="121" t="s">
        <v>2499</v>
      </c>
      <c r="E317" s="121">
        <v>777051.46</v>
      </c>
      <c r="F317" s="121">
        <v>0</v>
      </c>
      <c r="G317" s="121"/>
      <c r="H317" s="120">
        <v>0</v>
      </c>
      <c r="I317" s="120">
        <v>0</v>
      </c>
      <c r="J317" s="120">
        <v>0</v>
      </c>
      <c r="K317" s="120">
        <v>0</v>
      </c>
      <c r="L317" s="120">
        <v>0</v>
      </c>
      <c r="M317" s="120">
        <v>0</v>
      </c>
      <c r="N317" s="120">
        <v>0</v>
      </c>
      <c r="O317" s="120">
        <v>0</v>
      </c>
      <c r="P317" s="121">
        <v>0</v>
      </c>
      <c r="Q317" s="121">
        <v>0</v>
      </c>
      <c r="R317" s="121">
        <f t="shared" si="9"/>
        <v>777051.46</v>
      </c>
      <c r="S317" s="120"/>
    </row>
    <row r="318" spans="1:19" s="122" customFormat="1" ht="12.75" hidden="1" outlineLevel="1">
      <c r="A318" s="120" t="s">
        <v>2500</v>
      </c>
      <c r="B318" s="121"/>
      <c r="C318" s="121" t="s">
        <v>2501</v>
      </c>
      <c r="D318" s="121" t="s">
        <v>2502</v>
      </c>
      <c r="E318" s="121">
        <v>519499.14</v>
      </c>
      <c r="F318" s="121">
        <v>1063.12</v>
      </c>
      <c r="G318" s="121"/>
      <c r="H318" s="120">
        <v>24.96</v>
      </c>
      <c r="I318" s="120">
        <v>35.52</v>
      </c>
      <c r="J318" s="120">
        <v>15821.94</v>
      </c>
      <c r="K318" s="120">
        <v>94158.42</v>
      </c>
      <c r="L318" s="120">
        <v>0</v>
      </c>
      <c r="M318" s="120">
        <v>4548</v>
      </c>
      <c r="N318" s="120">
        <v>16.87</v>
      </c>
      <c r="O318" s="120">
        <v>40623.12</v>
      </c>
      <c r="P318" s="121">
        <v>155228.83</v>
      </c>
      <c r="Q318" s="121">
        <v>0</v>
      </c>
      <c r="R318" s="121">
        <f t="shared" si="9"/>
        <v>675791.09</v>
      </c>
      <c r="S318" s="120"/>
    </row>
    <row r="319" spans="1:19" s="122" customFormat="1" ht="12.75" hidden="1" outlineLevel="1">
      <c r="A319" s="120" t="s">
        <v>2503</v>
      </c>
      <c r="B319" s="121"/>
      <c r="C319" s="121" t="s">
        <v>2504</v>
      </c>
      <c r="D319" s="121" t="s">
        <v>2505</v>
      </c>
      <c r="E319" s="121">
        <v>60490.35</v>
      </c>
      <c r="F319" s="121">
        <v>0</v>
      </c>
      <c r="G319" s="121"/>
      <c r="H319" s="120">
        <v>74755.67</v>
      </c>
      <c r="I319" s="120">
        <v>0</v>
      </c>
      <c r="J319" s="120">
        <v>9299.32</v>
      </c>
      <c r="K319" s="120">
        <v>2161.94</v>
      </c>
      <c r="L319" s="120">
        <v>0</v>
      </c>
      <c r="M319" s="120">
        <v>0</v>
      </c>
      <c r="N319" s="120">
        <v>33</v>
      </c>
      <c r="O319" s="120">
        <v>0</v>
      </c>
      <c r="P319" s="121">
        <v>86249.93</v>
      </c>
      <c r="Q319" s="121">
        <v>0</v>
      </c>
      <c r="R319" s="121">
        <f t="shared" si="9"/>
        <v>146740.28</v>
      </c>
      <c r="S319" s="120"/>
    </row>
    <row r="320" spans="1:19" s="122" customFormat="1" ht="12.75" hidden="1" outlineLevel="1">
      <c r="A320" s="120" t="s">
        <v>2506</v>
      </c>
      <c r="B320" s="121"/>
      <c r="C320" s="121" t="s">
        <v>2507</v>
      </c>
      <c r="D320" s="121" t="s">
        <v>2508</v>
      </c>
      <c r="E320" s="121">
        <v>-113.76</v>
      </c>
      <c r="F320" s="121">
        <v>0</v>
      </c>
      <c r="G320" s="121"/>
      <c r="H320" s="120">
        <v>0</v>
      </c>
      <c r="I320" s="120">
        <v>0</v>
      </c>
      <c r="J320" s="120">
        <v>0</v>
      </c>
      <c r="K320" s="120">
        <v>0</v>
      </c>
      <c r="L320" s="120">
        <v>0</v>
      </c>
      <c r="M320" s="120">
        <v>0</v>
      </c>
      <c r="N320" s="120">
        <v>0</v>
      </c>
      <c r="O320" s="120">
        <v>0</v>
      </c>
      <c r="P320" s="121">
        <v>0</v>
      </c>
      <c r="Q320" s="121">
        <v>0</v>
      </c>
      <c r="R320" s="121">
        <f t="shared" si="9"/>
        <v>-113.76</v>
      </c>
      <c r="S320" s="120"/>
    </row>
    <row r="321" spans="1:19" s="122" customFormat="1" ht="12.75" hidden="1" outlineLevel="1">
      <c r="A321" s="120" t="s">
        <v>2509</v>
      </c>
      <c r="B321" s="121"/>
      <c r="C321" s="121" t="s">
        <v>2510</v>
      </c>
      <c r="D321" s="121" t="s">
        <v>2511</v>
      </c>
      <c r="E321" s="121">
        <v>183238.39</v>
      </c>
      <c r="F321" s="121">
        <v>533.17</v>
      </c>
      <c r="G321" s="121"/>
      <c r="H321" s="120">
        <v>0</v>
      </c>
      <c r="I321" s="120">
        <v>0</v>
      </c>
      <c r="J321" s="120">
        <v>0</v>
      </c>
      <c r="K321" s="120">
        <v>0</v>
      </c>
      <c r="L321" s="120">
        <v>0</v>
      </c>
      <c r="M321" s="120">
        <v>177</v>
      </c>
      <c r="N321" s="120">
        <v>0</v>
      </c>
      <c r="O321" s="120">
        <v>0</v>
      </c>
      <c r="P321" s="121">
        <v>177</v>
      </c>
      <c r="Q321" s="121">
        <v>0</v>
      </c>
      <c r="R321" s="121">
        <f aca="true" t="shared" si="10" ref="R321:R354">E321+F321+G321+P321+Q321</f>
        <v>183948.56000000003</v>
      </c>
      <c r="S321" s="120"/>
    </row>
    <row r="322" spans="1:19" s="122" customFormat="1" ht="12.75" hidden="1" outlineLevel="1">
      <c r="A322" s="120" t="s">
        <v>2512</v>
      </c>
      <c r="B322" s="121"/>
      <c r="C322" s="121" t="s">
        <v>2513</v>
      </c>
      <c r="D322" s="121" t="s">
        <v>2514</v>
      </c>
      <c r="E322" s="121">
        <v>10138.67</v>
      </c>
      <c r="F322" s="121">
        <v>0</v>
      </c>
      <c r="G322" s="121"/>
      <c r="H322" s="120">
        <v>0</v>
      </c>
      <c r="I322" s="120">
        <v>0</v>
      </c>
      <c r="J322" s="120">
        <v>0</v>
      </c>
      <c r="K322" s="120">
        <v>0</v>
      </c>
      <c r="L322" s="120">
        <v>0</v>
      </c>
      <c r="M322" s="120">
        <v>0</v>
      </c>
      <c r="N322" s="120">
        <v>0</v>
      </c>
      <c r="O322" s="120">
        <v>0</v>
      </c>
      <c r="P322" s="121">
        <v>0</v>
      </c>
      <c r="Q322" s="121">
        <v>0</v>
      </c>
      <c r="R322" s="121">
        <f t="shared" si="10"/>
        <v>10138.67</v>
      </c>
      <c r="S322" s="120"/>
    </row>
    <row r="323" spans="1:19" s="122" customFormat="1" ht="12.75" hidden="1" outlineLevel="1">
      <c r="A323" s="120" t="s">
        <v>2515</v>
      </c>
      <c r="B323" s="121"/>
      <c r="C323" s="121" t="s">
        <v>2516</v>
      </c>
      <c r="D323" s="121" t="s">
        <v>2517</v>
      </c>
      <c r="E323" s="121">
        <v>15707</v>
      </c>
      <c r="F323" s="121">
        <v>81020</v>
      </c>
      <c r="G323" s="121"/>
      <c r="H323" s="120">
        <v>0</v>
      </c>
      <c r="I323" s="120">
        <v>0</v>
      </c>
      <c r="J323" s="120">
        <v>0</v>
      </c>
      <c r="K323" s="120">
        <v>90</v>
      </c>
      <c r="L323" s="120">
        <v>0</v>
      </c>
      <c r="M323" s="120">
        <v>0</v>
      </c>
      <c r="N323" s="120">
        <v>0</v>
      </c>
      <c r="O323" s="120">
        <v>0</v>
      </c>
      <c r="P323" s="121">
        <v>90</v>
      </c>
      <c r="Q323" s="121">
        <v>0</v>
      </c>
      <c r="R323" s="121">
        <f t="shared" si="10"/>
        <v>96817</v>
      </c>
      <c r="S323" s="120"/>
    </row>
    <row r="324" spans="1:19" s="122" customFormat="1" ht="12.75" hidden="1" outlineLevel="1">
      <c r="A324" s="120" t="s">
        <v>2518</v>
      </c>
      <c r="B324" s="121"/>
      <c r="C324" s="121" t="s">
        <v>2519</v>
      </c>
      <c r="D324" s="121" t="s">
        <v>2520</v>
      </c>
      <c r="E324" s="121">
        <v>143593.72</v>
      </c>
      <c r="F324" s="121">
        <v>285626.01</v>
      </c>
      <c r="G324" s="121"/>
      <c r="H324" s="120">
        <v>0</v>
      </c>
      <c r="I324" s="120">
        <v>0</v>
      </c>
      <c r="J324" s="120">
        <v>0</v>
      </c>
      <c r="K324" s="120">
        <v>0</v>
      </c>
      <c r="L324" s="120">
        <v>0</v>
      </c>
      <c r="M324" s="120">
        <v>0</v>
      </c>
      <c r="N324" s="120">
        <v>0</v>
      </c>
      <c r="O324" s="120">
        <v>0</v>
      </c>
      <c r="P324" s="121">
        <v>0</v>
      </c>
      <c r="Q324" s="121">
        <v>0</v>
      </c>
      <c r="R324" s="121">
        <f t="shared" si="10"/>
        <v>429219.73</v>
      </c>
      <c r="S324" s="120"/>
    </row>
    <row r="325" spans="1:19" s="122" customFormat="1" ht="12.75" hidden="1" outlineLevel="1">
      <c r="A325" s="120" t="s">
        <v>2521</v>
      </c>
      <c r="B325" s="121"/>
      <c r="C325" s="121" t="s">
        <v>2522</v>
      </c>
      <c r="D325" s="121" t="s">
        <v>2523</v>
      </c>
      <c r="E325" s="121">
        <v>1053.96</v>
      </c>
      <c r="F325" s="121">
        <v>0</v>
      </c>
      <c r="G325" s="121"/>
      <c r="H325" s="120">
        <v>0</v>
      </c>
      <c r="I325" s="120">
        <v>0</v>
      </c>
      <c r="J325" s="120">
        <v>0</v>
      </c>
      <c r="K325" s="120">
        <v>0</v>
      </c>
      <c r="L325" s="120">
        <v>0</v>
      </c>
      <c r="M325" s="120">
        <v>0</v>
      </c>
      <c r="N325" s="120">
        <v>0</v>
      </c>
      <c r="O325" s="120">
        <v>0</v>
      </c>
      <c r="P325" s="121">
        <v>0</v>
      </c>
      <c r="Q325" s="121">
        <v>0</v>
      </c>
      <c r="R325" s="121">
        <f t="shared" si="10"/>
        <v>1053.96</v>
      </c>
      <c r="S325" s="120"/>
    </row>
    <row r="326" spans="1:19" s="122" customFormat="1" ht="12.75" hidden="1" outlineLevel="1">
      <c r="A326" s="120" t="s">
        <v>2524</v>
      </c>
      <c r="B326" s="121"/>
      <c r="C326" s="121" t="s">
        <v>2525</v>
      </c>
      <c r="D326" s="121" t="s">
        <v>2526</v>
      </c>
      <c r="E326" s="121">
        <v>111020.16</v>
      </c>
      <c r="F326" s="121">
        <v>0</v>
      </c>
      <c r="G326" s="121"/>
      <c r="H326" s="120">
        <v>0</v>
      </c>
      <c r="I326" s="120">
        <v>0</v>
      </c>
      <c r="J326" s="120">
        <v>0</v>
      </c>
      <c r="K326" s="120">
        <v>0</v>
      </c>
      <c r="L326" s="120">
        <v>0</v>
      </c>
      <c r="M326" s="120">
        <v>0</v>
      </c>
      <c r="N326" s="120">
        <v>0</v>
      </c>
      <c r="O326" s="120">
        <v>0</v>
      </c>
      <c r="P326" s="121">
        <v>0</v>
      </c>
      <c r="Q326" s="121">
        <v>0</v>
      </c>
      <c r="R326" s="121">
        <f t="shared" si="10"/>
        <v>111020.16</v>
      </c>
      <c r="S326" s="120"/>
    </row>
    <row r="327" spans="1:19" s="122" customFormat="1" ht="12.75" hidden="1" outlineLevel="1">
      <c r="A327" s="120" t="s">
        <v>2527</v>
      </c>
      <c r="B327" s="121"/>
      <c r="C327" s="121" t="s">
        <v>2528</v>
      </c>
      <c r="D327" s="121" t="s">
        <v>2529</v>
      </c>
      <c r="E327" s="121">
        <v>217230.41</v>
      </c>
      <c r="F327" s="121">
        <v>0</v>
      </c>
      <c r="G327" s="121"/>
      <c r="H327" s="120">
        <v>0</v>
      </c>
      <c r="I327" s="120">
        <v>0</v>
      </c>
      <c r="J327" s="120">
        <v>0</v>
      </c>
      <c r="K327" s="120">
        <v>0</v>
      </c>
      <c r="L327" s="120">
        <v>0</v>
      </c>
      <c r="M327" s="120">
        <v>0</v>
      </c>
      <c r="N327" s="120">
        <v>0</v>
      </c>
      <c r="O327" s="120">
        <v>0</v>
      </c>
      <c r="P327" s="121">
        <v>0</v>
      </c>
      <c r="Q327" s="121">
        <v>0</v>
      </c>
      <c r="R327" s="121">
        <f t="shared" si="10"/>
        <v>217230.41</v>
      </c>
      <c r="S327" s="120"/>
    </row>
    <row r="328" spans="1:19" s="122" customFormat="1" ht="12.75" hidden="1" outlineLevel="1">
      <c r="A328" s="120" t="s">
        <v>2530</v>
      </c>
      <c r="B328" s="121"/>
      <c r="C328" s="121" t="s">
        <v>2531</v>
      </c>
      <c r="D328" s="121" t="s">
        <v>2532</v>
      </c>
      <c r="E328" s="121">
        <v>379480.97</v>
      </c>
      <c r="F328" s="121">
        <v>10193.89</v>
      </c>
      <c r="G328" s="121"/>
      <c r="H328" s="120">
        <v>2320</v>
      </c>
      <c r="I328" s="120">
        <v>0</v>
      </c>
      <c r="J328" s="120">
        <v>0</v>
      </c>
      <c r="K328" s="120">
        <v>0</v>
      </c>
      <c r="L328" s="120">
        <v>0</v>
      </c>
      <c r="M328" s="120">
        <v>0</v>
      </c>
      <c r="N328" s="120">
        <v>0</v>
      </c>
      <c r="O328" s="120">
        <v>-500.02</v>
      </c>
      <c r="P328" s="121">
        <v>1819.98</v>
      </c>
      <c r="Q328" s="121">
        <v>0</v>
      </c>
      <c r="R328" s="121">
        <f t="shared" si="10"/>
        <v>391494.83999999997</v>
      </c>
      <c r="S328" s="120"/>
    </row>
    <row r="329" spans="1:19" s="122" customFormat="1" ht="12.75" hidden="1" outlineLevel="1">
      <c r="A329" s="120" t="s">
        <v>2533</v>
      </c>
      <c r="B329" s="121"/>
      <c r="C329" s="121" t="s">
        <v>2534</v>
      </c>
      <c r="D329" s="121" t="s">
        <v>2535</v>
      </c>
      <c r="E329" s="121">
        <v>2190682.19</v>
      </c>
      <c r="F329" s="121">
        <v>404.26</v>
      </c>
      <c r="G329" s="121"/>
      <c r="H329" s="120">
        <v>4997.31</v>
      </c>
      <c r="I329" s="120">
        <v>0</v>
      </c>
      <c r="J329" s="120">
        <v>0</v>
      </c>
      <c r="K329" s="120">
        <v>0</v>
      </c>
      <c r="L329" s="120">
        <v>0</v>
      </c>
      <c r="M329" s="120">
        <v>4946.66</v>
      </c>
      <c r="N329" s="120">
        <v>3746.03</v>
      </c>
      <c r="O329" s="120">
        <v>3489.85</v>
      </c>
      <c r="P329" s="121">
        <v>17179.85</v>
      </c>
      <c r="Q329" s="121">
        <v>0</v>
      </c>
      <c r="R329" s="121">
        <f t="shared" si="10"/>
        <v>2208266.3</v>
      </c>
      <c r="S329" s="120"/>
    </row>
    <row r="330" spans="1:19" s="122" customFormat="1" ht="12.75" hidden="1" outlineLevel="1">
      <c r="A330" s="120" t="s">
        <v>2536</v>
      </c>
      <c r="B330" s="121"/>
      <c r="C330" s="121" t="s">
        <v>2537</v>
      </c>
      <c r="D330" s="121" t="s">
        <v>2538</v>
      </c>
      <c r="E330" s="121">
        <v>300151.56</v>
      </c>
      <c r="F330" s="121">
        <v>47.85</v>
      </c>
      <c r="G330" s="121"/>
      <c r="H330" s="120">
        <v>0</v>
      </c>
      <c r="I330" s="120">
        <v>3645.51</v>
      </c>
      <c r="J330" s="120">
        <v>0</v>
      </c>
      <c r="K330" s="120">
        <v>0</v>
      </c>
      <c r="L330" s="120">
        <v>0</v>
      </c>
      <c r="M330" s="120">
        <v>5129.96</v>
      </c>
      <c r="N330" s="120">
        <v>0</v>
      </c>
      <c r="O330" s="120">
        <v>2169.95</v>
      </c>
      <c r="P330" s="121">
        <v>10945.42</v>
      </c>
      <c r="Q330" s="121">
        <v>0</v>
      </c>
      <c r="R330" s="121">
        <f t="shared" si="10"/>
        <v>311144.82999999996</v>
      </c>
      <c r="S330" s="120"/>
    </row>
    <row r="331" spans="1:19" s="122" customFormat="1" ht="12.75" hidden="1" outlineLevel="1">
      <c r="A331" s="120" t="s">
        <v>2539</v>
      </c>
      <c r="B331" s="121"/>
      <c r="C331" s="121" t="s">
        <v>2540</v>
      </c>
      <c r="D331" s="121" t="s">
        <v>2541</v>
      </c>
      <c r="E331" s="121">
        <v>3092852.77</v>
      </c>
      <c r="F331" s="121">
        <v>15795.66</v>
      </c>
      <c r="G331" s="121"/>
      <c r="H331" s="120">
        <v>0</v>
      </c>
      <c r="I331" s="120">
        <v>0</v>
      </c>
      <c r="J331" s="120">
        <v>0</v>
      </c>
      <c r="K331" s="120">
        <v>0</v>
      </c>
      <c r="L331" s="120">
        <v>0</v>
      </c>
      <c r="M331" s="120">
        <v>0</v>
      </c>
      <c r="N331" s="120">
        <v>0</v>
      </c>
      <c r="O331" s="120">
        <v>0</v>
      </c>
      <c r="P331" s="121">
        <v>0</v>
      </c>
      <c r="Q331" s="121">
        <v>0</v>
      </c>
      <c r="R331" s="121">
        <f t="shared" si="10"/>
        <v>3108648.43</v>
      </c>
      <c r="S331" s="120"/>
    </row>
    <row r="332" spans="1:19" s="122" customFormat="1" ht="12.75" hidden="1" outlineLevel="1">
      <c r="A332" s="120" t="s">
        <v>2542</v>
      </c>
      <c r="B332" s="121"/>
      <c r="C332" s="121" t="s">
        <v>2543</v>
      </c>
      <c r="D332" s="121" t="s">
        <v>2544</v>
      </c>
      <c r="E332" s="121">
        <v>344593.28</v>
      </c>
      <c r="F332" s="121">
        <v>921.17</v>
      </c>
      <c r="G332" s="121"/>
      <c r="H332" s="120">
        <v>0</v>
      </c>
      <c r="I332" s="120">
        <v>0</v>
      </c>
      <c r="J332" s="120">
        <v>0</v>
      </c>
      <c r="K332" s="120">
        <v>0</v>
      </c>
      <c r="L332" s="120">
        <v>0</v>
      </c>
      <c r="M332" s="120">
        <v>0</v>
      </c>
      <c r="N332" s="120">
        <v>0</v>
      </c>
      <c r="O332" s="120">
        <v>0</v>
      </c>
      <c r="P332" s="121">
        <v>0</v>
      </c>
      <c r="Q332" s="121">
        <v>0</v>
      </c>
      <c r="R332" s="121">
        <f t="shared" si="10"/>
        <v>345514.45</v>
      </c>
      <c r="S332" s="120"/>
    </row>
    <row r="333" spans="1:19" s="122" customFormat="1" ht="12.75" hidden="1" outlineLevel="1">
      <c r="A333" s="120" t="s">
        <v>2545</v>
      </c>
      <c r="B333" s="121"/>
      <c r="C333" s="121" t="s">
        <v>2546</v>
      </c>
      <c r="D333" s="121" t="s">
        <v>2547</v>
      </c>
      <c r="E333" s="121">
        <v>1897086.8</v>
      </c>
      <c r="F333" s="121">
        <v>0</v>
      </c>
      <c r="G333" s="121"/>
      <c r="H333" s="120">
        <v>0</v>
      </c>
      <c r="I333" s="120">
        <v>0</v>
      </c>
      <c r="J333" s="120">
        <v>0</v>
      </c>
      <c r="K333" s="120">
        <v>0</v>
      </c>
      <c r="L333" s="120">
        <v>0</v>
      </c>
      <c r="M333" s="120">
        <v>0</v>
      </c>
      <c r="N333" s="120">
        <v>0</v>
      </c>
      <c r="O333" s="120">
        <v>0</v>
      </c>
      <c r="P333" s="121">
        <v>0</v>
      </c>
      <c r="Q333" s="121">
        <v>0</v>
      </c>
      <c r="R333" s="121">
        <f t="shared" si="10"/>
        <v>1897086.8</v>
      </c>
      <c r="S333" s="120"/>
    </row>
    <row r="334" spans="1:19" s="122" customFormat="1" ht="12.75" hidden="1" outlineLevel="1">
      <c r="A334" s="120" t="s">
        <v>2548</v>
      </c>
      <c r="B334" s="121"/>
      <c r="C334" s="121" t="s">
        <v>2549</v>
      </c>
      <c r="D334" s="121" t="s">
        <v>2550</v>
      </c>
      <c r="E334" s="121">
        <v>27260.14</v>
      </c>
      <c r="F334" s="121">
        <v>0</v>
      </c>
      <c r="G334" s="121"/>
      <c r="H334" s="120">
        <v>0</v>
      </c>
      <c r="I334" s="120">
        <v>0</v>
      </c>
      <c r="J334" s="120">
        <v>0</v>
      </c>
      <c r="K334" s="120">
        <v>0</v>
      </c>
      <c r="L334" s="120">
        <v>0</v>
      </c>
      <c r="M334" s="120">
        <v>0</v>
      </c>
      <c r="N334" s="120">
        <v>0</v>
      </c>
      <c r="O334" s="120">
        <v>0</v>
      </c>
      <c r="P334" s="121">
        <v>0</v>
      </c>
      <c r="Q334" s="121">
        <v>0</v>
      </c>
      <c r="R334" s="121">
        <f t="shared" si="10"/>
        <v>27260.14</v>
      </c>
      <c r="S334" s="120"/>
    </row>
    <row r="335" spans="1:19" s="122" customFormat="1" ht="12.75" hidden="1" outlineLevel="1">
      <c r="A335" s="120" t="s">
        <v>2551</v>
      </c>
      <c r="B335" s="121"/>
      <c r="C335" s="121" t="s">
        <v>2552</v>
      </c>
      <c r="D335" s="121" t="s">
        <v>2553</v>
      </c>
      <c r="E335" s="121">
        <v>-1030906.45</v>
      </c>
      <c r="F335" s="121">
        <v>289932.28</v>
      </c>
      <c r="G335" s="121"/>
      <c r="H335" s="120">
        <v>0</v>
      </c>
      <c r="I335" s="120">
        <v>0</v>
      </c>
      <c r="J335" s="120">
        <v>16705.92</v>
      </c>
      <c r="K335" s="120">
        <v>0</v>
      </c>
      <c r="L335" s="120">
        <v>0</v>
      </c>
      <c r="M335" s="120">
        <v>29666.16</v>
      </c>
      <c r="N335" s="120">
        <v>0</v>
      </c>
      <c r="O335" s="120">
        <v>30190.08</v>
      </c>
      <c r="P335" s="121">
        <v>76562.16</v>
      </c>
      <c r="Q335" s="121">
        <v>0</v>
      </c>
      <c r="R335" s="121">
        <f t="shared" si="10"/>
        <v>-664412.0099999999</v>
      </c>
      <c r="S335" s="120"/>
    </row>
    <row r="336" spans="1:19" s="122" customFormat="1" ht="12.75" hidden="1" outlineLevel="1">
      <c r="A336" s="120" t="s">
        <v>2554</v>
      </c>
      <c r="B336" s="121"/>
      <c r="C336" s="121" t="s">
        <v>2555</v>
      </c>
      <c r="D336" s="121" t="s">
        <v>2556</v>
      </c>
      <c r="E336" s="121">
        <v>165633.73</v>
      </c>
      <c r="F336" s="121">
        <v>0</v>
      </c>
      <c r="G336" s="121"/>
      <c r="H336" s="120">
        <v>0</v>
      </c>
      <c r="I336" s="120">
        <v>0</v>
      </c>
      <c r="J336" s="120">
        <v>0</v>
      </c>
      <c r="K336" s="120">
        <v>0</v>
      </c>
      <c r="L336" s="120">
        <v>0</v>
      </c>
      <c r="M336" s="120">
        <v>0</v>
      </c>
      <c r="N336" s="120">
        <v>0</v>
      </c>
      <c r="O336" s="120">
        <v>0</v>
      </c>
      <c r="P336" s="121">
        <v>0</v>
      </c>
      <c r="Q336" s="121">
        <v>0</v>
      </c>
      <c r="R336" s="121">
        <f t="shared" si="10"/>
        <v>165633.73</v>
      </c>
      <c r="S336" s="120"/>
    </row>
    <row r="337" spans="1:19" s="122" customFormat="1" ht="12.75" hidden="1" outlineLevel="1">
      <c r="A337" s="120" t="s">
        <v>2557</v>
      </c>
      <c r="B337" s="121"/>
      <c r="C337" s="121" t="s">
        <v>2558</v>
      </c>
      <c r="D337" s="121" t="s">
        <v>2559</v>
      </c>
      <c r="E337" s="121">
        <v>2540</v>
      </c>
      <c r="F337" s="121">
        <v>0</v>
      </c>
      <c r="G337" s="121"/>
      <c r="H337" s="120">
        <v>0</v>
      </c>
      <c r="I337" s="120">
        <v>0</v>
      </c>
      <c r="J337" s="120">
        <v>0</v>
      </c>
      <c r="K337" s="120">
        <v>0</v>
      </c>
      <c r="L337" s="120">
        <v>0</v>
      </c>
      <c r="M337" s="120">
        <v>0</v>
      </c>
      <c r="N337" s="120">
        <v>0</v>
      </c>
      <c r="O337" s="120">
        <v>0</v>
      </c>
      <c r="P337" s="121">
        <v>0</v>
      </c>
      <c r="Q337" s="121">
        <v>0</v>
      </c>
      <c r="R337" s="121">
        <f t="shared" si="10"/>
        <v>2540</v>
      </c>
      <c r="S337" s="120"/>
    </row>
    <row r="338" spans="1:19" ht="12.75" customHeight="1" collapsed="1">
      <c r="A338" s="165" t="s">
        <v>2560</v>
      </c>
      <c r="B338" s="148"/>
      <c r="C338" s="150" t="s">
        <v>3712</v>
      </c>
      <c r="D338" s="157"/>
      <c r="E338" s="117">
        <v>39721682.06</v>
      </c>
      <c r="F338" s="117">
        <v>1678686.1</v>
      </c>
      <c r="G338" s="117">
        <v>13472064.06</v>
      </c>
      <c r="H338" s="165">
        <v>-3054193.07</v>
      </c>
      <c r="I338" s="165">
        <v>-990405.39</v>
      </c>
      <c r="J338" s="165">
        <v>154009.29</v>
      </c>
      <c r="K338" s="165">
        <v>-403043.95</v>
      </c>
      <c r="L338" s="165">
        <v>-303332.97</v>
      </c>
      <c r="M338" s="165">
        <v>-541987.64</v>
      </c>
      <c r="N338" s="165">
        <v>-145473.98</v>
      </c>
      <c r="O338" s="165">
        <v>66651.35</v>
      </c>
      <c r="P338" s="117">
        <v>-5217776.36</v>
      </c>
      <c r="Q338" s="117">
        <v>0</v>
      </c>
      <c r="R338" s="117">
        <f t="shared" si="10"/>
        <v>49654655.86000001</v>
      </c>
      <c r="S338" s="165"/>
    </row>
    <row r="339" spans="1:19" s="122" customFormat="1" ht="12.75" hidden="1" outlineLevel="1">
      <c r="A339" s="120" t="s">
        <v>2561</v>
      </c>
      <c r="B339" s="121"/>
      <c r="C339" s="121" t="s">
        <v>2562</v>
      </c>
      <c r="D339" s="121" t="s">
        <v>2563</v>
      </c>
      <c r="E339" s="121">
        <v>5530000</v>
      </c>
      <c r="F339" s="121">
        <v>0</v>
      </c>
      <c r="G339" s="121"/>
      <c r="H339" s="120">
        <v>0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1">
        <v>0</v>
      </c>
      <c r="Q339" s="121">
        <v>0</v>
      </c>
      <c r="R339" s="121">
        <f t="shared" si="10"/>
        <v>5530000</v>
      </c>
      <c r="S339" s="120"/>
    </row>
    <row r="340" spans="1:19" ht="12.75" customHeight="1" collapsed="1">
      <c r="A340" s="150" t="s">
        <v>2564</v>
      </c>
      <c r="B340" s="148"/>
      <c r="C340" s="150" t="s">
        <v>3713</v>
      </c>
      <c r="D340" s="157"/>
      <c r="E340" s="117">
        <v>5530000</v>
      </c>
      <c r="F340" s="117">
        <v>0</v>
      </c>
      <c r="G340" s="117">
        <v>0</v>
      </c>
      <c r="H340" s="150">
        <v>0</v>
      </c>
      <c r="I340" s="150">
        <v>0</v>
      </c>
      <c r="J340" s="150">
        <v>0</v>
      </c>
      <c r="K340" s="150">
        <v>0</v>
      </c>
      <c r="L340" s="150">
        <v>0</v>
      </c>
      <c r="M340" s="150">
        <v>0</v>
      </c>
      <c r="N340" s="150">
        <v>0</v>
      </c>
      <c r="O340" s="150">
        <v>0</v>
      </c>
      <c r="P340" s="117">
        <v>0</v>
      </c>
      <c r="Q340" s="117">
        <v>0</v>
      </c>
      <c r="R340" s="117">
        <f t="shared" si="10"/>
        <v>5530000</v>
      </c>
      <c r="S340" s="150"/>
    </row>
    <row r="341" spans="1:19" s="122" customFormat="1" ht="12.75" hidden="1" outlineLevel="1">
      <c r="A341" s="120" t="s">
        <v>2565</v>
      </c>
      <c r="B341" s="121"/>
      <c r="C341" s="121" t="s">
        <v>2566</v>
      </c>
      <c r="D341" s="121" t="s">
        <v>2567</v>
      </c>
      <c r="E341" s="121">
        <v>33248.22</v>
      </c>
      <c r="F341" s="121">
        <v>0</v>
      </c>
      <c r="G341" s="121"/>
      <c r="H341" s="120">
        <v>0</v>
      </c>
      <c r="I341" s="120">
        <v>0</v>
      </c>
      <c r="J341" s="120">
        <v>0</v>
      </c>
      <c r="K341" s="120">
        <v>0</v>
      </c>
      <c r="L341" s="120">
        <v>0</v>
      </c>
      <c r="M341" s="120">
        <v>99780.2</v>
      </c>
      <c r="N341" s="120">
        <v>0</v>
      </c>
      <c r="O341" s="120">
        <v>0</v>
      </c>
      <c r="P341" s="121">
        <v>99780.2</v>
      </c>
      <c r="Q341" s="121">
        <v>0</v>
      </c>
      <c r="R341" s="121">
        <f t="shared" si="10"/>
        <v>133028.41999999998</v>
      </c>
      <c r="S341" s="120"/>
    </row>
    <row r="342" spans="1:19" s="122" customFormat="1" ht="12.75" hidden="1" outlineLevel="1">
      <c r="A342" s="120" t="s">
        <v>2568</v>
      </c>
      <c r="B342" s="121"/>
      <c r="C342" s="121" t="s">
        <v>2569</v>
      </c>
      <c r="D342" s="121" t="s">
        <v>2570</v>
      </c>
      <c r="E342" s="121">
        <v>625676.2</v>
      </c>
      <c r="F342" s="121">
        <v>0</v>
      </c>
      <c r="G342" s="121"/>
      <c r="H342" s="120">
        <v>0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1">
        <v>0</v>
      </c>
      <c r="Q342" s="121">
        <v>0</v>
      </c>
      <c r="R342" s="121">
        <f t="shared" si="10"/>
        <v>625676.2</v>
      </c>
      <c r="S342" s="120"/>
    </row>
    <row r="343" spans="1:19" s="122" customFormat="1" ht="12.75" hidden="1" outlineLevel="1">
      <c r="A343" s="120" t="s">
        <v>2571</v>
      </c>
      <c r="B343" s="121"/>
      <c r="C343" s="121" t="s">
        <v>2572</v>
      </c>
      <c r="D343" s="121" t="s">
        <v>2573</v>
      </c>
      <c r="E343" s="121">
        <v>138385.18</v>
      </c>
      <c r="F343" s="121">
        <v>0</v>
      </c>
      <c r="G343" s="121"/>
      <c r="H343" s="120">
        <v>0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1">
        <v>0</v>
      </c>
      <c r="Q343" s="121">
        <v>0</v>
      </c>
      <c r="R343" s="121">
        <f t="shared" si="10"/>
        <v>138385.18</v>
      </c>
      <c r="S343" s="120"/>
    </row>
    <row r="344" spans="1:19" s="122" customFormat="1" ht="12.75" hidden="1" outlineLevel="1">
      <c r="A344" s="120" t="s">
        <v>2574</v>
      </c>
      <c r="B344" s="121"/>
      <c r="C344" s="121" t="s">
        <v>2575</v>
      </c>
      <c r="D344" s="121" t="s">
        <v>2576</v>
      </c>
      <c r="E344" s="121">
        <v>152120.15</v>
      </c>
      <c r="F344" s="121">
        <v>0</v>
      </c>
      <c r="G344" s="121"/>
      <c r="H344" s="120">
        <v>0</v>
      </c>
      <c r="I344" s="120">
        <v>0</v>
      </c>
      <c r="J344" s="120">
        <v>0</v>
      </c>
      <c r="K344" s="120">
        <v>0</v>
      </c>
      <c r="L344" s="120">
        <v>0</v>
      </c>
      <c r="M344" s="120">
        <v>238711.79</v>
      </c>
      <c r="N344" s="120">
        <v>0</v>
      </c>
      <c r="O344" s="120">
        <v>0</v>
      </c>
      <c r="P344" s="121">
        <v>238711.79</v>
      </c>
      <c r="Q344" s="121">
        <v>0</v>
      </c>
      <c r="R344" s="121">
        <f t="shared" si="10"/>
        <v>390831.94</v>
      </c>
      <c r="S344" s="120"/>
    </row>
    <row r="345" spans="1:19" s="122" customFormat="1" ht="12.75" hidden="1" outlineLevel="1">
      <c r="A345" s="120" t="s">
        <v>2577</v>
      </c>
      <c r="B345" s="121"/>
      <c r="C345" s="121" t="s">
        <v>2578</v>
      </c>
      <c r="D345" s="121" t="s">
        <v>2579</v>
      </c>
      <c r="E345" s="121">
        <v>556440.02</v>
      </c>
      <c r="F345" s="121">
        <v>0</v>
      </c>
      <c r="G345" s="121"/>
      <c r="H345" s="120">
        <v>0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59500</v>
      </c>
      <c r="P345" s="121">
        <v>59500</v>
      </c>
      <c r="Q345" s="121">
        <v>0</v>
      </c>
      <c r="R345" s="121">
        <f t="shared" si="10"/>
        <v>615940.02</v>
      </c>
      <c r="S345" s="120"/>
    </row>
    <row r="346" spans="1:19" s="122" customFormat="1" ht="12.75" hidden="1" outlineLevel="1">
      <c r="A346" s="120" t="s">
        <v>2580</v>
      </c>
      <c r="B346" s="121"/>
      <c r="C346" s="121" t="s">
        <v>2581</v>
      </c>
      <c r="D346" s="121" t="s">
        <v>2582</v>
      </c>
      <c r="E346" s="121">
        <v>135037.25</v>
      </c>
      <c r="F346" s="121">
        <v>0</v>
      </c>
      <c r="G346" s="121"/>
      <c r="H346" s="120">
        <v>0</v>
      </c>
      <c r="I346" s="120">
        <v>0</v>
      </c>
      <c r="J346" s="120">
        <v>49317.05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1">
        <v>49317.05</v>
      </c>
      <c r="Q346" s="121">
        <v>0</v>
      </c>
      <c r="R346" s="121">
        <f t="shared" si="10"/>
        <v>184354.3</v>
      </c>
      <c r="S346" s="120"/>
    </row>
    <row r="347" spans="1:19" s="122" customFormat="1" ht="12.75" hidden="1" outlineLevel="1">
      <c r="A347" s="120" t="s">
        <v>2583</v>
      </c>
      <c r="B347" s="121"/>
      <c r="C347" s="121" t="s">
        <v>2584</v>
      </c>
      <c r="D347" s="121" t="s">
        <v>2585</v>
      </c>
      <c r="E347" s="121">
        <v>80361.04</v>
      </c>
      <c r="F347" s="121">
        <v>0</v>
      </c>
      <c r="G347" s="121"/>
      <c r="H347" s="120">
        <v>0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1">
        <v>0</v>
      </c>
      <c r="Q347" s="121">
        <v>0</v>
      </c>
      <c r="R347" s="121">
        <f t="shared" si="10"/>
        <v>80361.04</v>
      </c>
      <c r="S347" s="120"/>
    </row>
    <row r="348" spans="1:19" s="122" customFormat="1" ht="12.75" hidden="1" outlineLevel="1">
      <c r="A348" s="120" t="s">
        <v>2586</v>
      </c>
      <c r="B348" s="121"/>
      <c r="C348" s="121" t="s">
        <v>2587</v>
      </c>
      <c r="D348" s="121" t="s">
        <v>2588</v>
      </c>
      <c r="E348" s="121">
        <v>2062342.13</v>
      </c>
      <c r="F348" s="121">
        <v>0</v>
      </c>
      <c r="G348" s="121"/>
      <c r="H348" s="120">
        <v>0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529.74</v>
      </c>
      <c r="P348" s="121">
        <v>529.74</v>
      </c>
      <c r="Q348" s="121">
        <v>0</v>
      </c>
      <c r="R348" s="121">
        <f t="shared" si="10"/>
        <v>2062871.8699999999</v>
      </c>
      <c r="S348" s="120"/>
    </row>
    <row r="349" spans="1:19" s="122" customFormat="1" ht="12.75" hidden="1" outlineLevel="1">
      <c r="A349" s="120" t="s">
        <v>2589</v>
      </c>
      <c r="B349" s="121"/>
      <c r="C349" s="121" t="s">
        <v>2590</v>
      </c>
      <c r="D349" s="121" t="s">
        <v>0</v>
      </c>
      <c r="E349" s="121">
        <v>462737.28</v>
      </c>
      <c r="F349" s="121">
        <v>0</v>
      </c>
      <c r="G349" s="121"/>
      <c r="H349" s="120">
        <v>0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28610.77</v>
      </c>
      <c r="P349" s="121">
        <v>28610.77</v>
      </c>
      <c r="Q349" s="121">
        <v>0</v>
      </c>
      <c r="R349" s="121">
        <f t="shared" si="10"/>
        <v>491348.05000000005</v>
      </c>
      <c r="S349" s="120"/>
    </row>
    <row r="350" spans="1:19" s="122" customFormat="1" ht="12.75" hidden="1" outlineLevel="1">
      <c r="A350" s="120" t="s">
        <v>1</v>
      </c>
      <c r="B350" s="121"/>
      <c r="C350" s="121" t="s">
        <v>2</v>
      </c>
      <c r="D350" s="121" t="s">
        <v>3</v>
      </c>
      <c r="E350" s="121">
        <v>3540824.9</v>
      </c>
      <c r="F350" s="121">
        <v>0</v>
      </c>
      <c r="G350" s="121"/>
      <c r="H350" s="120">
        <v>0</v>
      </c>
      <c r="I350" s="120">
        <v>0</v>
      </c>
      <c r="J350" s="120">
        <v>0</v>
      </c>
      <c r="K350" s="120">
        <v>0</v>
      </c>
      <c r="L350" s="120">
        <v>0</v>
      </c>
      <c r="M350" s="120">
        <v>0</v>
      </c>
      <c r="N350" s="120">
        <v>0</v>
      </c>
      <c r="O350" s="120">
        <v>0</v>
      </c>
      <c r="P350" s="121">
        <v>0</v>
      </c>
      <c r="Q350" s="121">
        <v>0</v>
      </c>
      <c r="R350" s="121">
        <f t="shared" si="10"/>
        <v>3540824.9</v>
      </c>
      <c r="S350" s="120"/>
    </row>
    <row r="351" spans="1:19" s="122" customFormat="1" ht="12.75" hidden="1" outlineLevel="1">
      <c r="A351" s="120" t="s">
        <v>4</v>
      </c>
      <c r="B351" s="121"/>
      <c r="C351" s="121" t="s">
        <v>5</v>
      </c>
      <c r="D351" s="121" t="s">
        <v>6</v>
      </c>
      <c r="E351" s="121">
        <v>272171.63</v>
      </c>
      <c r="F351" s="121">
        <v>0</v>
      </c>
      <c r="G351" s="121"/>
      <c r="H351" s="120">
        <v>0</v>
      </c>
      <c r="I351" s="120">
        <v>0</v>
      </c>
      <c r="J351" s="120">
        <v>0</v>
      </c>
      <c r="K351" s="120">
        <v>0</v>
      </c>
      <c r="L351" s="120">
        <v>0</v>
      </c>
      <c r="M351" s="120">
        <v>0</v>
      </c>
      <c r="N351" s="120">
        <v>0</v>
      </c>
      <c r="O351" s="120">
        <v>0</v>
      </c>
      <c r="P351" s="121">
        <v>0</v>
      </c>
      <c r="Q351" s="121">
        <v>0</v>
      </c>
      <c r="R351" s="121">
        <f t="shared" si="10"/>
        <v>272171.63</v>
      </c>
      <c r="S351" s="120"/>
    </row>
    <row r="352" spans="1:19" s="122" customFormat="1" ht="12.75" hidden="1" outlineLevel="1">
      <c r="A352" s="120" t="s">
        <v>7</v>
      </c>
      <c r="B352" s="121"/>
      <c r="C352" s="121" t="s">
        <v>8</v>
      </c>
      <c r="D352" s="121" t="s">
        <v>9</v>
      </c>
      <c r="E352" s="121">
        <v>5010</v>
      </c>
      <c r="F352" s="121">
        <v>0</v>
      </c>
      <c r="G352" s="121"/>
      <c r="H352" s="120">
        <v>0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1">
        <v>0</v>
      </c>
      <c r="Q352" s="121">
        <v>0</v>
      </c>
      <c r="R352" s="121">
        <f t="shared" si="10"/>
        <v>5010</v>
      </c>
      <c r="S352" s="120"/>
    </row>
    <row r="353" spans="1:19" ht="12.75" customHeight="1" collapsed="1">
      <c r="A353" s="150" t="s">
        <v>10</v>
      </c>
      <c r="B353" s="148"/>
      <c r="C353" s="150" t="s">
        <v>11</v>
      </c>
      <c r="D353" s="157"/>
      <c r="E353" s="117">
        <v>8064353.999999999</v>
      </c>
      <c r="F353" s="117">
        <v>0</v>
      </c>
      <c r="G353" s="117">
        <v>126367.81</v>
      </c>
      <c r="H353" s="150">
        <v>0</v>
      </c>
      <c r="I353" s="150">
        <v>0</v>
      </c>
      <c r="J353" s="150">
        <v>49317.05</v>
      </c>
      <c r="K353" s="150">
        <v>0</v>
      </c>
      <c r="L353" s="150">
        <v>0</v>
      </c>
      <c r="M353" s="150">
        <v>338491.99</v>
      </c>
      <c r="N353" s="150">
        <v>0</v>
      </c>
      <c r="O353" s="150">
        <v>88640.51</v>
      </c>
      <c r="P353" s="117">
        <v>476449.55</v>
      </c>
      <c r="Q353" s="117">
        <v>0</v>
      </c>
      <c r="R353" s="117">
        <f t="shared" si="10"/>
        <v>8667171.36</v>
      </c>
      <c r="S353" s="150"/>
    </row>
    <row r="354" spans="1:19" ht="12.75" customHeight="1">
      <c r="A354" s="150" t="s">
        <v>12</v>
      </c>
      <c r="B354" s="148"/>
      <c r="C354" s="150" t="s">
        <v>13</v>
      </c>
      <c r="D354" s="157"/>
      <c r="E354" s="117">
        <v>0</v>
      </c>
      <c r="F354" s="117">
        <v>0</v>
      </c>
      <c r="G354" s="117">
        <v>0</v>
      </c>
      <c r="H354" s="150">
        <v>0</v>
      </c>
      <c r="I354" s="150">
        <v>0</v>
      </c>
      <c r="J354" s="150">
        <v>0</v>
      </c>
      <c r="K354" s="150">
        <v>0</v>
      </c>
      <c r="L354" s="150">
        <v>0</v>
      </c>
      <c r="M354" s="150">
        <v>0</v>
      </c>
      <c r="N354" s="150">
        <v>0</v>
      </c>
      <c r="O354" s="150">
        <v>0</v>
      </c>
      <c r="P354" s="117">
        <v>0</v>
      </c>
      <c r="Q354" s="117">
        <v>0</v>
      </c>
      <c r="R354" s="117">
        <f t="shared" si="10"/>
        <v>0</v>
      </c>
      <c r="S354" s="150"/>
    </row>
    <row r="355" spans="1:19" ht="12.75" customHeight="1">
      <c r="A355" s="166" t="s">
        <v>3785</v>
      </c>
      <c r="B355" s="160"/>
      <c r="C355" s="154" t="s">
        <v>14</v>
      </c>
      <c r="D355" s="62"/>
      <c r="E355" s="101">
        <f aca="true" t="shared" si="11" ref="E355:R355">E143+E160+E338+E340+E354+E353</f>
        <v>200719427.014</v>
      </c>
      <c r="F355" s="101">
        <f t="shared" si="11"/>
        <v>4718839.767999999</v>
      </c>
      <c r="G355" s="101">
        <f t="shared" si="11"/>
        <v>24303714.878999997</v>
      </c>
      <c r="H355" s="166">
        <f t="shared" si="11"/>
        <v>-152952.94099999964</v>
      </c>
      <c r="I355" s="166">
        <f t="shared" si="11"/>
        <v>-631794.9130000001</v>
      </c>
      <c r="J355" s="166">
        <f t="shared" si="11"/>
        <v>527498.937</v>
      </c>
      <c r="K355" s="166">
        <f t="shared" si="11"/>
        <v>141188.01400000002</v>
      </c>
      <c r="L355" s="166">
        <f t="shared" si="11"/>
        <v>-293835.974</v>
      </c>
      <c r="M355" s="166">
        <f t="shared" si="11"/>
        <v>84751.74300000002</v>
      </c>
      <c r="N355" s="166">
        <f t="shared" si="11"/>
        <v>-15017.667000000016</v>
      </c>
      <c r="O355" s="166">
        <f t="shared" si="11"/>
        <v>1015095.426</v>
      </c>
      <c r="P355" s="101">
        <f t="shared" si="11"/>
        <v>674932.6250000002</v>
      </c>
      <c r="Q355" s="101">
        <f t="shared" si="11"/>
        <v>0</v>
      </c>
      <c r="R355" s="101">
        <f t="shared" si="11"/>
        <v>230416914.286</v>
      </c>
      <c r="S355" s="167"/>
    </row>
    <row r="356" spans="2:18" ht="12.75" customHeight="1">
      <c r="B356" s="160"/>
      <c r="C356" s="161"/>
      <c r="D356" s="72"/>
      <c r="E356" s="117"/>
      <c r="F356" s="117"/>
      <c r="G356" s="117"/>
      <c r="P356" s="117"/>
      <c r="Q356" s="117"/>
      <c r="R356" s="117"/>
    </row>
    <row r="357" spans="1:19" ht="12.75" customHeight="1">
      <c r="A357" s="166" t="s">
        <v>3785</v>
      </c>
      <c r="B357" s="160" t="s">
        <v>3767</v>
      </c>
      <c r="C357" s="161"/>
      <c r="D357" s="72"/>
      <c r="E357" s="101">
        <f aca="true" t="shared" si="12" ref="E357:R357">E126-E355</f>
        <v>-79224741.30400002</v>
      </c>
      <c r="F357" s="101">
        <f t="shared" si="12"/>
        <v>4109930.8720000014</v>
      </c>
      <c r="G357" s="101">
        <f t="shared" si="12"/>
        <v>1758396.8410000019</v>
      </c>
      <c r="H357" s="166">
        <f t="shared" si="12"/>
        <v>155703.53099999964</v>
      </c>
      <c r="I357" s="166">
        <f t="shared" si="12"/>
        <v>631794.9130000001</v>
      </c>
      <c r="J357" s="166">
        <f t="shared" si="12"/>
        <v>-356870.57700000005</v>
      </c>
      <c r="K357" s="166">
        <f t="shared" si="12"/>
        <v>-61502.78400000003</v>
      </c>
      <c r="L357" s="166">
        <f t="shared" si="12"/>
        <v>374421.324</v>
      </c>
      <c r="M357" s="166">
        <f t="shared" si="12"/>
        <v>13698.70699999998</v>
      </c>
      <c r="N357" s="166">
        <f t="shared" si="12"/>
        <v>15147.667000000016</v>
      </c>
      <c r="O357" s="166">
        <f t="shared" si="12"/>
        <v>-582572.876</v>
      </c>
      <c r="P357" s="101">
        <f t="shared" si="12"/>
        <v>189819.9049999998</v>
      </c>
      <c r="Q357" s="101">
        <f t="shared" si="12"/>
        <v>0</v>
      </c>
      <c r="R357" s="101">
        <f t="shared" si="12"/>
        <v>-73166593.68600005</v>
      </c>
      <c r="S357" s="167"/>
    </row>
    <row r="358" spans="2:18" ht="12.75" customHeight="1">
      <c r="B358" s="148"/>
      <c r="C358" s="150"/>
      <c r="D358" s="157"/>
      <c r="E358" s="117"/>
      <c r="F358" s="117"/>
      <c r="G358" s="117"/>
      <c r="P358" s="117"/>
      <c r="Q358" s="117"/>
      <c r="R358" s="117"/>
    </row>
    <row r="359" spans="1:19" ht="12.75" customHeight="1">
      <c r="A359" s="150" t="s">
        <v>15</v>
      </c>
      <c r="B359" s="148"/>
      <c r="C359" s="150" t="s">
        <v>3722</v>
      </c>
      <c r="D359" s="157"/>
      <c r="E359" s="117">
        <v>75526582</v>
      </c>
      <c r="F359" s="117">
        <v>0</v>
      </c>
      <c r="G359" s="117">
        <v>0</v>
      </c>
      <c r="H359" s="150">
        <v>0</v>
      </c>
      <c r="I359" s="150">
        <v>0</v>
      </c>
      <c r="J359" s="150">
        <v>0</v>
      </c>
      <c r="K359" s="150">
        <v>0</v>
      </c>
      <c r="L359" s="150">
        <v>0</v>
      </c>
      <c r="M359" s="150">
        <v>0</v>
      </c>
      <c r="N359" s="150">
        <v>0</v>
      </c>
      <c r="O359" s="150">
        <v>0</v>
      </c>
      <c r="P359" s="117">
        <v>0</v>
      </c>
      <c r="Q359" s="117">
        <v>0</v>
      </c>
      <c r="R359" s="117">
        <f>E359+F359+G359+P359+Q359</f>
        <v>75526582</v>
      </c>
      <c r="S359" s="150"/>
    </row>
    <row r="360" spans="2:18" ht="12.75" customHeight="1">
      <c r="B360" s="148"/>
      <c r="C360" s="150"/>
      <c r="D360" s="157"/>
      <c r="E360" s="117"/>
      <c r="F360" s="117"/>
      <c r="G360" s="117"/>
      <c r="P360" s="117"/>
      <c r="Q360" s="117"/>
      <c r="R360" s="117"/>
    </row>
    <row r="361" spans="1:19" ht="12.75" customHeight="1">
      <c r="A361" s="167"/>
      <c r="B361" s="160" t="s">
        <v>3002</v>
      </c>
      <c r="C361" s="161"/>
      <c r="D361" s="157"/>
      <c r="E361" s="117"/>
      <c r="F361" s="117"/>
      <c r="G361" s="117"/>
      <c r="H361" s="167"/>
      <c r="I361" s="167"/>
      <c r="J361" s="167"/>
      <c r="K361" s="167"/>
      <c r="L361" s="167"/>
      <c r="M361" s="167"/>
      <c r="N361" s="167"/>
      <c r="O361" s="167"/>
      <c r="P361" s="117"/>
      <c r="Q361" s="117"/>
      <c r="R361" s="117"/>
      <c r="S361" s="167"/>
    </row>
    <row r="362" spans="1:19" ht="12.75" customHeight="1">
      <c r="A362" s="166" t="s">
        <v>3785</v>
      </c>
      <c r="B362" s="160" t="s">
        <v>3076</v>
      </c>
      <c r="C362" s="161"/>
      <c r="D362" s="72"/>
      <c r="E362" s="101">
        <f aca="true" t="shared" si="13" ref="E362:R362">E357+E359</f>
        <v>-3698159.30400002</v>
      </c>
      <c r="F362" s="101">
        <f t="shared" si="13"/>
        <v>4109930.8720000014</v>
      </c>
      <c r="G362" s="101">
        <f t="shared" si="13"/>
        <v>1758396.8410000019</v>
      </c>
      <c r="H362" s="166">
        <f t="shared" si="13"/>
        <v>155703.53099999964</v>
      </c>
      <c r="I362" s="166">
        <f t="shared" si="13"/>
        <v>631794.9130000001</v>
      </c>
      <c r="J362" s="166">
        <f t="shared" si="13"/>
        <v>-356870.57700000005</v>
      </c>
      <c r="K362" s="166">
        <f t="shared" si="13"/>
        <v>-61502.78400000003</v>
      </c>
      <c r="L362" s="166">
        <f t="shared" si="13"/>
        <v>374421.324</v>
      </c>
      <c r="M362" s="166">
        <f t="shared" si="13"/>
        <v>13698.70699999998</v>
      </c>
      <c r="N362" s="166">
        <f t="shared" si="13"/>
        <v>15147.667000000016</v>
      </c>
      <c r="O362" s="166">
        <f t="shared" si="13"/>
        <v>-582572.876</v>
      </c>
      <c r="P362" s="101">
        <f t="shared" si="13"/>
        <v>189819.9049999998</v>
      </c>
      <c r="Q362" s="101">
        <f t="shared" si="13"/>
        <v>0</v>
      </c>
      <c r="R362" s="101">
        <f t="shared" si="13"/>
        <v>2359988.313999951</v>
      </c>
      <c r="S362" s="167"/>
    </row>
    <row r="363" spans="2:18" ht="12.75" customHeight="1">
      <c r="B363" s="148"/>
      <c r="C363" s="150"/>
      <c r="D363" s="157"/>
      <c r="E363" s="117"/>
      <c r="F363" s="117"/>
      <c r="G363" s="117"/>
      <c r="P363" s="117"/>
      <c r="Q363" s="117"/>
      <c r="R363" s="117"/>
    </row>
    <row r="364" spans="1:19" ht="12.75" customHeight="1">
      <c r="A364" s="167"/>
      <c r="B364" s="160" t="s">
        <v>16</v>
      </c>
      <c r="C364" s="161"/>
      <c r="D364" s="72"/>
      <c r="E364" s="117"/>
      <c r="F364" s="117"/>
      <c r="G364" s="117"/>
      <c r="H364" s="167"/>
      <c r="I364" s="167"/>
      <c r="J364" s="167"/>
      <c r="K364" s="167"/>
      <c r="L364" s="167"/>
      <c r="M364" s="167"/>
      <c r="N364" s="167"/>
      <c r="O364" s="167"/>
      <c r="P364" s="117"/>
      <c r="Q364" s="117"/>
      <c r="R364" s="117"/>
      <c r="S364" s="167"/>
    </row>
    <row r="365" spans="1:19" ht="12.75" customHeight="1">
      <c r="A365" s="150" t="s">
        <v>17</v>
      </c>
      <c r="B365" s="148"/>
      <c r="C365" s="150" t="s">
        <v>18</v>
      </c>
      <c r="D365" s="157"/>
      <c r="E365" s="117">
        <v>0</v>
      </c>
      <c r="F365" s="117">
        <v>0</v>
      </c>
      <c r="G365" s="117">
        <v>0</v>
      </c>
      <c r="H365" s="150">
        <v>0</v>
      </c>
      <c r="I365" s="150">
        <v>0</v>
      </c>
      <c r="J365" s="150">
        <v>0</v>
      </c>
      <c r="K365" s="150">
        <v>0</v>
      </c>
      <c r="L365" s="150">
        <v>0</v>
      </c>
      <c r="M365" s="150">
        <v>0</v>
      </c>
      <c r="N365" s="150">
        <v>0</v>
      </c>
      <c r="O365" s="150">
        <v>0</v>
      </c>
      <c r="P365" s="117">
        <v>0</v>
      </c>
      <c r="Q365" s="117">
        <v>0</v>
      </c>
      <c r="R365" s="117">
        <f aca="true" t="shared" si="14" ref="R365:R372">E365+F365+G365+P365+Q365</f>
        <v>0</v>
      </c>
      <c r="S365" s="150"/>
    </row>
    <row r="366" spans="1:19" s="122" customFormat="1" ht="12.75" hidden="1" outlineLevel="1">
      <c r="A366" s="120" t="s">
        <v>19</v>
      </c>
      <c r="B366" s="121"/>
      <c r="C366" s="121" t="s">
        <v>20</v>
      </c>
      <c r="D366" s="121" t="s">
        <v>21</v>
      </c>
      <c r="E366" s="121">
        <v>184729.77</v>
      </c>
      <c r="F366" s="121">
        <v>0</v>
      </c>
      <c r="G366" s="121"/>
      <c r="H366" s="120">
        <v>0</v>
      </c>
      <c r="I366" s="120">
        <v>0</v>
      </c>
      <c r="J366" s="120">
        <v>0</v>
      </c>
      <c r="K366" s="120">
        <v>0</v>
      </c>
      <c r="L366" s="120">
        <v>0</v>
      </c>
      <c r="M366" s="120">
        <v>0</v>
      </c>
      <c r="N366" s="120">
        <v>0</v>
      </c>
      <c r="O366" s="120">
        <v>0</v>
      </c>
      <c r="P366" s="121">
        <v>0</v>
      </c>
      <c r="Q366" s="121">
        <v>0</v>
      </c>
      <c r="R366" s="121">
        <f t="shared" si="14"/>
        <v>184729.77</v>
      </c>
      <c r="S366" s="120"/>
    </row>
    <row r="367" spans="1:19" s="122" customFormat="1" ht="12.75" hidden="1" outlineLevel="1">
      <c r="A367" s="120" t="s">
        <v>22</v>
      </c>
      <c r="B367" s="121"/>
      <c r="C367" s="121" t="s">
        <v>23</v>
      </c>
      <c r="D367" s="121" t="s">
        <v>24</v>
      </c>
      <c r="E367" s="121">
        <v>485462.06</v>
      </c>
      <c r="F367" s="121">
        <v>0</v>
      </c>
      <c r="G367" s="121"/>
      <c r="H367" s="120">
        <v>0</v>
      </c>
      <c r="I367" s="120">
        <v>0</v>
      </c>
      <c r="J367" s="120">
        <v>0</v>
      </c>
      <c r="K367" s="120">
        <v>0</v>
      </c>
      <c r="L367" s="120">
        <v>0</v>
      </c>
      <c r="M367" s="120">
        <v>0</v>
      </c>
      <c r="N367" s="120">
        <v>0</v>
      </c>
      <c r="O367" s="120">
        <v>0</v>
      </c>
      <c r="P367" s="121">
        <v>0</v>
      </c>
      <c r="Q367" s="121">
        <v>0</v>
      </c>
      <c r="R367" s="121">
        <f t="shared" si="14"/>
        <v>485462.06</v>
      </c>
      <c r="S367" s="120"/>
    </row>
    <row r="368" spans="1:19" ht="12.75" customHeight="1" collapsed="1">
      <c r="A368" s="150" t="s">
        <v>25</v>
      </c>
      <c r="B368" s="148"/>
      <c r="C368" s="150" t="s">
        <v>26</v>
      </c>
      <c r="D368" s="157"/>
      <c r="E368" s="117">
        <v>670191.83</v>
      </c>
      <c r="F368" s="117">
        <v>0</v>
      </c>
      <c r="G368" s="117">
        <v>0</v>
      </c>
      <c r="H368" s="150">
        <v>0</v>
      </c>
      <c r="I368" s="150">
        <v>0</v>
      </c>
      <c r="J368" s="150">
        <v>0</v>
      </c>
      <c r="K368" s="150">
        <v>0</v>
      </c>
      <c r="L368" s="150">
        <v>0</v>
      </c>
      <c r="M368" s="150">
        <v>0</v>
      </c>
      <c r="N368" s="150">
        <v>0</v>
      </c>
      <c r="O368" s="150">
        <v>0</v>
      </c>
      <c r="P368" s="117">
        <v>0</v>
      </c>
      <c r="Q368" s="117">
        <v>0</v>
      </c>
      <c r="R368" s="117">
        <f t="shared" si="14"/>
        <v>670191.83</v>
      </c>
      <c r="S368" s="150"/>
    </row>
    <row r="369" spans="1:19" ht="12.75" customHeight="1">
      <c r="A369" s="150" t="s">
        <v>27</v>
      </c>
      <c r="B369" s="148"/>
      <c r="C369" s="150" t="s">
        <v>3725</v>
      </c>
      <c r="D369" s="157"/>
      <c r="E369" s="117">
        <v>168325.25</v>
      </c>
      <c r="F369" s="117">
        <v>9865</v>
      </c>
      <c r="G369" s="117">
        <v>0</v>
      </c>
      <c r="H369" s="150">
        <v>0</v>
      </c>
      <c r="I369" s="150">
        <v>0</v>
      </c>
      <c r="J369" s="150">
        <v>0</v>
      </c>
      <c r="K369" s="150">
        <v>0</v>
      </c>
      <c r="L369" s="150">
        <v>0</v>
      </c>
      <c r="M369" s="150">
        <v>0</v>
      </c>
      <c r="N369" s="150">
        <v>0</v>
      </c>
      <c r="O369" s="150">
        <v>7500</v>
      </c>
      <c r="P369" s="117">
        <v>7500</v>
      </c>
      <c r="Q369" s="117">
        <v>0</v>
      </c>
      <c r="R369" s="117">
        <f t="shared" si="14"/>
        <v>185690.25</v>
      </c>
      <c r="S369" s="150"/>
    </row>
    <row r="370" spans="1:19" ht="12.75" customHeight="1">
      <c r="A370" s="150" t="s">
        <v>28</v>
      </c>
      <c r="B370" s="148"/>
      <c r="C370" s="150" t="s">
        <v>3726</v>
      </c>
      <c r="D370" s="157"/>
      <c r="E370" s="117">
        <v>0</v>
      </c>
      <c r="F370" s="117">
        <v>0</v>
      </c>
      <c r="G370" s="117">
        <v>0</v>
      </c>
      <c r="H370" s="150">
        <v>0</v>
      </c>
      <c r="I370" s="150">
        <v>0</v>
      </c>
      <c r="J370" s="150">
        <v>0</v>
      </c>
      <c r="K370" s="150">
        <v>0</v>
      </c>
      <c r="L370" s="150">
        <v>0</v>
      </c>
      <c r="M370" s="150">
        <v>0</v>
      </c>
      <c r="N370" s="150">
        <v>0</v>
      </c>
      <c r="O370" s="150">
        <v>0</v>
      </c>
      <c r="P370" s="117">
        <v>0</v>
      </c>
      <c r="Q370" s="117">
        <v>0</v>
      </c>
      <c r="R370" s="117">
        <f t="shared" si="14"/>
        <v>0</v>
      </c>
      <c r="S370" s="150"/>
    </row>
    <row r="371" spans="1:19" ht="12.75" customHeight="1">
      <c r="A371" s="150" t="s">
        <v>29</v>
      </c>
      <c r="B371" s="148"/>
      <c r="C371" s="150" t="s">
        <v>30</v>
      </c>
      <c r="D371" s="157"/>
      <c r="E371" s="117">
        <v>0</v>
      </c>
      <c r="F371" s="117">
        <v>0</v>
      </c>
      <c r="G371" s="117">
        <v>0</v>
      </c>
      <c r="H371" s="150">
        <v>0</v>
      </c>
      <c r="I371" s="150">
        <v>0</v>
      </c>
      <c r="J371" s="150">
        <v>0</v>
      </c>
      <c r="K371" s="150">
        <v>0</v>
      </c>
      <c r="L371" s="150">
        <v>0</v>
      </c>
      <c r="M371" s="150">
        <v>0</v>
      </c>
      <c r="N371" s="150">
        <v>0</v>
      </c>
      <c r="O371" s="150">
        <v>0</v>
      </c>
      <c r="P371" s="117">
        <v>0</v>
      </c>
      <c r="Q371" s="117">
        <v>0</v>
      </c>
      <c r="R371" s="117">
        <f t="shared" si="14"/>
        <v>0</v>
      </c>
      <c r="S371" s="150"/>
    </row>
    <row r="372" spans="1:19" ht="12.75" customHeight="1">
      <c r="A372" s="150" t="s">
        <v>31</v>
      </c>
      <c r="B372" s="148"/>
      <c r="C372" s="150" t="s">
        <v>32</v>
      </c>
      <c r="D372" s="157"/>
      <c r="E372" s="117">
        <v>0</v>
      </c>
      <c r="F372" s="117">
        <v>0</v>
      </c>
      <c r="G372" s="117">
        <v>0</v>
      </c>
      <c r="H372" s="150">
        <v>0</v>
      </c>
      <c r="I372" s="150">
        <v>0</v>
      </c>
      <c r="J372" s="150">
        <v>0</v>
      </c>
      <c r="K372" s="150">
        <v>0</v>
      </c>
      <c r="L372" s="150">
        <v>0</v>
      </c>
      <c r="M372" s="150">
        <v>0</v>
      </c>
      <c r="N372" s="150">
        <v>0</v>
      </c>
      <c r="O372" s="150">
        <v>0</v>
      </c>
      <c r="P372" s="117">
        <v>0</v>
      </c>
      <c r="Q372" s="117">
        <v>0</v>
      </c>
      <c r="R372" s="117">
        <f t="shared" si="14"/>
        <v>0</v>
      </c>
      <c r="S372" s="150"/>
    </row>
    <row r="373" spans="2:18" ht="12.75" customHeight="1">
      <c r="B373" s="148"/>
      <c r="C373" s="150"/>
      <c r="D373" s="157"/>
      <c r="E373" s="117"/>
      <c r="F373" s="117"/>
      <c r="G373" s="117"/>
      <c r="P373" s="117"/>
      <c r="Q373" s="117"/>
      <c r="R373" s="117"/>
    </row>
    <row r="374" spans="1:19" s="168" customFormat="1" ht="12.75" customHeight="1">
      <c r="A374" s="166"/>
      <c r="B374" s="160"/>
      <c r="C374" s="161" t="s">
        <v>3049</v>
      </c>
      <c r="D374" s="72"/>
      <c r="E374" s="101"/>
      <c r="F374" s="101"/>
      <c r="G374" s="101"/>
      <c r="H374" s="166"/>
      <c r="I374" s="166"/>
      <c r="J374" s="166"/>
      <c r="K374" s="166"/>
      <c r="L374" s="166"/>
      <c r="M374" s="166"/>
      <c r="N374" s="166"/>
      <c r="O374" s="166"/>
      <c r="P374" s="101"/>
      <c r="Q374" s="101"/>
      <c r="R374" s="101"/>
      <c r="S374" s="166"/>
    </row>
    <row r="375" spans="1:19" s="168" customFormat="1" ht="12.75" customHeight="1">
      <c r="A375" s="166" t="s">
        <v>3785</v>
      </c>
      <c r="B375" s="160"/>
      <c r="C375" s="161" t="s">
        <v>3050</v>
      </c>
      <c r="D375" s="72"/>
      <c r="E375" s="101">
        <f aca="true" t="shared" si="15" ref="E375:R375">E372+E370+E369+E368+E365+E371</f>
        <v>838517.08</v>
      </c>
      <c r="F375" s="101">
        <f t="shared" si="15"/>
        <v>9865</v>
      </c>
      <c r="G375" s="101">
        <f t="shared" si="15"/>
        <v>0</v>
      </c>
      <c r="H375" s="166">
        <f t="shared" si="15"/>
        <v>0</v>
      </c>
      <c r="I375" s="166">
        <f t="shared" si="15"/>
        <v>0</v>
      </c>
      <c r="J375" s="166">
        <f t="shared" si="15"/>
        <v>0</v>
      </c>
      <c r="K375" s="166">
        <f t="shared" si="15"/>
        <v>0</v>
      </c>
      <c r="L375" s="166">
        <f t="shared" si="15"/>
        <v>0</v>
      </c>
      <c r="M375" s="166">
        <f t="shared" si="15"/>
        <v>0</v>
      </c>
      <c r="N375" s="166">
        <f t="shared" si="15"/>
        <v>0</v>
      </c>
      <c r="O375" s="166">
        <f t="shared" si="15"/>
        <v>7500</v>
      </c>
      <c r="P375" s="101">
        <f t="shared" si="15"/>
        <v>7500</v>
      </c>
      <c r="Q375" s="101">
        <f t="shared" si="15"/>
        <v>0</v>
      </c>
      <c r="R375" s="101">
        <f t="shared" si="15"/>
        <v>855882.08</v>
      </c>
      <c r="S375" s="166"/>
    </row>
    <row r="376" spans="2:18" ht="12.75" customHeight="1">
      <c r="B376" s="148"/>
      <c r="C376" s="150"/>
      <c r="D376" s="157"/>
      <c r="E376" s="117"/>
      <c r="F376" s="117"/>
      <c r="G376" s="117"/>
      <c r="P376" s="117"/>
      <c r="Q376" s="117"/>
      <c r="R376" s="117"/>
    </row>
    <row r="377" spans="1:19" ht="12.75" customHeight="1">
      <c r="A377" s="150"/>
      <c r="B377" s="148"/>
      <c r="C377" s="150" t="s">
        <v>3718</v>
      </c>
      <c r="D377" s="157"/>
      <c r="E377" s="117">
        <v>0</v>
      </c>
      <c r="F377" s="117">
        <v>0</v>
      </c>
      <c r="G377" s="117">
        <v>0</v>
      </c>
      <c r="H377" s="150"/>
      <c r="I377" s="150"/>
      <c r="J377" s="150"/>
      <c r="K377" s="150"/>
      <c r="L377" s="150"/>
      <c r="M377" s="150"/>
      <c r="N377" s="150"/>
      <c r="O377" s="150"/>
      <c r="P377" s="117">
        <v>0</v>
      </c>
      <c r="Q377" s="117">
        <v>0</v>
      </c>
      <c r="R377" s="117">
        <f>E377+F377+G377+P377+Q377</f>
        <v>0</v>
      </c>
      <c r="S377" s="150"/>
    </row>
    <row r="378" spans="1:19" ht="12.75" customHeight="1">
      <c r="A378" s="150"/>
      <c r="B378" s="148"/>
      <c r="C378" s="150" t="s">
        <v>33</v>
      </c>
      <c r="D378" s="157"/>
      <c r="E378" s="117">
        <v>0</v>
      </c>
      <c r="F378" s="117">
        <v>0</v>
      </c>
      <c r="G378" s="117">
        <v>0</v>
      </c>
      <c r="H378" s="150"/>
      <c r="I378" s="150"/>
      <c r="J378" s="150"/>
      <c r="K378" s="150"/>
      <c r="L378" s="150"/>
      <c r="M378" s="150"/>
      <c r="N378" s="150"/>
      <c r="O378" s="150"/>
      <c r="P378" s="117">
        <v>0</v>
      </c>
      <c r="Q378" s="117">
        <v>0</v>
      </c>
      <c r="R378" s="117">
        <f>E378+F378+G378+P378+Q378</f>
        <v>0</v>
      </c>
      <c r="S378" s="150"/>
    </row>
    <row r="379" spans="1:19" ht="12.75" customHeight="1">
      <c r="A379" s="169"/>
      <c r="B379" s="148"/>
      <c r="C379" s="150" t="s">
        <v>34</v>
      </c>
      <c r="D379" s="157"/>
      <c r="E379" s="117">
        <v>0</v>
      </c>
      <c r="F379" s="117">
        <v>0</v>
      </c>
      <c r="G379" s="117">
        <v>0</v>
      </c>
      <c r="H379" s="169"/>
      <c r="I379" s="169"/>
      <c r="J379" s="169"/>
      <c r="K379" s="169"/>
      <c r="L379" s="169"/>
      <c r="M379" s="169"/>
      <c r="N379" s="169"/>
      <c r="O379" s="169"/>
      <c r="P379" s="117">
        <v>0</v>
      </c>
      <c r="Q379" s="117">
        <v>0</v>
      </c>
      <c r="R379" s="117">
        <f>E379+F379+G379+P379+Q379</f>
        <v>0</v>
      </c>
      <c r="S379" s="169"/>
    </row>
    <row r="380" spans="1:19" ht="12.75" customHeight="1">
      <c r="A380" s="169" t="s">
        <v>3783</v>
      </c>
      <c r="B380" s="148"/>
      <c r="C380" s="150" t="s">
        <v>3730</v>
      </c>
      <c r="D380" s="157"/>
      <c r="E380" s="117">
        <v>0</v>
      </c>
      <c r="F380" s="117">
        <v>0</v>
      </c>
      <c r="G380" s="117">
        <v>0</v>
      </c>
      <c r="H380" s="169"/>
      <c r="I380" s="169"/>
      <c r="J380" s="169"/>
      <c r="K380" s="169"/>
      <c r="L380" s="169"/>
      <c r="M380" s="169"/>
      <c r="N380" s="169"/>
      <c r="O380" s="169"/>
      <c r="P380" s="117">
        <v>0</v>
      </c>
      <c r="Q380" s="117">
        <v>0</v>
      </c>
      <c r="R380" s="117">
        <f>E380+F380+G380+P380+Q380</f>
        <v>0</v>
      </c>
      <c r="S380" s="169"/>
    </row>
    <row r="381" spans="1:19" s="151" customFormat="1" ht="12.75" customHeight="1">
      <c r="A381" s="170"/>
      <c r="B381" s="160"/>
      <c r="C381" s="161"/>
      <c r="D381" s="72"/>
      <c r="E381" s="101"/>
      <c r="F381" s="101"/>
      <c r="G381" s="101"/>
      <c r="H381" s="170"/>
      <c r="I381" s="170"/>
      <c r="J381" s="170"/>
      <c r="K381" s="170"/>
      <c r="L381" s="170"/>
      <c r="M381" s="170"/>
      <c r="N381" s="170"/>
      <c r="O381" s="170"/>
      <c r="P381" s="101"/>
      <c r="Q381" s="101"/>
      <c r="R381" s="101"/>
      <c r="S381" s="170"/>
    </row>
    <row r="382" spans="1:19" s="151" customFormat="1" ht="12.75" customHeight="1">
      <c r="A382" s="170"/>
      <c r="B382" s="160"/>
      <c r="C382" s="154" t="s">
        <v>35</v>
      </c>
      <c r="D382" s="72"/>
      <c r="E382" s="101"/>
      <c r="F382" s="101"/>
      <c r="G382" s="101"/>
      <c r="H382" s="170"/>
      <c r="I382" s="170"/>
      <c r="J382" s="170"/>
      <c r="K382" s="170"/>
      <c r="L382" s="170"/>
      <c r="M382" s="170"/>
      <c r="N382" s="170"/>
      <c r="O382" s="170"/>
      <c r="P382" s="101"/>
      <c r="Q382" s="101"/>
      <c r="R382" s="101"/>
      <c r="S382" s="170"/>
    </row>
    <row r="383" spans="1:19" s="168" customFormat="1" ht="12.75" customHeight="1">
      <c r="A383" s="166" t="s">
        <v>3785</v>
      </c>
      <c r="B383" s="160"/>
      <c r="C383" s="154" t="s">
        <v>36</v>
      </c>
      <c r="D383" s="62"/>
      <c r="E383" s="101">
        <f aca="true" t="shared" si="16" ref="E383:R383">E375+E377+E378+E379+E380</f>
        <v>838517.08</v>
      </c>
      <c r="F383" s="101">
        <f t="shared" si="16"/>
        <v>9865</v>
      </c>
      <c r="G383" s="101">
        <f t="shared" si="16"/>
        <v>0</v>
      </c>
      <c r="H383" s="166">
        <f t="shared" si="16"/>
        <v>0</v>
      </c>
      <c r="I383" s="166">
        <f t="shared" si="16"/>
        <v>0</v>
      </c>
      <c r="J383" s="166">
        <f t="shared" si="16"/>
        <v>0</v>
      </c>
      <c r="K383" s="166">
        <f t="shared" si="16"/>
        <v>0</v>
      </c>
      <c r="L383" s="166">
        <f t="shared" si="16"/>
        <v>0</v>
      </c>
      <c r="M383" s="166">
        <f t="shared" si="16"/>
        <v>0</v>
      </c>
      <c r="N383" s="166">
        <f t="shared" si="16"/>
        <v>0</v>
      </c>
      <c r="O383" s="166">
        <f t="shared" si="16"/>
        <v>7500</v>
      </c>
      <c r="P383" s="101">
        <f t="shared" si="16"/>
        <v>7500</v>
      </c>
      <c r="Q383" s="101">
        <f t="shared" si="16"/>
        <v>0</v>
      </c>
      <c r="R383" s="101">
        <f t="shared" si="16"/>
        <v>855882.08</v>
      </c>
      <c r="S383" s="166"/>
    </row>
    <row r="384" spans="1:19" ht="12.75" customHeight="1">
      <c r="A384" s="167"/>
      <c r="B384" s="148"/>
      <c r="C384" s="150"/>
      <c r="D384" s="157"/>
      <c r="E384" s="117"/>
      <c r="F384" s="117"/>
      <c r="G384" s="117"/>
      <c r="H384" s="167"/>
      <c r="I384" s="167"/>
      <c r="J384" s="167"/>
      <c r="K384" s="167"/>
      <c r="L384" s="167"/>
      <c r="M384" s="167"/>
      <c r="N384" s="167"/>
      <c r="O384" s="167"/>
      <c r="P384" s="117"/>
      <c r="Q384" s="117"/>
      <c r="R384" s="117"/>
      <c r="S384" s="167"/>
    </row>
    <row r="385" spans="1:19" s="122" customFormat="1" ht="12.75" hidden="1" outlineLevel="1">
      <c r="A385" s="120" t="s">
        <v>37</v>
      </c>
      <c r="B385" s="121"/>
      <c r="C385" s="121" t="s">
        <v>38</v>
      </c>
      <c r="D385" s="121" t="s">
        <v>39</v>
      </c>
      <c r="E385" s="121">
        <v>-578160</v>
      </c>
      <c r="F385" s="121">
        <v>0</v>
      </c>
      <c r="G385" s="121"/>
      <c r="H385" s="120">
        <v>0</v>
      </c>
      <c r="I385" s="120">
        <v>0</v>
      </c>
      <c r="J385" s="120">
        <v>0</v>
      </c>
      <c r="K385" s="120">
        <v>0</v>
      </c>
      <c r="L385" s="120">
        <v>0</v>
      </c>
      <c r="M385" s="120">
        <v>0</v>
      </c>
      <c r="N385" s="120">
        <v>0</v>
      </c>
      <c r="O385" s="120">
        <v>0</v>
      </c>
      <c r="P385" s="121">
        <v>0</v>
      </c>
      <c r="Q385" s="121">
        <v>0</v>
      </c>
      <c r="R385" s="121">
        <f aca="true" t="shared" si="17" ref="R385:R403">E385+F385+G385+P385+Q385</f>
        <v>-578160</v>
      </c>
      <c r="S385" s="120"/>
    </row>
    <row r="386" spans="1:19" s="122" customFormat="1" ht="12.75" hidden="1" outlineLevel="1">
      <c r="A386" s="120" t="s">
        <v>40</v>
      </c>
      <c r="B386" s="121"/>
      <c r="C386" s="121" t="s">
        <v>41</v>
      </c>
      <c r="D386" s="121" t="s">
        <v>42</v>
      </c>
      <c r="E386" s="121">
        <v>-2020</v>
      </c>
      <c r="F386" s="121">
        <v>0</v>
      </c>
      <c r="G386" s="121"/>
      <c r="H386" s="120">
        <v>0</v>
      </c>
      <c r="I386" s="120">
        <v>0</v>
      </c>
      <c r="J386" s="120">
        <v>0</v>
      </c>
      <c r="K386" s="120">
        <v>0</v>
      </c>
      <c r="L386" s="120">
        <v>0</v>
      </c>
      <c r="M386" s="120">
        <v>0</v>
      </c>
      <c r="N386" s="120">
        <v>0</v>
      </c>
      <c r="O386" s="120">
        <v>0</v>
      </c>
      <c r="P386" s="121">
        <v>0</v>
      </c>
      <c r="Q386" s="121">
        <v>0</v>
      </c>
      <c r="R386" s="121">
        <f t="shared" si="17"/>
        <v>-2020</v>
      </c>
      <c r="S386" s="120"/>
    </row>
    <row r="387" spans="1:19" ht="12.75" customHeight="1" collapsed="1">
      <c r="A387" s="150" t="s">
        <v>43</v>
      </c>
      <c r="B387" s="148"/>
      <c r="C387" s="150" t="s">
        <v>3731</v>
      </c>
      <c r="D387" s="157"/>
      <c r="E387" s="117">
        <v>-580180</v>
      </c>
      <c r="F387" s="117">
        <v>0</v>
      </c>
      <c r="G387" s="117">
        <v>-2604046</v>
      </c>
      <c r="H387" s="150">
        <v>0</v>
      </c>
      <c r="I387" s="150">
        <v>0</v>
      </c>
      <c r="J387" s="150">
        <v>0</v>
      </c>
      <c r="K387" s="150">
        <v>0</v>
      </c>
      <c r="L387" s="150">
        <v>0</v>
      </c>
      <c r="M387" s="150">
        <v>0</v>
      </c>
      <c r="N387" s="150">
        <v>0</v>
      </c>
      <c r="O387" s="150">
        <v>0</v>
      </c>
      <c r="P387" s="117">
        <v>0</v>
      </c>
      <c r="Q387" s="117">
        <v>0</v>
      </c>
      <c r="R387" s="117">
        <f t="shared" si="17"/>
        <v>-3184226</v>
      </c>
      <c r="S387" s="150"/>
    </row>
    <row r="388" spans="1:19" s="122" customFormat="1" ht="12.75" hidden="1" outlineLevel="1">
      <c r="A388" s="120" t="s">
        <v>44</v>
      </c>
      <c r="B388" s="121"/>
      <c r="C388" s="121" t="s">
        <v>45</v>
      </c>
      <c r="D388" s="121" t="s">
        <v>46</v>
      </c>
      <c r="E388" s="121">
        <v>35250</v>
      </c>
      <c r="F388" s="121">
        <v>2500</v>
      </c>
      <c r="G388" s="121"/>
      <c r="H388" s="120">
        <v>-200000</v>
      </c>
      <c r="I388" s="120">
        <v>-400000</v>
      </c>
      <c r="J388" s="120">
        <v>0</v>
      </c>
      <c r="K388" s="120">
        <v>0</v>
      </c>
      <c r="L388" s="120">
        <v>0</v>
      </c>
      <c r="M388" s="120">
        <v>0</v>
      </c>
      <c r="N388" s="120">
        <v>0</v>
      </c>
      <c r="O388" s="120">
        <v>0</v>
      </c>
      <c r="P388" s="121">
        <v>-600000</v>
      </c>
      <c r="Q388" s="121">
        <v>0</v>
      </c>
      <c r="R388" s="121">
        <f t="shared" si="17"/>
        <v>-562250</v>
      </c>
      <c r="S388" s="120"/>
    </row>
    <row r="389" spans="1:19" s="122" customFormat="1" ht="12.75" hidden="1" outlineLevel="1">
      <c r="A389" s="120" t="s">
        <v>47</v>
      </c>
      <c r="B389" s="121"/>
      <c r="C389" s="121" t="s">
        <v>48</v>
      </c>
      <c r="D389" s="121" t="s">
        <v>49</v>
      </c>
      <c r="E389" s="121">
        <v>75000</v>
      </c>
      <c r="F389" s="121">
        <v>0</v>
      </c>
      <c r="G389" s="121"/>
      <c r="H389" s="120">
        <v>0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1">
        <v>0</v>
      </c>
      <c r="Q389" s="121">
        <v>0</v>
      </c>
      <c r="R389" s="121">
        <f t="shared" si="17"/>
        <v>75000</v>
      </c>
      <c r="S389" s="120"/>
    </row>
    <row r="390" spans="1:19" s="122" customFormat="1" ht="12.75" hidden="1" outlineLevel="1">
      <c r="A390" s="120" t="s">
        <v>50</v>
      </c>
      <c r="B390" s="121"/>
      <c r="C390" s="121" t="s">
        <v>51</v>
      </c>
      <c r="D390" s="121" t="s">
        <v>52</v>
      </c>
      <c r="E390" s="121">
        <v>-120319.75</v>
      </c>
      <c r="F390" s="121">
        <v>-743.5</v>
      </c>
      <c r="G390" s="121"/>
      <c r="H390" s="120">
        <v>0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1">
        <v>0</v>
      </c>
      <c r="Q390" s="121">
        <v>0</v>
      </c>
      <c r="R390" s="121">
        <f t="shared" si="17"/>
        <v>-121063.25</v>
      </c>
      <c r="S390" s="120"/>
    </row>
    <row r="391" spans="1:19" s="122" customFormat="1" ht="12.75" hidden="1" outlineLevel="1">
      <c r="A391" s="120" t="s">
        <v>53</v>
      </c>
      <c r="B391" s="121"/>
      <c r="C391" s="121" t="s">
        <v>54</v>
      </c>
      <c r="D391" s="121" t="s">
        <v>55</v>
      </c>
      <c r="E391" s="121">
        <v>0</v>
      </c>
      <c r="F391" s="121">
        <v>0</v>
      </c>
      <c r="G391" s="121"/>
      <c r="H391" s="120">
        <v>0</v>
      </c>
      <c r="I391" s="120">
        <v>0</v>
      </c>
      <c r="J391" s="120">
        <v>0</v>
      </c>
      <c r="K391" s="120">
        <v>-44388</v>
      </c>
      <c r="L391" s="120">
        <v>0</v>
      </c>
      <c r="M391" s="120">
        <v>0</v>
      </c>
      <c r="N391" s="120">
        <v>0</v>
      </c>
      <c r="O391" s="120">
        <v>0</v>
      </c>
      <c r="P391" s="121">
        <v>-44388</v>
      </c>
      <c r="Q391" s="121">
        <v>0</v>
      </c>
      <c r="R391" s="121">
        <f t="shared" si="17"/>
        <v>-44388</v>
      </c>
      <c r="S391" s="120"/>
    </row>
    <row r="392" spans="1:19" s="122" customFormat="1" ht="12.75" hidden="1" outlineLevel="1">
      <c r="A392" s="120" t="s">
        <v>56</v>
      </c>
      <c r="B392" s="121"/>
      <c r="C392" s="121" t="s">
        <v>57</v>
      </c>
      <c r="D392" s="121" t="s">
        <v>58</v>
      </c>
      <c r="E392" s="121">
        <v>-80004</v>
      </c>
      <c r="F392" s="121">
        <v>0</v>
      </c>
      <c r="G392" s="121"/>
      <c r="H392" s="120">
        <v>0</v>
      </c>
      <c r="I392" s="120">
        <v>0</v>
      </c>
      <c r="J392" s="120">
        <v>0</v>
      </c>
      <c r="K392" s="120">
        <v>0</v>
      </c>
      <c r="L392" s="120">
        <v>0</v>
      </c>
      <c r="M392" s="120">
        <v>0</v>
      </c>
      <c r="N392" s="120">
        <v>0</v>
      </c>
      <c r="O392" s="120">
        <v>0</v>
      </c>
      <c r="P392" s="121">
        <v>0</v>
      </c>
      <c r="Q392" s="121">
        <v>0</v>
      </c>
      <c r="R392" s="121">
        <f t="shared" si="17"/>
        <v>-80004</v>
      </c>
      <c r="S392" s="120"/>
    </row>
    <row r="393" spans="1:19" s="122" customFormat="1" ht="12.75" hidden="1" outlineLevel="1">
      <c r="A393" s="120" t="s">
        <v>59</v>
      </c>
      <c r="B393" s="121"/>
      <c r="C393" s="121" t="s">
        <v>60</v>
      </c>
      <c r="D393" s="121" t="s">
        <v>61</v>
      </c>
      <c r="E393" s="121">
        <v>-240000</v>
      </c>
      <c r="F393" s="121">
        <v>0</v>
      </c>
      <c r="G393" s="121"/>
      <c r="H393" s="120">
        <v>0</v>
      </c>
      <c r="I393" s="120">
        <v>0</v>
      </c>
      <c r="J393" s="120">
        <v>0</v>
      </c>
      <c r="K393" s="120">
        <v>0</v>
      </c>
      <c r="L393" s="120">
        <v>0</v>
      </c>
      <c r="M393" s="120">
        <v>0</v>
      </c>
      <c r="N393" s="120">
        <v>0</v>
      </c>
      <c r="O393" s="120">
        <v>0</v>
      </c>
      <c r="P393" s="121">
        <v>0</v>
      </c>
      <c r="Q393" s="121">
        <v>0</v>
      </c>
      <c r="R393" s="121">
        <f t="shared" si="17"/>
        <v>-240000</v>
      </c>
      <c r="S393" s="120"/>
    </row>
    <row r="394" spans="1:19" ht="12.75" customHeight="1" collapsed="1">
      <c r="A394" s="150" t="s">
        <v>62</v>
      </c>
      <c r="B394" s="148"/>
      <c r="C394" s="150" t="s">
        <v>3732</v>
      </c>
      <c r="D394" s="157"/>
      <c r="E394" s="117">
        <v>-330073.75</v>
      </c>
      <c r="F394" s="117">
        <v>1756.5</v>
      </c>
      <c r="G394" s="117">
        <v>-231516</v>
      </c>
      <c r="H394" s="150">
        <v>-200000</v>
      </c>
      <c r="I394" s="150">
        <v>-400000</v>
      </c>
      <c r="J394" s="150">
        <v>0</v>
      </c>
      <c r="K394" s="150">
        <v>-44388</v>
      </c>
      <c r="L394" s="150">
        <v>0</v>
      </c>
      <c r="M394" s="150">
        <v>0</v>
      </c>
      <c r="N394" s="150">
        <v>0</v>
      </c>
      <c r="O394" s="150">
        <v>0</v>
      </c>
      <c r="P394" s="117">
        <v>-644388</v>
      </c>
      <c r="Q394" s="117">
        <v>0</v>
      </c>
      <c r="R394" s="117">
        <f t="shared" si="17"/>
        <v>-1204221.25</v>
      </c>
      <c r="S394" s="150"/>
    </row>
    <row r="395" spans="1:19" s="122" customFormat="1" ht="12.75" hidden="1" outlineLevel="1">
      <c r="A395" s="120" t="s">
        <v>63</v>
      </c>
      <c r="B395" s="121"/>
      <c r="C395" s="121" t="s">
        <v>64</v>
      </c>
      <c r="D395" s="121" t="s">
        <v>65</v>
      </c>
      <c r="E395" s="121">
        <v>4647615.07</v>
      </c>
      <c r="F395" s="121">
        <v>-4458398.13</v>
      </c>
      <c r="G395" s="121"/>
      <c r="H395" s="120">
        <v>-142000</v>
      </c>
      <c r="I395" s="120">
        <v>0</v>
      </c>
      <c r="J395" s="120">
        <v>66794</v>
      </c>
      <c r="K395" s="120">
        <v>0</v>
      </c>
      <c r="L395" s="120">
        <v>-232315.52</v>
      </c>
      <c r="M395" s="120">
        <v>0</v>
      </c>
      <c r="N395" s="120">
        <v>0</v>
      </c>
      <c r="O395" s="120">
        <v>446667.83</v>
      </c>
      <c r="P395" s="121">
        <v>139146.31</v>
      </c>
      <c r="Q395" s="121">
        <v>0</v>
      </c>
      <c r="R395" s="121">
        <f t="shared" si="17"/>
        <v>328363.2500000004</v>
      </c>
      <c r="S395" s="120"/>
    </row>
    <row r="396" spans="1:19" s="122" customFormat="1" ht="12.75" hidden="1" outlineLevel="1">
      <c r="A396" s="120" t="s">
        <v>66</v>
      </c>
      <c r="B396" s="121"/>
      <c r="C396" s="121" t="s">
        <v>67</v>
      </c>
      <c r="D396" s="121" t="s">
        <v>68</v>
      </c>
      <c r="E396" s="121">
        <v>-3253.03</v>
      </c>
      <c r="F396" s="121">
        <v>-27320.97</v>
      </c>
      <c r="G396" s="121"/>
      <c r="H396" s="120">
        <v>0</v>
      </c>
      <c r="I396" s="120">
        <v>0</v>
      </c>
      <c r="J396" s="120">
        <v>0</v>
      </c>
      <c r="K396" s="120">
        <v>0</v>
      </c>
      <c r="L396" s="120">
        <v>0</v>
      </c>
      <c r="M396" s="120">
        <v>0</v>
      </c>
      <c r="N396" s="120">
        <v>0</v>
      </c>
      <c r="O396" s="120">
        <v>0</v>
      </c>
      <c r="P396" s="121">
        <v>0</v>
      </c>
      <c r="Q396" s="121">
        <v>0</v>
      </c>
      <c r="R396" s="121">
        <f t="shared" si="17"/>
        <v>-30574</v>
      </c>
      <c r="S396" s="120"/>
    </row>
    <row r="397" spans="1:19" s="122" customFormat="1" ht="12.75" hidden="1" outlineLevel="1">
      <c r="A397" s="120" t="s">
        <v>69</v>
      </c>
      <c r="B397" s="121"/>
      <c r="C397" s="121" t="s">
        <v>70</v>
      </c>
      <c r="D397" s="121" t="s">
        <v>71</v>
      </c>
      <c r="E397" s="121">
        <v>846770.92</v>
      </c>
      <c r="F397" s="121">
        <v>0</v>
      </c>
      <c r="G397" s="121"/>
      <c r="H397" s="120">
        <v>0</v>
      </c>
      <c r="I397" s="120">
        <v>0</v>
      </c>
      <c r="J397" s="120">
        <v>300000</v>
      </c>
      <c r="K397" s="120">
        <v>0</v>
      </c>
      <c r="L397" s="120">
        <v>0</v>
      </c>
      <c r="M397" s="120">
        <v>0</v>
      </c>
      <c r="N397" s="120">
        <v>0</v>
      </c>
      <c r="O397" s="120">
        <v>65000</v>
      </c>
      <c r="P397" s="121">
        <v>365000</v>
      </c>
      <c r="Q397" s="121">
        <v>0</v>
      </c>
      <c r="R397" s="121">
        <f t="shared" si="17"/>
        <v>1211770.92</v>
      </c>
      <c r="S397" s="120"/>
    </row>
    <row r="398" spans="1:19" s="122" customFormat="1" ht="12.75" hidden="1" outlineLevel="1">
      <c r="A398" s="120" t="s">
        <v>72</v>
      </c>
      <c r="B398" s="121"/>
      <c r="C398" s="121" t="s">
        <v>73</v>
      </c>
      <c r="D398" s="121" t="s">
        <v>74</v>
      </c>
      <c r="E398" s="121">
        <v>140.5</v>
      </c>
      <c r="F398" s="121">
        <v>0</v>
      </c>
      <c r="G398" s="121"/>
      <c r="H398" s="120">
        <v>0</v>
      </c>
      <c r="I398" s="120">
        <v>0</v>
      </c>
      <c r="J398" s="120">
        <v>0</v>
      </c>
      <c r="K398" s="120">
        <v>0</v>
      </c>
      <c r="L398" s="120">
        <v>0</v>
      </c>
      <c r="M398" s="120">
        <v>0</v>
      </c>
      <c r="N398" s="120">
        <v>0</v>
      </c>
      <c r="O398" s="120">
        <v>0</v>
      </c>
      <c r="P398" s="121">
        <v>0</v>
      </c>
      <c r="Q398" s="121">
        <v>0</v>
      </c>
      <c r="R398" s="121">
        <f t="shared" si="17"/>
        <v>140.5</v>
      </c>
      <c r="S398" s="120"/>
    </row>
    <row r="399" spans="1:19" s="122" customFormat="1" ht="12.75" hidden="1" outlineLevel="1">
      <c r="A399" s="120" t="s">
        <v>75</v>
      </c>
      <c r="B399" s="121"/>
      <c r="C399" s="121" t="s">
        <v>76</v>
      </c>
      <c r="D399" s="121" t="s">
        <v>77</v>
      </c>
      <c r="E399" s="121">
        <v>271562.12</v>
      </c>
      <c r="F399" s="121">
        <v>0</v>
      </c>
      <c r="G399" s="121"/>
      <c r="H399" s="120">
        <v>0</v>
      </c>
      <c r="I399" s="120">
        <v>0</v>
      </c>
      <c r="J399" s="120">
        <v>0</v>
      </c>
      <c r="K399" s="120">
        <v>0</v>
      </c>
      <c r="L399" s="120">
        <v>0</v>
      </c>
      <c r="M399" s="120">
        <v>0</v>
      </c>
      <c r="N399" s="120">
        <v>0</v>
      </c>
      <c r="O399" s="120">
        <v>0</v>
      </c>
      <c r="P399" s="121">
        <v>0</v>
      </c>
      <c r="Q399" s="121">
        <v>0</v>
      </c>
      <c r="R399" s="121">
        <f t="shared" si="17"/>
        <v>271562.12</v>
      </c>
      <c r="S399" s="120"/>
    </row>
    <row r="400" spans="1:19" s="122" customFormat="1" ht="12.75" hidden="1" outlineLevel="1">
      <c r="A400" s="120" t="s">
        <v>78</v>
      </c>
      <c r="B400" s="121"/>
      <c r="C400" s="121" t="s">
        <v>79</v>
      </c>
      <c r="D400" s="121" t="s">
        <v>80</v>
      </c>
      <c r="E400" s="121">
        <v>-3732261.11</v>
      </c>
      <c r="F400" s="121">
        <v>0</v>
      </c>
      <c r="G400" s="121"/>
      <c r="H400" s="120">
        <v>0</v>
      </c>
      <c r="I400" s="120">
        <v>0</v>
      </c>
      <c r="J400" s="120">
        <v>0</v>
      </c>
      <c r="K400" s="120">
        <v>0</v>
      </c>
      <c r="L400" s="120">
        <v>0</v>
      </c>
      <c r="M400" s="120">
        <v>0</v>
      </c>
      <c r="N400" s="120">
        <v>0</v>
      </c>
      <c r="O400" s="120">
        <v>0</v>
      </c>
      <c r="P400" s="121">
        <v>0</v>
      </c>
      <c r="Q400" s="121">
        <v>0</v>
      </c>
      <c r="R400" s="121">
        <f t="shared" si="17"/>
        <v>-3732261.11</v>
      </c>
      <c r="S400" s="120"/>
    </row>
    <row r="401" spans="1:19" s="122" customFormat="1" ht="12.75" hidden="1" outlineLevel="1">
      <c r="A401" s="120" t="s">
        <v>81</v>
      </c>
      <c r="B401" s="121"/>
      <c r="C401" s="121" t="s">
        <v>82</v>
      </c>
      <c r="D401" s="121" t="s">
        <v>83</v>
      </c>
      <c r="E401" s="121">
        <v>-516571.24</v>
      </c>
      <c r="F401" s="121">
        <v>0</v>
      </c>
      <c r="G401" s="121"/>
      <c r="H401" s="120">
        <v>0</v>
      </c>
      <c r="I401" s="120">
        <v>0</v>
      </c>
      <c r="J401" s="120">
        <v>0</v>
      </c>
      <c r="K401" s="120">
        <v>0</v>
      </c>
      <c r="L401" s="120">
        <v>0</v>
      </c>
      <c r="M401" s="120">
        <v>0</v>
      </c>
      <c r="N401" s="120">
        <v>0</v>
      </c>
      <c r="O401" s="120">
        <v>0</v>
      </c>
      <c r="P401" s="121">
        <v>0</v>
      </c>
      <c r="Q401" s="121">
        <v>0</v>
      </c>
      <c r="R401" s="121">
        <f t="shared" si="17"/>
        <v>-516571.24</v>
      </c>
      <c r="S401" s="120"/>
    </row>
    <row r="402" spans="1:19" ht="12.75" customHeight="1" collapsed="1">
      <c r="A402" s="171" t="s">
        <v>84</v>
      </c>
      <c r="B402" s="148"/>
      <c r="C402" s="150" t="s">
        <v>3719</v>
      </c>
      <c r="D402" s="157"/>
      <c r="E402" s="117">
        <v>1514003.23</v>
      </c>
      <c r="F402" s="117">
        <v>-4485719.1</v>
      </c>
      <c r="G402" s="117">
        <v>2317472.69</v>
      </c>
      <c r="H402" s="171">
        <v>-142000</v>
      </c>
      <c r="I402" s="171">
        <v>0</v>
      </c>
      <c r="J402" s="171">
        <v>366794</v>
      </c>
      <c r="K402" s="171">
        <v>0</v>
      </c>
      <c r="L402" s="171">
        <v>-232315.52</v>
      </c>
      <c r="M402" s="171">
        <v>0</v>
      </c>
      <c r="N402" s="171">
        <v>0</v>
      </c>
      <c r="O402" s="171">
        <v>511667.83</v>
      </c>
      <c r="P402" s="117">
        <v>504146.31</v>
      </c>
      <c r="Q402" s="117">
        <v>0</v>
      </c>
      <c r="R402" s="117">
        <f t="shared" si="17"/>
        <v>-150096.8699999997</v>
      </c>
      <c r="S402" s="171"/>
    </row>
    <row r="403" spans="1:19" ht="12.75" customHeight="1">
      <c r="A403" s="171" t="s">
        <v>85</v>
      </c>
      <c r="B403" s="148"/>
      <c r="C403" s="150" t="s">
        <v>86</v>
      </c>
      <c r="D403" s="157"/>
      <c r="E403" s="117">
        <v>0</v>
      </c>
      <c r="F403" s="117">
        <v>0</v>
      </c>
      <c r="G403" s="117">
        <v>0</v>
      </c>
      <c r="H403" s="171">
        <v>0</v>
      </c>
      <c r="I403" s="171">
        <v>0</v>
      </c>
      <c r="J403" s="171">
        <v>0</v>
      </c>
      <c r="K403" s="171">
        <v>0</v>
      </c>
      <c r="L403" s="171">
        <v>0</v>
      </c>
      <c r="M403" s="171">
        <v>0</v>
      </c>
      <c r="N403" s="171">
        <v>0</v>
      </c>
      <c r="O403" s="171">
        <v>0</v>
      </c>
      <c r="P403" s="117">
        <v>0</v>
      </c>
      <c r="Q403" s="117">
        <v>0</v>
      </c>
      <c r="R403" s="117">
        <f t="shared" si="17"/>
        <v>0</v>
      </c>
      <c r="S403" s="171"/>
    </row>
    <row r="404" spans="1:19" ht="12.75" customHeight="1">
      <c r="A404" s="167"/>
      <c r="B404" s="148"/>
      <c r="C404" s="150"/>
      <c r="D404" s="157"/>
      <c r="E404" s="117"/>
      <c r="F404" s="117"/>
      <c r="G404" s="117"/>
      <c r="H404" s="167"/>
      <c r="I404" s="167"/>
      <c r="J404" s="167"/>
      <c r="K404" s="167"/>
      <c r="L404" s="167"/>
      <c r="M404" s="167"/>
      <c r="N404" s="167"/>
      <c r="O404" s="167"/>
      <c r="P404" s="117"/>
      <c r="Q404" s="117"/>
      <c r="R404" s="117"/>
      <c r="S404" s="167"/>
    </row>
    <row r="405" spans="1:19" s="168" customFormat="1" ht="12.75" customHeight="1">
      <c r="A405" s="166"/>
      <c r="B405" s="160"/>
      <c r="C405" s="161" t="s">
        <v>87</v>
      </c>
      <c r="D405" s="72"/>
      <c r="E405" s="101"/>
      <c r="F405" s="101"/>
      <c r="G405" s="101"/>
      <c r="H405" s="166"/>
      <c r="I405" s="166"/>
      <c r="J405" s="166"/>
      <c r="K405" s="166"/>
      <c r="L405" s="166"/>
      <c r="M405" s="166"/>
      <c r="N405" s="166"/>
      <c r="O405" s="166"/>
      <c r="P405" s="101"/>
      <c r="Q405" s="101"/>
      <c r="R405" s="101"/>
      <c r="S405" s="166"/>
    </row>
    <row r="406" spans="1:19" s="168" customFormat="1" ht="12.75" customHeight="1">
      <c r="A406" s="166" t="s">
        <v>3785</v>
      </c>
      <c r="B406" s="160"/>
      <c r="C406" s="161" t="s">
        <v>88</v>
      </c>
      <c r="D406" s="72"/>
      <c r="E406" s="101">
        <f aca="true" t="shared" si="18" ref="E406:R406">E387+E394+E402+E403+E383</f>
        <v>1442266.56</v>
      </c>
      <c r="F406" s="101">
        <f t="shared" si="18"/>
        <v>-4474097.6</v>
      </c>
      <c r="G406" s="101">
        <f t="shared" si="18"/>
        <v>-518089.31000000006</v>
      </c>
      <c r="H406" s="166">
        <f t="shared" si="18"/>
        <v>-342000</v>
      </c>
      <c r="I406" s="166">
        <f t="shared" si="18"/>
        <v>-400000</v>
      </c>
      <c r="J406" s="166">
        <f t="shared" si="18"/>
        <v>366794</v>
      </c>
      <c r="K406" s="166">
        <f t="shared" si="18"/>
        <v>-44388</v>
      </c>
      <c r="L406" s="166">
        <f t="shared" si="18"/>
        <v>-232315.52</v>
      </c>
      <c r="M406" s="166">
        <f t="shared" si="18"/>
        <v>0</v>
      </c>
      <c r="N406" s="166">
        <f t="shared" si="18"/>
        <v>0</v>
      </c>
      <c r="O406" s="166">
        <f t="shared" si="18"/>
        <v>519167.83</v>
      </c>
      <c r="P406" s="101">
        <f t="shared" si="18"/>
        <v>-132741.69</v>
      </c>
      <c r="Q406" s="101">
        <f t="shared" si="18"/>
        <v>0</v>
      </c>
      <c r="R406" s="101">
        <f t="shared" si="18"/>
        <v>-3682662.04</v>
      </c>
      <c r="S406" s="166"/>
    </row>
    <row r="407" spans="1:19" ht="12.75" customHeight="1">
      <c r="A407" s="167"/>
      <c r="B407" s="148"/>
      <c r="C407" s="161"/>
      <c r="D407" s="157"/>
      <c r="E407" s="117"/>
      <c r="F407" s="117"/>
      <c r="G407" s="117"/>
      <c r="H407" s="167"/>
      <c r="I407" s="167"/>
      <c r="J407" s="167"/>
      <c r="K407" s="167"/>
      <c r="L407" s="167"/>
      <c r="M407" s="167"/>
      <c r="N407" s="167"/>
      <c r="O407" s="167"/>
      <c r="P407" s="117"/>
      <c r="Q407" s="117"/>
      <c r="R407" s="117"/>
      <c r="S407" s="167"/>
    </row>
    <row r="408" spans="1:19" ht="12.75" customHeight="1">
      <c r="A408" s="172" t="s">
        <v>3785</v>
      </c>
      <c r="B408" s="160"/>
      <c r="C408" s="161" t="s">
        <v>334</v>
      </c>
      <c r="D408" s="72"/>
      <c r="E408" s="101">
        <f aca="true" t="shared" si="19" ref="E408:R408">E362+E406</f>
        <v>-2255892.74400002</v>
      </c>
      <c r="F408" s="101">
        <f t="shared" si="19"/>
        <v>-364166.72799999826</v>
      </c>
      <c r="G408" s="101">
        <f t="shared" si="19"/>
        <v>1240307.5310000018</v>
      </c>
      <c r="H408" s="172">
        <f t="shared" si="19"/>
        <v>-186296.46900000036</v>
      </c>
      <c r="I408" s="172">
        <f t="shared" si="19"/>
        <v>231794.91300000006</v>
      </c>
      <c r="J408" s="172">
        <f t="shared" si="19"/>
        <v>9923.422999999952</v>
      </c>
      <c r="K408" s="172">
        <f t="shared" si="19"/>
        <v>-105890.78400000003</v>
      </c>
      <c r="L408" s="172">
        <f t="shared" si="19"/>
        <v>142105.80400000003</v>
      </c>
      <c r="M408" s="172">
        <f t="shared" si="19"/>
        <v>13698.70699999998</v>
      </c>
      <c r="N408" s="172">
        <f t="shared" si="19"/>
        <v>15147.667000000016</v>
      </c>
      <c r="O408" s="172">
        <f t="shared" si="19"/>
        <v>-63405.04600000003</v>
      </c>
      <c r="P408" s="101">
        <f t="shared" si="19"/>
        <v>57078.21499999979</v>
      </c>
      <c r="Q408" s="101">
        <f t="shared" si="19"/>
        <v>0</v>
      </c>
      <c r="R408" s="101">
        <f t="shared" si="19"/>
        <v>-1322673.7260000492</v>
      </c>
      <c r="S408" s="173"/>
    </row>
    <row r="409" spans="1:19" ht="12.75" customHeight="1">
      <c r="A409" s="167"/>
      <c r="B409" s="148"/>
      <c r="C409" s="150"/>
      <c r="D409" s="157"/>
      <c r="E409" s="117"/>
      <c r="F409" s="117"/>
      <c r="G409" s="117"/>
      <c r="H409" s="167"/>
      <c r="I409" s="167"/>
      <c r="J409" s="167"/>
      <c r="K409" s="167"/>
      <c r="L409" s="167"/>
      <c r="M409" s="167"/>
      <c r="N409" s="167"/>
      <c r="O409" s="167"/>
      <c r="P409" s="117"/>
      <c r="Q409" s="117"/>
      <c r="R409" s="117"/>
      <c r="S409" s="167"/>
    </row>
    <row r="410" spans="1:19" s="122" customFormat="1" ht="12.75" hidden="1" outlineLevel="1">
      <c r="A410" s="120" t="s">
        <v>90</v>
      </c>
      <c r="B410" s="121"/>
      <c r="C410" s="121" t="s">
        <v>91</v>
      </c>
      <c r="D410" s="121" t="s">
        <v>92</v>
      </c>
      <c r="E410" s="121">
        <v>32691758.114</v>
      </c>
      <c r="F410" s="121">
        <v>888162.238</v>
      </c>
      <c r="G410" s="121"/>
      <c r="H410" s="120">
        <v>1607366.569</v>
      </c>
      <c r="I410" s="120">
        <v>472849.257</v>
      </c>
      <c r="J410" s="120">
        <v>95547.18</v>
      </c>
      <c r="K410" s="120">
        <v>-485571.876</v>
      </c>
      <c r="L410" s="120">
        <v>13382.506000000001</v>
      </c>
      <c r="M410" s="120">
        <v>1165122.203</v>
      </c>
      <c r="N410" s="120">
        <v>13323.563</v>
      </c>
      <c r="O410" s="120">
        <v>152718.926</v>
      </c>
      <c r="P410" s="121">
        <v>3034738.328</v>
      </c>
      <c r="Q410" s="121">
        <v>0</v>
      </c>
      <c r="R410" s="121">
        <f>E410+F410+G410+P410+Q410</f>
        <v>36614658.68</v>
      </c>
      <c r="S410" s="120"/>
    </row>
    <row r="411" spans="1:19" s="174" customFormat="1" ht="12.75" customHeight="1" collapsed="1">
      <c r="A411" s="166" t="s">
        <v>93</v>
      </c>
      <c r="B411" s="160" t="s">
        <v>3782</v>
      </c>
      <c r="D411" s="72"/>
      <c r="E411" s="101">
        <v>32691758.114</v>
      </c>
      <c r="F411" s="101">
        <v>888162.238</v>
      </c>
      <c r="G411" s="101">
        <v>-877997.435</v>
      </c>
      <c r="H411" s="166">
        <v>1607366.569</v>
      </c>
      <c r="I411" s="166">
        <v>472849.257</v>
      </c>
      <c r="J411" s="166">
        <v>95547.18</v>
      </c>
      <c r="K411" s="166">
        <v>-485571.876</v>
      </c>
      <c r="L411" s="166">
        <v>13382.506000000001</v>
      </c>
      <c r="M411" s="166">
        <v>1165122.203</v>
      </c>
      <c r="N411" s="166">
        <v>13323.563</v>
      </c>
      <c r="O411" s="166">
        <v>152718.926</v>
      </c>
      <c r="P411" s="101">
        <v>3034738.328</v>
      </c>
      <c r="Q411" s="101">
        <v>0</v>
      </c>
      <c r="R411" s="101">
        <f>E411+F411+G411+P411+Q411</f>
        <v>35736661.245</v>
      </c>
      <c r="S411" s="166"/>
    </row>
    <row r="412" spans="1:19" ht="12.75" customHeight="1">
      <c r="A412" s="166"/>
      <c r="B412" s="148"/>
      <c r="C412" s="161"/>
      <c r="D412" s="72"/>
      <c r="E412" s="101"/>
      <c r="F412" s="101"/>
      <c r="G412" s="101"/>
      <c r="H412" s="166"/>
      <c r="I412" s="166"/>
      <c r="J412" s="166"/>
      <c r="K412" s="166"/>
      <c r="L412" s="166"/>
      <c r="M412" s="166"/>
      <c r="N412" s="166"/>
      <c r="O412" s="166"/>
      <c r="P412" s="101"/>
      <c r="Q412" s="101"/>
      <c r="R412" s="101"/>
      <c r="S412" s="166"/>
    </row>
    <row r="413" spans="1:19" s="174" customFormat="1" ht="12.75" customHeight="1" hidden="1">
      <c r="A413" s="167" t="s">
        <v>94</v>
      </c>
      <c r="B413" s="148"/>
      <c r="C413" s="150" t="s">
        <v>95</v>
      </c>
      <c r="D413" s="157"/>
      <c r="E413" s="117">
        <v>0</v>
      </c>
      <c r="F413" s="117">
        <v>0</v>
      </c>
      <c r="G413" s="117">
        <v>0</v>
      </c>
      <c r="H413" s="167">
        <v>0</v>
      </c>
      <c r="I413" s="167">
        <v>0</v>
      </c>
      <c r="J413" s="167">
        <v>0</v>
      </c>
      <c r="K413" s="167">
        <v>0</v>
      </c>
      <c r="L413" s="167">
        <v>0</v>
      </c>
      <c r="M413" s="167">
        <v>0</v>
      </c>
      <c r="N413" s="167">
        <v>0</v>
      </c>
      <c r="O413" s="167">
        <v>0</v>
      </c>
      <c r="P413" s="117">
        <v>0</v>
      </c>
      <c r="Q413" s="117">
        <v>0</v>
      </c>
      <c r="R413" s="117">
        <f>E413+F413+G413+P413+Q413</f>
        <v>0</v>
      </c>
      <c r="S413" s="167"/>
    </row>
    <row r="414" spans="1:19" s="174" customFormat="1" ht="12.75" customHeight="1" hidden="1">
      <c r="A414" s="167" t="s">
        <v>96</v>
      </c>
      <c r="B414" s="148"/>
      <c r="C414" s="150" t="s">
        <v>97</v>
      </c>
      <c r="D414" s="157"/>
      <c r="E414" s="117">
        <v>0</v>
      </c>
      <c r="F414" s="117">
        <v>0</v>
      </c>
      <c r="G414" s="117">
        <v>0</v>
      </c>
      <c r="H414" s="167">
        <v>0</v>
      </c>
      <c r="I414" s="167">
        <v>0</v>
      </c>
      <c r="J414" s="167">
        <v>0</v>
      </c>
      <c r="K414" s="167">
        <v>0</v>
      </c>
      <c r="L414" s="167">
        <v>0</v>
      </c>
      <c r="M414" s="167">
        <v>0</v>
      </c>
      <c r="N414" s="167">
        <v>0</v>
      </c>
      <c r="O414" s="167">
        <v>0</v>
      </c>
      <c r="P414" s="117">
        <v>0</v>
      </c>
      <c r="Q414" s="117">
        <v>0</v>
      </c>
      <c r="R414" s="117">
        <f>E414+F414+G414+P414+Q414</f>
        <v>0</v>
      </c>
      <c r="S414" s="167"/>
    </row>
    <row r="415" spans="1:19" ht="12.75" customHeight="1" hidden="1">
      <c r="A415" s="166"/>
      <c r="B415" s="148"/>
      <c r="C415" s="161"/>
      <c r="D415" s="72"/>
      <c r="E415" s="101"/>
      <c r="F415" s="101"/>
      <c r="G415" s="101"/>
      <c r="H415" s="166"/>
      <c r="I415" s="166"/>
      <c r="J415" s="166"/>
      <c r="K415" s="166"/>
      <c r="L415" s="166"/>
      <c r="M415" s="166"/>
      <c r="N415" s="166"/>
      <c r="O415" s="166"/>
      <c r="P415" s="101"/>
      <c r="Q415" s="101"/>
      <c r="R415" s="101"/>
      <c r="S415" s="166"/>
    </row>
    <row r="416" spans="1:19" ht="12.75" customHeight="1" hidden="1">
      <c r="A416" s="166" t="s">
        <v>3785</v>
      </c>
      <c r="B416" s="148"/>
      <c r="C416" s="161" t="s">
        <v>98</v>
      </c>
      <c r="D416" s="72"/>
      <c r="E416" s="101">
        <f aca="true" t="shared" si="20" ref="E416:R416">E411-E413-E414</f>
        <v>32691758.114</v>
      </c>
      <c r="F416" s="101">
        <f t="shared" si="20"/>
        <v>888162.238</v>
      </c>
      <c r="G416" s="101">
        <f t="shared" si="20"/>
        <v>-877997.435</v>
      </c>
      <c r="H416" s="166">
        <f t="shared" si="20"/>
        <v>1607366.569</v>
      </c>
      <c r="I416" s="166">
        <f t="shared" si="20"/>
        <v>472849.257</v>
      </c>
      <c r="J416" s="166">
        <f t="shared" si="20"/>
        <v>95547.18</v>
      </c>
      <c r="K416" s="166">
        <f t="shared" si="20"/>
        <v>-485571.876</v>
      </c>
      <c r="L416" s="166">
        <f t="shared" si="20"/>
        <v>13382.506000000001</v>
      </c>
      <c r="M416" s="166">
        <f t="shared" si="20"/>
        <v>1165122.203</v>
      </c>
      <c r="N416" s="166">
        <f t="shared" si="20"/>
        <v>13323.563</v>
      </c>
      <c r="O416" s="166">
        <f t="shared" si="20"/>
        <v>152718.926</v>
      </c>
      <c r="P416" s="101">
        <f t="shared" si="20"/>
        <v>3034738.328</v>
      </c>
      <c r="Q416" s="101">
        <f t="shared" si="20"/>
        <v>0</v>
      </c>
      <c r="R416" s="101">
        <f t="shared" si="20"/>
        <v>35736661.245</v>
      </c>
      <c r="S416" s="166"/>
    </row>
    <row r="417" spans="1:19" ht="12.75" customHeight="1" hidden="1">
      <c r="A417" s="167"/>
      <c r="B417" s="148"/>
      <c r="C417" s="150"/>
      <c r="D417" s="157"/>
      <c r="E417" s="155"/>
      <c r="F417" s="155"/>
      <c r="G417" s="155"/>
      <c r="H417" s="167"/>
      <c r="I417" s="167"/>
      <c r="J417" s="167"/>
      <c r="K417" s="167"/>
      <c r="L417" s="167"/>
      <c r="M417" s="167"/>
      <c r="N417" s="167"/>
      <c r="O417" s="167"/>
      <c r="P417" s="155"/>
      <c r="Q417" s="155"/>
      <c r="R417" s="155"/>
      <c r="S417" s="167"/>
    </row>
    <row r="418" spans="1:19" ht="12.75" customHeight="1">
      <c r="A418" s="166" t="s">
        <v>3785</v>
      </c>
      <c r="B418" s="160" t="s">
        <v>3733</v>
      </c>
      <c r="C418" s="152"/>
      <c r="D418" s="72"/>
      <c r="E418" s="175">
        <f aca="true" t="shared" si="21" ref="E418:R418">E408+E416</f>
        <v>30435865.36999998</v>
      </c>
      <c r="F418" s="175">
        <f t="shared" si="21"/>
        <v>523995.51000000176</v>
      </c>
      <c r="G418" s="175">
        <f t="shared" si="21"/>
        <v>362310.09600000177</v>
      </c>
      <c r="H418" s="166">
        <f t="shared" si="21"/>
        <v>1421070.0999999996</v>
      </c>
      <c r="I418" s="166">
        <f t="shared" si="21"/>
        <v>704644.17</v>
      </c>
      <c r="J418" s="166">
        <f t="shared" si="21"/>
        <v>105470.60299999994</v>
      </c>
      <c r="K418" s="166">
        <f t="shared" si="21"/>
        <v>-591462.66</v>
      </c>
      <c r="L418" s="166">
        <f t="shared" si="21"/>
        <v>155488.31000000003</v>
      </c>
      <c r="M418" s="166">
        <f t="shared" si="21"/>
        <v>1178820.91</v>
      </c>
      <c r="N418" s="166">
        <f t="shared" si="21"/>
        <v>28471.230000000018</v>
      </c>
      <c r="O418" s="166">
        <f t="shared" si="21"/>
        <v>89313.87999999998</v>
      </c>
      <c r="P418" s="175">
        <f t="shared" si="21"/>
        <v>3091816.543</v>
      </c>
      <c r="Q418" s="175">
        <f t="shared" si="21"/>
        <v>0</v>
      </c>
      <c r="R418" s="175">
        <f t="shared" si="21"/>
        <v>34413987.51899995</v>
      </c>
      <c r="S418" s="166"/>
    </row>
    <row r="419" spans="5:18" ht="12.75">
      <c r="E419" s="132"/>
      <c r="F419" s="132"/>
      <c r="G419" s="132"/>
      <c r="P419" s="132"/>
      <c r="Q419" s="132"/>
      <c r="R419" s="132"/>
    </row>
    <row r="420" spans="5:18" ht="12.75">
      <c r="E420" s="132"/>
      <c r="F420" s="132"/>
      <c r="G420" s="132"/>
      <c r="P420" s="132"/>
      <c r="Q420" s="132"/>
      <c r="R420" s="132"/>
    </row>
    <row r="421" spans="5:18" ht="12.75">
      <c r="E421" s="132"/>
      <c r="F421" s="132"/>
      <c r="G421" s="132"/>
      <c r="P421" s="132"/>
      <c r="Q421" s="132"/>
      <c r="R421" s="132"/>
    </row>
    <row r="422" spans="5:18" ht="12.75">
      <c r="E422" s="132"/>
      <c r="F422" s="132"/>
      <c r="G422" s="132"/>
      <c r="P422" s="132"/>
      <c r="Q422" s="132"/>
      <c r="R422" s="132"/>
    </row>
    <row r="423" spans="5:18" ht="12.75">
      <c r="E423" s="132"/>
      <c r="F423" s="132"/>
      <c r="G423" s="132"/>
      <c r="P423" s="132"/>
      <c r="Q423" s="132"/>
      <c r="R423" s="132"/>
    </row>
    <row r="424" spans="5:18" ht="12.75">
      <c r="E424" s="132"/>
      <c r="F424" s="132"/>
      <c r="G424" s="132"/>
      <c r="P424" s="132"/>
      <c r="Q424" s="132"/>
      <c r="R424" s="132"/>
    </row>
    <row r="425" spans="5:18" ht="12.75">
      <c r="E425" s="132"/>
      <c r="F425" s="132"/>
      <c r="G425" s="132"/>
      <c r="P425" s="132"/>
      <c r="Q425" s="132"/>
      <c r="R425" s="132"/>
    </row>
    <row r="426" spans="5:18" ht="12.75">
      <c r="E426" s="132"/>
      <c r="F426" s="132"/>
      <c r="G426" s="132"/>
      <c r="P426" s="132"/>
      <c r="Q426" s="132"/>
      <c r="R426" s="132"/>
    </row>
    <row r="427" spans="5:18" ht="12.75">
      <c r="E427" s="132"/>
      <c r="F427" s="132"/>
      <c r="G427" s="132"/>
      <c r="P427" s="132"/>
      <c r="Q427" s="132"/>
      <c r="R427" s="132"/>
    </row>
    <row r="428" spans="5:18" ht="12.75">
      <c r="E428" s="132"/>
      <c r="F428" s="132"/>
      <c r="G428" s="132"/>
      <c r="P428" s="132"/>
      <c r="Q428" s="132"/>
      <c r="R428" s="132"/>
    </row>
    <row r="429" spans="5:18" ht="12.75">
      <c r="E429" s="132"/>
      <c r="F429" s="132"/>
      <c r="G429" s="132"/>
      <c r="P429" s="132"/>
      <c r="Q429" s="132"/>
      <c r="R429" s="132"/>
    </row>
    <row r="430" spans="5:18" ht="12.75">
      <c r="E430" s="132"/>
      <c r="F430" s="132"/>
      <c r="G430" s="132"/>
      <c r="P430" s="132"/>
      <c r="Q430" s="132"/>
      <c r="R430" s="132"/>
    </row>
    <row r="431" spans="5:18" ht="12.75">
      <c r="E431" s="132"/>
      <c r="F431" s="132"/>
      <c r="G431" s="132"/>
      <c r="P431" s="132"/>
      <c r="Q431" s="132"/>
      <c r="R431" s="132"/>
    </row>
    <row r="432" spans="5:18" ht="12.75">
      <c r="E432" s="132"/>
      <c r="F432" s="132"/>
      <c r="G432" s="132"/>
      <c r="P432" s="132"/>
      <c r="Q432" s="132"/>
      <c r="R432" s="132"/>
    </row>
    <row r="433" spans="5:18" ht="12.75">
      <c r="E433" s="132"/>
      <c r="F433" s="132"/>
      <c r="G433" s="132"/>
      <c r="P433" s="132"/>
      <c r="Q433" s="132"/>
      <c r="R433" s="132"/>
    </row>
    <row r="434" spans="5:18" ht="12.75">
      <c r="E434" s="132"/>
      <c r="F434" s="132"/>
      <c r="G434" s="132"/>
      <c r="P434" s="132"/>
      <c r="Q434" s="132"/>
      <c r="R434" s="132"/>
    </row>
    <row r="435" spans="5:18" ht="12.75">
      <c r="E435" s="132"/>
      <c r="F435" s="132"/>
      <c r="G435" s="132"/>
      <c r="P435" s="132"/>
      <c r="Q435" s="132"/>
      <c r="R435" s="132"/>
    </row>
    <row r="436" spans="5:18" ht="12.75">
      <c r="E436" s="132"/>
      <c r="F436" s="132"/>
      <c r="G436" s="132"/>
      <c r="P436" s="132"/>
      <c r="Q436" s="132"/>
      <c r="R436" s="132"/>
    </row>
    <row r="437" spans="5:18" ht="12.75">
      <c r="E437" s="132"/>
      <c r="F437" s="132"/>
      <c r="G437" s="132"/>
      <c r="P437" s="132"/>
      <c r="Q437" s="132"/>
      <c r="R437" s="132"/>
    </row>
    <row r="438" spans="5:18" ht="12.75">
      <c r="E438" s="132"/>
      <c r="F438" s="132"/>
      <c r="G438" s="132"/>
      <c r="P438" s="132"/>
      <c r="Q438" s="132"/>
      <c r="R438" s="132"/>
    </row>
    <row r="439" spans="5:18" ht="12.75">
      <c r="E439" s="132"/>
      <c r="F439" s="132"/>
      <c r="G439" s="132"/>
      <c r="P439" s="132"/>
      <c r="Q439" s="132"/>
      <c r="R439" s="132"/>
    </row>
    <row r="440" spans="5:18" ht="12.75">
      <c r="E440" s="132"/>
      <c r="F440" s="132"/>
      <c r="G440" s="132"/>
      <c r="P440" s="132"/>
      <c r="Q440" s="132"/>
      <c r="R440" s="132"/>
    </row>
    <row r="441" spans="5:18" ht="12.75">
      <c r="E441" s="132"/>
      <c r="F441" s="132"/>
      <c r="G441" s="132"/>
      <c r="P441" s="132"/>
      <c r="Q441" s="132"/>
      <c r="R441" s="132"/>
    </row>
    <row r="442" spans="5:18" ht="12.75">
      <c r="E442" s="132"/>
      <c r="F442" s="132"/>
      <c r="G442" s="132"/>
      <c r="P442" s="132"/>
      <c r="Q442" s="132"/>
      <c r="R442" s="132"/>
    </row>
    <row r="443" spans="5:18" ht="12.75">
      <c r="E443" s="132"/>
      <c r="F443" s="132"/>
      <c r="G443" s="132"/>
      <c r="P443" s="132"/>
      <c r="Q443" s="132"/>
      <c r="R443" s="132"/>
    </row>
    <row r="444" spans="5:18" ht="12.75">
      <c r="E444" s="132"/>
      <c r="F444" s="132"/>
      <c r="G444" s="132"/>
      <c r="P444" s="132"/>
      <c r="Q444" s="132"/>
      <c r="R444" s="132"/>
    </row>
    <row r="445" spans="5:18" ht="12.75">
      <c r="E445" s="132"/>
      <c r="F445" s="132"/>
      <c r="G445" s="132"/>
      <c r="P445" s="132"/>
      <c r="Q445" s="132"/>
      <c r="R445" s="132"/>
    </row>
    <row r="446" spans="5:18" ht="12.75">
      <c r="E446" s="132"/>
      <c r="F446" s="132"/>
      <c r="G446" s="132"/>
      <c r="P446" s="132"/>
      <c r="Q446" s="132"/>
      <c r="R446" s="132"/>
    </row>
    <row r="447" spans="5:18" ht="12.75">
      <c r="E447" s="132"/>
      <c r="F447" s="132"/>
      <c r="G447" s="132"/>
      <c r="P447" s="132"/>
      <c r="Q447" s="132"/>
      <c r="R447" s="132"/>
    </row>
    <row r="448" spans="5:18" ht="12.75">
      <c r="E448" s="132"/>
      <c r="F448" s="132"/>
      <c r="G448" s="132"/>
      <c r="P448" s="132"/>
      <c r="Q448" s="132"/>
      <c r="R448" s="132"/>
    </row>
    <row r="449" spans="5:18" ht="12.75">
      <c r="E449" s="132"/>
      <c r="F449" s="132"/>
      <c r="G449" s="132"/>
      <c r="P449" s="132"/>
      <c r="Q449" s="132"/>
      <c r="R449" s="132"/>
    </row>
    <row r="450" spans="5:18" ht="12.75">
      <c r="E450" s="132"/>
      <c r="F450" s="132"/>
      <c r="G450" s="132"/>
      <c r="P450" s="132"/>
      <c r="Q450" s="132"/>
      <c r="R450" s="132"/>
    </row>
    <row r="451" spans="5:18" ht="12.75">
      <c r="E451" s="132"/>
      <c r="F451" s="132"/>
      <c r="G451" s="132"/>
      <c r="P451" s="132"/>
      <c r="Q451" s="132"/>
      <c r="R451" s="132"/>
    </row>
    <row r="452" spans="5:18" ht="12.75">
      <c r="E452" s="132"/>
      <c r="F452" s="132"/>
      <c r="G452" s="132"/>
      <c r="P452" s="132"/>
      <c r="Q452" s="132"/>
      <c r="R452" s="132"/>
    </row>
    <row r="453" spans="5:18" ht="12.75">
      <c r="E453" s="132"/>
      <c r="F453" s="132"/>
      <c r="G453" s="132"/>
      <c r="P453" s="132"/>
      <c r="Q453" s="132"/>
      <c r="R453" s="132"/>
    </row>
    <row r="454" spans="5:18" ht="12.75">
      <c r="E454" s="132"/>
      <c r="F454" s="132"/>
      <c r="G454" s="132"/>
      <c r="P454" s="132"/>
      <c r="Q454" s="132"/>
      <c r="R454" s="132"/>
    </row>
    <row r="455" spans="5:18" ht="12.75">
      <c r="E455" s="132"/>
      <c r="F455" s="132"/>
      <c r="G455" s="132"/>
      <c r="P455" s="132"/>
      <c r="Q455" s="132"/>
      <c r="R455" s="132"/>
    </row>
    <row r="456" spans="5:18" ht="12.75">
      <c r="E456" s="132"/>
      <c r="F456" s="132"/>
      <c r="G456" s="132"/>
      <c r="P456" s="132"/>
      <c r="Q456" s="132"/>
      <c r="R456" s="132"/>
    </row>
    <row r="457" spans="5:18" ht="12.75">
      <c r="E457" s="132"/>
      <c r="F457" s="132"/>
      <c r="G457" s="132"/>
      <c r="P457" s="132"/>
      <c r="Q457" s="132"/>
      <c r="R457" s="132"/>
    </row>
    <row r="458" spans="5:18" ht="12.75">
      <c r="E458" s="132"/>
      <c r="F458" s="132"/>
      <c r="G458" s="132"/>
      <c r="P458" s="132"/>
      <c r="Q458" s="132"/>
      <c r="R458" s="132"/>
    </row>
    <row r="459" spans="5:18" ht="12.75">
      <c r="E459" s="132"/>
      <c r="F459" s="132"/>
      <c r="G459" s="132"/>
      <c r="P459" s="132"/>
      <c r="Q459" s="132"/>
      <c r="R459" s="132"/>
    </row>
    <row r="460" spans="5:18" ht="12.75">
      <c r="E460" s="132"/>
      <c r="F460" s="132"/>
      <c r="G460" s="132"/>
      <c r="P460" s="132"/>
      <c r="Q460" s="132"/>
      <c r="R460" s="132"/>
    </row>
    <row r="461" spans="5:18" ht="12.75">
      <c r="E461" s="132"/>
      <c r="F461" s="132"/>
      <c r="G461" s="132"/>
      <c r="P461" s="132"/>
      <c r="Q461" s="132"/>
      <c r="R461" s="132"/>
    </row>
    <row r="462" spans="5:18" ht="12.75">
      <c r="E462" s="132"/>
      <c r="F462" s="132"/>
      <c r="G462" s="132"/>
      <c r="P462" s="132"/>
      <c r="Q462" s="132"/>
      <c r="R462" s="132"/>
    </row>
    <row r="463" spans="5:18" ht="12.75">
      <c r="E463" s="132"/>
      <c r="F463" s="132"/>
      <c r="G463" s="132"/>
      <c r="P463" s="132"/>
      <c r="Q463" s="132"/>
      <c r="R463" s="132"/>
    </row>
    <row r="464" spans="5:18" ht="12.75">
      <c r="E464" s="132"/>
      <c r="F464" s="132"/>
      <c r="G464" s="132"/>
      <c r="P464" s="132"/>
      <c r="Q464" s="132"/>
      <c r="R464" s="132"/>
    </row>
    <row r="465" spans="5:18" ht="12.75">
      <c r="E465" s="132"/>
      <c r="F465" s="132"/>
      <c r="G465" s="132"/>
      <c r="P465" s="132"/>
      <c r="Q465" s="132"/>
      <c r="R465" s="132"/>
    </row>
    <row r="466" spans="5:18" ht="12.75">
      <c r="E466" s="132"/>
      <c r="F466" s="132"/>
      <c r="G466" s="132"/>
      <c r="P466" s="132"/>
      <c r="Q466" s="132"/>
      <c r="R466" s="132"/>
    </row>
    <row r="467" spans="5:18" ht="12.75">
      <c r="E467" s="132"/>
      <c r="F467" s="132"/>
      <c r="G467" s="132"/>
      <c r="P467" s="132"/>
      <c r="Q467" s="132"/>
      <c r="R467" s="132"/>
    </row>
    <row r="468" spans="5:18" ht="12.75">
      <c r="E468" s="132"/>
      <c r="F468" s="132"/>
      <c r="G468" s="132"/>
      <c r="P468" s="132"/>
      <c r="Q468" s="132"/>
      <c r="R468" s="132"/>
    </row>
    <row r="469" spans="5:18" ht="12.75">
      <c r="E469" s="132"/>
      <c r="F469" s="132"/>
      <c r="G469" s="132"/>
      <c r="P469" s="132"/>
      <c r="Q469" s="132"/>
      <c r="R469" s="132"/>
    </row>
    <row r="470" spans="5:18" ht="12.75">
      <c r="E470" s="132"/>
      <c r="F470" s="132"/>
      <c r="G470" s="132"/>
      <c r="P470" s="132"/>
      <c r="Q470" s="132"/>
      <c r="R470" s="132"/>
    </row>
    <row r="471" spans="5:18" ht="12.75">
      <c r="E471" s="132"/>
      <c r="F471" s="132"/>
      <c r="G471" s="132"/>
      <c r="P471" s="132"/>
      <c r="Q471" s="132"/>
      <c r="R471" s="132"/>
    </row>
    <row r="472" spans="5:18" ht="12.75">
      <c r="E472" s="132"/>
      <c r="F472" s="132"/>
      <c r="G472" s="132"/>
      <c r="P472" s="132"/>
      <c r="Q472" s="132"/>
      <c r="R472" s="132"/>
    </row>
    <row r="473" spans="5:18" ht="12.75">
      <c r="E473" s="132"/>
      <c r="F473" s="132"/>
      <c r="G473" s="132"/>
      <c r="P473" s="132"/>
      <c r="Q473" s="132"/>
      <c r="R473" s="132"/>
    </row>
    <row r="474" spans="5:18" ht="12.75">
      <c r="E474" s="132"/>
      <c r="F474" s="132"/>
      <c r="G474" s="132"/>
      <c r="P474" s="132"/>
      <c r="Q474" s="132"/>
      <c r="R474" s="132"/>
    </row>
    <row r="475" spans="5:18" ht="12.75">
      <c r="E475" s="132"/>
      <c r="F475" s="132"/>
      <c r="G475" s="132"/>
      <c r="P475" s="132"/>
      <c r="Q475" s="132"/>
      <c r="R475" s="132"/>
    </row>
    <row r="476" spans="5:18" ht="12.75">
      <c r="E476" s="132"/>
      <c r="F476" s="132"/>
      <c r="G476" s="132"/>
      <c r="P476" s="132"/>
      <c r="Q476" s="132"/>
      <c r="R476" s="132"/>
    </row>
    <row r="477" spans="5:18" ht="12.75">
      <c r="E477" s="132"/>
      <c r="F477" s="132"/>
      <c r="G477" s="132"/>
      <c r="P477" s="132"/>
      <c r="Q477" s="132"/>
      <c r="R477" s="132"/>
    </row>
    <row r="478" spans="5:18" ht="12.75">
      <c r="E478" s="132"/>
      <c r="F478" s="132"/>
      <c r="G478" s="132"/>
      <c r="P478" s="132"/>
      <c r="Q478" s="132"/>
      <c r="R478" s="132"/>
    </row>
    <row r="479" spans="5:18" ht="12.75">
      <c r="E479" s="132"/>
      <c r="F479" s="132"/>
      <c r="G479" s="132"/>
      <c r="P479" s="132"/>
      <c r="Q479" s="132"/>
      <c r="R479" s="132"/>
    </row>
    <row r="480" spans="5:18" ht="12.75">
      <c r="E480" s="132"/>
      <c r="F480" s="132"/>
      <c r="G480" s="132"/>
      <c r="P480" s="132"/>
      <c r="Q480" s="132"/>
      <c r="R480" s="132"/>
    </row>
    <row r="481" spans="5:18" ht="12.75">
      <c r="E481" s="132"/>
      <c r="F481" s="132"/>
      <c r="G481" s="132"/>
      <c r="P481" s="132"/>
      <c r="Q481" s="132"/>
      <c r="R481" s="132"/>
    </row>
    <row r="482" spans="5:18" ht="12.75">
      <c r="E482" s="132"/>
      <c r="F482" s="132"/>
      <c r="G482" s="132"/>
      <c r="P482" s="132"/>
      <c r="Q482" s="132"/>
      <c r="R482" s="132"/>
    </row>
    <row r="483" spans="5:18" ht="12.75">
      <c r="E483" s="132"/>
      <c r="F483" s="132"/>
      <c r="G483" s="132"/>
      <c r="P483" s="132"/>
      <c r="Q483" s="132"/>
      <c r="R483" s="132"/>
    </row>
    <row r="484" spans="5:18" ht="12.75">
      <c r="E484" s="132"/>
      <c r="F484" s="132"/>
      <c r="G484" s="132"/>
      <c r="P484" s="132"/>
      <c r="Q484" s="132"/>
      <c r="R484" s="132"/>
    </row>
    <row r="485" spans="5:18" ht="12.75">
      <c r="E485" s="132"/>
      <c r="F485" s="132"/>
      <c r="G485" s="132"/>
      <c r="P485" s="132"/>
      <c r="Q485" s="132"/>
      <c r="R485" s="132"/>
    </row>
    <row r="486" spans="5:18" ht="12.75">
      <c r="E486" s="132"/>
      <c r="F486" s="132"/>
      <c r="G486" s="132"/>
      <c r="P486" s="132"/>
      <c r="Q486" s="132"/>
      <c r="R486" s="132"/>
    </row>
    <row r="487" spans="5:18" ht="12.75">
      <c r="E487" s="132"/>
      <c r="F487" s="132"/>
      <c r="G487" s="132"/>
      <c r="P487" s="132"/>
      <c r="Q487" s="132"/>
      <c r="R487" s="132"/>
    </row>
    <row r="488" spans="5:18" ht="12.75">
      <c r="E488" s="132"/>
      <c r="F488" s="132"/>
      <c r="G488" s="132"/>
      <c r="P488" s="132"/>
      <c r="Q488" s="132"/>
      <c r="R488" s="132"/>
    </row>
    <row r="489" spans="5:18" ht="12.75">
      <c r="E489" s="132"/>
      <c r="F489" s="132"/>
      <c r="G489" s="132"/>
      <c r="P489" s="132"/>
      <c r="Q489" s="132"/>
      <c r="R489" s="132"/>
    </row>
    <row r="490" spans="5:18" ht="12.75">
      <c r="E490" s="132"/>
      <c r="F490" s="132"/>
      <c r="G490" s="132"/>
      <c r="P490" s="132"/>
      <c r="Q490" s="132"/>
      <c r="R490" s="132"/>
    </row>
    <row r="491" spans="5:18" ht="12.75">
      <c r="E491" s="132"/>
      <c r="F491" s="132"/>
      <c r="G491" s="132"/>
      <c r="P491" s="132"/>
      <c r="Q491" s="132"/>
      <c r="R491" s="132"/>
    </row>
    <row r="492" spans="5:18" ht="12.75">
      <c r="E492" s="132"/>
      <c r="F492" s="132"/>
      <c r="G492" s="132"/>
      <c r="P492" s="132"/>
      <c r="Q492" s="132"/>
      <c r="R492" s="132"/>
    </row>
    <row r="493" spans="5:18" ht="12.75">
      <c r="E493" s="132"/>
      <c r="F493" s="132"/>
      <c r="G493" s="132"/>
      <c r="P493" s="132"/>
      <c r="Q493" s="132"/>
      <c r="R493" s="132"/>
    </row>
    <row r="494" spans="5:18" ht="12.75">
      <c r="E494" s="132"/>
      <c r="F494" s="132"/>
      <c r="G494" s="132"/>
      <c r="P494" s="132"/>
      <c r="Q494" s="132"/>
      <c r="R494" s="132"/>
    </row>
    <row r="495" spans="5:18" ht="12.75">
      <c r="E495" s="132"/>
      <c r="F495" s="132"/>
      <c r="G495" s="132"/>
      <c r="P495" s="132"/>
      <c r="Q495" s="132"/>
      <c r="R495" s="132"/>
    </row>
    <row r="496" spans="5:18" ht="12.75">
      <c r="E496" s="132"/>
      <c r="F496" s="132"/>
      <c r="G496" s="132"/>
      <c r="P496" s="132"/>
      <c r="Q496" s="132"/>
      <c r="R496" s="132"/>
    </row>
    <row r="497" spans="5:18" ht="12.75">
      <c r="E497" s="132"/>
      <c r="F497" s="132"/>
      <c r="G497" s="132"/>
      <c r="P497" s="132"/>
      <c r="Q497" s="132"/>
      <c r="R497" s="132"/>
    </row>
    <row r="498" spans="5:18" ht="12.75">
      <c r="E498" s="132"/>
      <c r="F498" s="132"/>
      <c r="G498" s="132"/>
      <c r="P498" s="132"/>
      <c r="Q498" s="132"/>
      <c r="R498" s="132"/>
    </row>
    <row r="499" spans="5:18" ht="12.75">
      <c r="E499" s="132"/>
      <c r="F499" s="132"/>
      <c r="G499" s="132"/>
      <c r="P499" s="132"/>
      <c r="Q499" s="132"/>
      <c r="R499" s="132"/>
    </row>
    <row r="500" spans="5:18" ht="12.75">
      <c r="E500" s="132"/>
      <c r="F500" s="132"/>
      <c r="G500" s="132"/>
      <c r="P500" s="132"/>
      <c r="Q500" s="132"/>
      <c r="R500" s="132"/>
    </row>
    <row r="501" spans="5:18" ht="12.75">
      <c r="E501" s="132"/>
      <c r="F501" s="132"/>
      <c r="G501" s="132"/>
      <c r="P501" s="132"/>
      <c r="Q501" s="132"/>
      <c r="R501" s="132"/>
    </row>
    <row r="502" spans="5:18" ht="12.75">
      <c r="E502" s="132"/>
      <c r="F502" s="132"/>
      <c r="G502" s="132"/>
      <c r="P502" s="132"/>
      <c r="Q502" s="132"/>
      <c r="R502" s="132"/>
    </row>
    <row r="503" spans="5:18" ht="12.75">
      <c r="E503" s="132"/>
      <c r="F503" s="132"/>
      <c r="G503" s="132"/>
      <c r="P503" s="132"/>
      <c r="Q503" s="132"/>
      <c r="R503" s="132"/>
    </row>
    <row r="504" spans="5:18" ht="12.75">
      <c r="E504" s="132"/>
      <c r="F504" s="132"/>
      <c r="G504" s="132"/>
      <c r="P504" s="132"/>
      <c r="Q504" s="132"/>
      <c r="R504" s="132"/>
    </row>
    <row r="505" spans="5:18" ht="12.75">
      <c r="E505" s="132"/>
      <c r="F505" s="132"/>
      <c r="G505" s="132"/>
      <c r="P505" s="132"/>
      <c r="Q505" s="132"/>
      <c r="R505" s="132"/>
    </row>
    <row r="506" spans="5:18" ht="12.75">
      <c r="E506" s="132"/>
      <c r="F506" s="132"/>
      <c r="G506" s="132"/>
      <c r="P506" s="132"/>
      <c r="Q506" s="132"/>
      <c r="R506" s="132"/>
    </row>
    <row r="507" spans="5:18" ht="12.75">
      <c r="E507" s="132"/>
      <c r="F507" s="132"/>
      <c r="G507" s="132"/>
      <c r="P507" s="132"/>
      <c r="Q507" s="132"/>
      <c r="R507" s="132"/>
    </row>
    <row r="508" spans="5:18" ht="12.75">
      <c r="E508" s="132"/>
      <c r="F508" s="132"/>
      <c r="G508" s="132"/>
      <c r="P508" s="132"/>
      <c r="Q508" s="132"/>
      <c r="R508" s="132"/>
    </row>
    <row r="509" spans="5:18" ht="12.75">
      <c r="E509" s="132"/>
      <c r="F509" s="132"/>
      <c r="G509" s="132"/>
      <c r="P509" s="132"/>
      <c r="Q509" s="132"/>
      <c r="R509" s="132"/>
    </row>
    <row r="510" spans="5:18" ht="12.75">
      <c r="E510" s="132"/>
      <c r="F510" s="132"/>
      <c r="G510" s="132"/>
      <c r="P510" s="132"/>
      <c r="Q510" s="132"/>
      <c r="R510" s="132"/>
    </row>
    <row r="511" spans="5:18" ht="12.75">
      <c r="E511" s="132"/>
      <c r="F511" s="132"/>
      <c r="G511" s="132"/>
      <c r="P511" s="132"/>
      <c r="Q511" s="132"/>
      <c r="R511" s="132"/>
    </row>
    <row r="512" spans="5:18" ht="12.75">
      <c r="E512" s="132"/>
      <c r="F512" s="132"/>
      <c r="G512" s="132"/>
      <c r="P512" s="132"/>
      <c r="Q512" s="132"/>
      <c r="R512" s="132"/>
    </row>
    <row r="513" spans="5:18" ht="12.75">
      <c r="E513" s="132"/>
      <c r="F513" s="132"/>
      <c r="G513" s="132"/>
      <c r="P513" s="132"/>
      <c r="Q513" s="132"/>
      <c r="R513" s="132"/>
    </row>
    <row r="514" spans="5:18" ht="12.75">
      <c r="E514" s="132"/>
      <c r="F514" s="132"/>
      <c r="G514" s="132"/>
      <c r="P514" s="132"/>
      <c r="Q514" s="132"/>
      <c r="R514" s="132"/>
    </row>
    <row r="515" spans="5:18" ht="12.75">
      <c r="E515" s="132"/>
      <c r="F515" s="132"/>
      <c r="G515" s="132"/>
      <c r="P515" s="132"/>
      <c r="Q515" s="132"/>
      <c r="R515" s="132"/>
    </row>
    <row r="516" spans="5:18" ht="12.75">
      <c r="E516" s="132"/>
      <c r="F516" s="132"/>
      <c r="G516" s="132"/>
      <c r="P516" s="132"/>
      <c r="Q516" s="132"/>
      <c r="R516" s="132"/>
    </row>
    <row r="517" spans="5:18" ht="12.75">
      <c r="E517" s="132"/>
      <c r="F517" s="132"/>
      <c r="G517" s="132"/>
      <c r="P517" s="132"/>
      <c r="Q517" s="132"/>
      <c r="R517" s="132"/>
    </row>
    <row r="518" spans="5:18" ht="12.75">
      <c r="E518" s="132"/>
      <c r="F518" s="132"/>
      <c r="G518" s="132"/>
      <c r="P518" s="132"/>
      <c r="Q518" s="132"/>
      <c r="R518" s="132"/>
    </row>
    <row r="519" spans="5:18" ht="12.75">
      <c r="E519" s="132"/>
      <c r="F519" s="132"/>
      <c r="G519" s="132"/>
      <c r="P519" s="132"/>
      <c r="Q519" s="132"/>
      <c r="R519" s="132"/>
    </row>
    <row r="520" spans="5:18" ht="12.75">
      <c r="E520" s="132"/>
      <c r="F520" s="132"/>
      <c r="G520" s="132"/>
      <c r="P520" s="132"/>
      <c r="Q520" s="132"/>
      <c r="R520" s="132"/>
    </row>
    <row r="521" spans="5:18" ht="12.75">
      <c r="E521" s="132"/>
      <c r="F521" s="132"/>
      <c r="G521" s="132"/>
      <c r="P521" s="132"/>
      <c r="Q521" s="132"/>
      <c r="R521" s="132"/>
    </row>
    <row r="522" spans="5:18" ht="12.75">
      <c r="E522" s="132"/>
      <c r="F522" s="132"/>
      <c r="G522" s="132"/>
      <c r="P522" s="132"/>
      <c r="Q522" s="132"/>
      <c r="R522" s="132"/>
    </row>
    <row r="523" spans="5:18" ht="12.75">
      <c r="E523" s="132"/>
      <c r="F523" s="132"/>
      <c r="G523" s="132"/>
      <c r="P523" s="132"/>
      <c r="Q523" s="132"/>
      <c r="R523" s="132"/>
    </row>
    <row r="524" spans="5:18" ht="12.75">
      <c r="E524" s="132"/>
      <c r="F524" s="132"/>
      <c r="G524" s="132"/>
      <c r="P524" s="132"/>
      <c r="Q524" s="132"/>
      <c r="R524" s="132"/>
    </row>
    <row r="525" spans="5:18" ht="12.75">
      <c r="E525" s="132"/>
      <c r="F525" s="132"/>
      <c r="G525" s="132"/>
      <c r="P525" s="132"/>
      <c r="Q525" s="132"/>
      <c r="R525" s="132"/>
    </row>
    <row r="526" spans="5:18" ht="12.75">
      <c r="E526" s="132"/>
      <c r="F526" s="132"/>
      <c r="G526" s="132"/>
      <c r="P526" s="132"/>
      <c r="Q526" s="132"/>
      <c r="R526" s="132"/>
    </row>
    <row r="527" spans="5:18" ht="12.75">
      <c r="E527" s="132"/>
      <c r="F527" s="132"/>
      <c r="G527" s="132"/>
      <c r="P527" s="132"/>
      <c r="Q527" s="132"/>
      <c r="R527" s="132"/>
    </row>
    <row r="528" spans="5:18" ht="12.75">
      <c r="E528" s="132"/>
      <c r="F528" s="132"/>
      <c r="G528" s="132"/>
      <c r="P528" s="132"/>
      <c r="Q528" s="132"/>
      <c r="R528" s="132"/>
    </row>
    <row r="529" spans="5:18" ht="12.75">
      <c r="E529" s="132"/>
      <c r="F529" s="132"/>
      <c r="G529" s="132"/>
      <c r="P529" s="132"/>
      <c r="Q529" s="132"/>
      <c r="R529" s="132"/>
    </row>
    <row r="530" spans="5:18" ht="12.75">
      <c r="E530" s="132"/>
      <c r="F530" s="132"/>
      <c r="G530" s="132"/>
      <c r="P530" s="132"/>
      <c r="Q530" s="132"/>
      <c r="R530" s="132"/>
    </row>
    <row r="531" spans="5:18" ht="12.75">
      <c r="E531" s="132"/>
      <c r="F531" s="132"/>
      <c r="G531" s="132"/>
      <c r="P531" s="132"/>
      <c r="Q531" s="132"/>
      <c r="R531" s="132"/>
    </row>
    <row r="532" spans="5:18" ht="12.75">
      <c r="E532" s="132"/>
      <c r="F532" s="132"/>
      <c r="G532" s="132"/>
      <c r="P532" s="132"/>
      <c r="Q532" s="132"/>
      <c r="R532" s="132"/>
    </row>
    <row r="533" spans="5:18" ht="12.75">
      <c r="E533" s="132"/>
      <c r="F533" s="132"/>
      <c r="G533" s="132"/>
      <c r="P533" s="132"/>
      <c r="Q533" s="132"/>
      <c r="R533" s="132"/>
    </row>
    <row r="534" spans="5:18" ht="12.75">
      <c r="E534" s="132"/>
      <c r="F534" s="132"/>
      <c r="G534" s="132"/>
      <c r="P534" s="132"/>
      <c r="Q534" s="132"/>
      <c r="R534" s="132"/>
    </row>
    <row r="535" spans="5:18" ht="12.75">
      <c r="E535" s="132"/>
      <c r="F535" s="132"/>
      <c r="G535" s="132"/>
      <c r="P535" s="132"/>
      <c r="Q535" s="132"/>
      <c r="R535" s="132"/>
    </row>
    <row r="536" spans="5:18" ht="12.75">
      <c r="E536" s="132"/>
      <c r="F536" s="132"/>
      <c r="G536" s="132"/>
      <c r="P536" s="132"/>
      <c r="Q536" s="132"/>
      <c r="R536" s="132"/>
    </row>
    <row r="537" spans="5:18" ht="12.75">
      <c r="E537" s="132"/>
      <c r="F537" s="132"/>
      <c r="G537" s="132"/>
      <c r="P537" s="132"/>
      <c r="Q537" s="132"/>
      <c r="R537" s="132"/>
    </row>
    <row r="538" spans="5:18" ht="12.75">
      <c r="E538" s="132"/>
      <c r="F538" s="132"/>
      <c r="G538" s="132"/>
      <c r="P538" s="132"/>
      <c r="Q538" s="132"/>
      <c r="R538" s="132"/>
    </row>
    <row r="539" spans="5:18" ht="12.75">
      <c r="E539" s="132"/>
      <c r="F539" s="132"/>
      <c r="G539" s="132"/>
      <c r="P539" s="132"/>
      <c r="Q539" s="132"/>
      <c r="R539" s="132"/>
    </row>
    <row r="540" spans="5:18" ht="12.75">
      <c r="E540" s="132"/>
      <c r="F540" s="132"/>
      <c r="G540" s="132"/>
      <c r="P540" s="132"/>
      <c r="Q540" s="132"/>
      <c r="R540" s="132"/>
    </row>
    <row r="541" spans="5:18" ht="12.75">
      <c r="E541" s="132"/>
      <c r="F541" s="132"/>
      <c r="G541" s="132"/>
      <c r="P541" s="132"/>
      <c r="Q541" s="132"/>
      <c r="R541" s="132"/>
    </row>
    <row r="542" spans="5:18" ht="12.75">
      <c r="E542" s="132"/>
      <c r="F542" s="132"/>
      <c r="G542" s="132"/>
      <c r="P542" s="132"/>
      <c r="Q542" s="132"/>
      <c r="R542" s="132"/>
    </row>
    <row r="543" spans="5:18" ht="12.75">
      <c r="E543" s="132"/>
      <c r="F543" s="132"/>
      <c r="G543" s="132"/>
      <c r="P543" s="132"/>
      <c r="Q543" s="132"/>
      <c r="R543" s="132"/>
    </row>
    <row r="544" spans="5:18" ht="12.75">
      <c r="E544" s="132"/>
      <c r="F544" s="132"/>
      <c r="G544" s="132"/>
      <c r="P544" s="132"/>
      <c r="Q544" s="132"/>
      <c r="R544" s="132"/>
    </row>
    <row r="545" spans="5:18" ht="12.75">
      <c r="E545" s="132"/>
      <c r="F545" s="132"/>
      <c r="G545" s="132"/>
      <c r="P545" s="132"/>
      <c r="Q545" s="132"/>
      <c r="R545" s="132"/>
    </row>
    <row r="546" spans="5:18" ht="12.75">
      <c r="E546" s="132"/>
      <c r="F546" s="132"/>
      <c r="G546" s="132"/>
      <c r="P546" s="132"/>
      <c r="Q546" s="132"/>
      <c r="R546" s="132"/>
    </row>
    <row r="547" spans="5:18" ht="12.75">
      <c r="E547" s="132"/>
      <c r="F547" s="132"/>
      <c r="G547" s="132"/>
      <c r="P547" s="132"/>
      <c r="Q547" s="132"/>
      <c r="R547" s="132"/>
    </row>
    <row r="548" spans="5:18" ht="12.75">
      <c r="E548" s="132"/>
      <c r="F548" s="132"/>
      <c r="G548" s="132"/>
      <c r="P548" s="132"/>
      <c r="Q548" s="132"/>
      <c r="R548" s="132"/>
    </row>
    <row r="549" spans="5:18" ht="12.75">
      <c r="E549" s="132"/>
      <c r="F549" s="132"/>
      <c r="G549" s="132"/>
      <c r="P549" s="132"/>
      <c r="Q549" s="132"/>
      <c r="R549" s="132"/>
    </row>
    <row r="550" spans="5:18" ht="12.75">
      <c r="E550" s="132"/>
      <c r="F550" s="132"/>
      <c r="G550" s="132"/>
      <c r="P550" s="132"/>
      <c r="Q550" s="132"/>
      <c r="R550" s="132"/>
    </row>
    <row r="551" spans="5:18" ht="12.75">
      <c r="E551" s="132"/>
      <c r="F551" s="132"/>
      <c r="G551" s="132"/>
      <c r="P551" s="132"/>
      <c r="Q551" s="132"/>
      <c r="R551" s="132"/>
    </row>
    <row r="552" spans="5:18" ht="12.75">
      <c r="E552" s="132"/>
      <c r="F552" s="132"/>
      <c r="G552" s="132"/>
      <c r="P552" s="132"/>
      <c r="Q552" s="132"/>
      <c r="R552" s="132"/>
    </row>
    <row r="553" spans="5:18" ht="12.75">
      <c r="E553" s="132"/>
      <c r="F553" s="132"/>
      <c r="G553" s="132"/>
      <c r="P553" s="132"/>
      <c r="Q553" s="132"/>
      <c r="R553" s="132"/>
    </row>
    <row r="554" spans="5:18" ht="12.75">
      <c r="E554" s="132"/>
      <c r="F554" s="132"/>
      <c r="G554" s="132"/>
      <c r="P554" s="132"/>
      <c r="Q554" s="132"/>
      <c r="R554" s="132"/>
    </row>
    <row r="555" spans="5:18" ht="12.75">
      <c r="E555" s="132"/>
      <c r="F555" s="132"/>
      <c r="G555" s="132"/>
      <c r="P555" s="132"/>
      <c r="Q555" s="132"/>
      <c r="R555" s="132"/>
    </row>
    <row r="556" spans="5:18" ht="12.75">
      <c r="E556" s="132"/>
      <c r="F556" s="132"/>
      <c r="G556" s="132"/>
      <c r="P556" s="132"/>
      <c r="Q556" s="132"/>
      <c r="R556" s="132"/>
    </row>
    <row r="557" spans="5:18" ht="12.75">
      <c r="E557" s="132"/>
      <c r="F557" s="132"/>
      <c r="G557" s="132"/>
      <c r="P557" s="132"/>
      <c r="Q557" s="132"/>
      <c r="R557" s="132"/>
    </row>
    <row r="558" spans="5:18" ht="12.75">
      <c r="E558" s="132"/>
      <c r="F558" s="132"/>
      <c r="G558" s="132"/>
      <c r="P558" s="132"/>
      <c r="Q558" s="132"/>
      <c r="R558" s="132"/>
    </row>
    <row r="559" spans="5:18" ht="12.75">
      <c r="E559" s="132"/>
      <c r="F559" s="132"/>
      <c r="G559" s="132"/>
      <c r="P559" s="132"/>
      <c r="Q559" s="132"/>
      <c r="R559" s="132"/>
    </row>
    <row r="560" spans="5:18" ht="12.75">
      <c r="E560" s="132"/>
      <c r="F560" s="132"/>
      <c r="G560" s="132"/>
      <c r="P560" s="132"/>
      <c r="Q560" s="132"/>
      <c r="R560" s="132"/>
    </row>
    <row r="561" spans="5:18" ht="12.75">
      <c r="E561" s="132"/>
      <c r="F561" s="132"/>
      <c r="G561" s="132"/>
      <c r="P561" s="132"/>
      <c r="Q561" s="132"/>
      <c r="R561" s="132"/>
    </row>
    <row r="562" spans="5:18" ht="12.75">
      <c r="E562" s="132"/>
      <c r="F562" s="132"/>
      <c r="G562" s="132"/>
      <c r="P562" s="132"/>
      <c r="Q562" s="132"/>
      <c r="R562" s="132"/>
    </row>
    <row r="563" spans="5:18" ht="12.75">
      <c r="E563" s="132"/>
      <c r="F563" s="132"/>
      <c r="G563" s="132"/>
      <c r="P563" s="132"/>
      <c r="Q563" s="132"/>
      <c r="R563" s="132"/>
    </row>
    <row r="564" spans="5:18" ht="12.75">
      <c r="E564" s="132"/>
      <c r="F564" s="132"/>
      <c r="G564" s="132"/>
      <c r="P564" s="132"/>
      <c r="Q564" s="132"/>
      <c r="R564" s="132"/>
    </row>
    <row r="565" spans="5:18" ht="12.75">
      <c r="E565" s="132"/>
      <c r="F565" s="132"/>
      <c r="G565" s="132"/>
      <c r="P565" s="132"/>
      <c r="Q565" s="132"/>
      <c r="R565" s="132"/>
    </row>
    <row r="566" spans="5:18" ht="12.75">
      <c r="E566" s="132"/>
      <c r="F566" s="132"/>
      <c r="G566" s="132"/>
      <c r="P566" s="132"/>
      <c r="Q566" s="132"/>
      <c r="R566" s="132"/>
    </row>
    <row r="567" spans="5:18" ht="12.75">
      <c r="E567" s="132"/>
      <c r="F567" s="132"/>
      <c r="G567" s="132"/>
      <c r="P567" s="132"/>
      <c r="Q567" s="132"/>
      <c r="R567" s="132"/>
    </row>
    <row r="568" spans="5:18" ht="12.75">
      <c r="E568" s="132"/>
      <c r="F568" s="132"/>
      <c r="G568" s="132"/>
      <c r="P568" s="132"/>
      <c r="Q568" s="132"/>
      <c r="R568" s="132"/>
    </row>
    <row r="569" spans="5:18" ht="12.75">
      <c r="E569" s="132"/>
      <c r="F569" s="132"/>
      <c r="G569" s="132"/>
      <c r="P569" s="132"/>
      <c r="Q569" s="132"/>
      <c r="R569" s="132"/>
    </row>
    <row r="570" spans="5:18" ht="12.75">
      <c r="E570" s="132"/>
      <c r="F570" s="132"/>
      <c r="G570" s="132"/>
      <c r="P570" s="132"/>
      <c r="Q570" s="132"/>
      <c r="R570" s="132"/>
    </row>
    <row r="571" spans="5:18" ht="12.75">
      <c r="E571" s="132"/>
      <c r="F571" s="132"/>
      <c r="G571" s="132"/>
      <c r="P571" s="132"/>
      <c r="Q571" s="132"/>
      <c r="R571" s="132"/>
    </row>
    <row r="572" spans="5:18" ht="12.75">
      <c r="E572" s="132"/>
      <c r="F572" s="132"/>
      <c r="G572" s="132"/>
      <c r="P572" s="132"/>
      <c r="Q572" s="132"/>
      <c r="R572" s="132"/>
    </row>
    <row r="573" spans="5:18" ht="12.75">
      <c r="E573" s="132"/>
      <c r="F573" s="132"/>
      <c r="G573" s="132"/>
      <c r="P573" s="132"/>
      <c r="Q573" s="132"/>
      <c r="R573" s="132"/>
    </row>
    <row r="574" spans="5:18" ht="12.75">
      <c r="E574" s="132"/>
      <c r="F574" s="132"/>
      <c r="G574" s="132"/>
      <c r="P574" s="132"/>
      <c r="Q574" s="132"/>
      <c r="R574" s="132"/>
    </row>
    <row r="575" spans="5:18" ht="12.75">
      <c r="E575" s="132"/>
      <c r="F575" s="132"/>
      <c r="G575" s="132"/>
      <c r="P575" s="132"/>
      <c r="Q575" s="132"/>
      <c r="R575" s="132"/>
    </row>
    <row r="576" spans="5:18" ht="12.75">
      <c r="E576" s="132"/>
      <c r="F576" s="132"/>
      <c r="G576" s="132"/>
      <c r="P576" s="132"/>
      <c r="Q576" s="132"/>
      <c r="R576" s="132"/>
    </row>
    <row r="577" spans="5:18" ht="12.75">
      <c r="E577" s="132"/>
      <c r="F577" s="132"/>
      <c r="G577" s="132"/>
      <c r="P577" s="132"/>
      <c r="Q577" s="132"/>
      <c r="R577" s="132"/>
    </row>
    <row r="578" spans="5:18" ht="12.75">
      <c r="E578" s="132"/>
      <c r="F578" s="132"/>
      <c r="G578" s="132"/>
      <c r="P578" s="132"/>
      <c r="Q578" s="132"/>
      <c r="R578" s="132"/>
    </row>
    <row r="579" spans="5:18" ht="12.75">
      <c r="E579" s="132"/>
      <c r="F579" s="132"/>
      <c r="G579" s="132"/>
      <c r="P579" s="132"/>
      <c r="Q579" s="132"/>
      <c r="R579" s="132"/>
    </row>
    <row r="580" spans="5:18" ht="12.75">
      <c r="E580" s="132"/>
      <c r="F580" s="132"/>
      <c r="G580" s="132"/>
      <c r="P580" s="132"/>
      <c r="Q580" s="132"/>
      <c r="R580" s="132"/>
    </row>
    <row r="581" spans="5:18" ht="12.75">
      <c r="E581" s="132"/>
      <c r="F581" s="132"/>
      <c r="G581" s="132"/>
      <c r="P581" s="132"/>
      <c r="Q581" s="132"/>
      <c r="R581" s="132"/>
    </row>
    <row r="582" spans="5:18" ht="12.75">
      <c r="E582" s="132"/>
      <c r="F582" s="132"/>
      <c r="G582" s="132"/>
      <c r="P582" s="132"/>
      <c r="Q582" s="132"/>
      <c r="R582" s="132"/>
    </row>
    <row r="583" spans="5:18" ht="12.75">
      <c r="E583" s="132"/>
      <c r="F583" s="132"/>
      <c r="G583" s="132"/>
      <c r="P583" s="132"/>
      <c r="Q583" s="132"/>
      <c r="R583" s="132"/>
    </row>
    <row r="584" spans="5:18" ht="12.75">
      <c r="E584" s="132"/>
      <c r="F584" s="132"/>
      <c r="G584" s="132"/>
      <c r="P584" s="132"/>
      <c r="Q584" s="132"/>
      <c r="R584" s="132"/>
    </row>
    <row r="585" spans="5:18" ht="12.75">
      <c r="E585" s="132"/>
      <c r="F585" s="132"/>
      <c r="G585" s="132"/>
      <c r="P585" s="132"/>
      <c r="Q585" s="132"/>
      <c r="R585" s="132"/>
    </row>
    <row r="586" spans="5:18" ht="12.75">
      <c r="E586" s="132"/>
      <c r="F586" s="132"/>
      <c r="G586" s="132"/>
      <c r="P586" s="132"/>
      <c r="Q586" s="132"/>
      <c r="R586" s="132"/>
    </row>
    <row r="587" spans="5:18" ht="12.75">
      <c r="E587" s="132"/>
      <c r="F587" s="132"/>
      <c r="G587" s="132"/>
      <c r="P587" s="132"/>
      <c r="Q587" s="132"/>
      <c r="R587" s="132"/>
    </row>
    <row r="588" spans="5:18" ht="12.75">
      <c r="E588" s="132"/>
      <c r="F588" s="132"/>
      <c r="G588" s="132"/>
      <c r="P588" s="132"/>
      <c r="Q588" s="132"/>
      <c r="R588" s="132"/>
    </row>
    <row r="589" spans="5:18" ht="12.75">
      <c r="E589" s="132"/>
      <c r="F589" s="132"/>
      <c r="G589" s="132"/>
      <c r="P589" s="132"/>
      <c r="Q589" s="132"/>
      <c r="R589" s="132"/>
    </row>
    <row r="590" spans="5:18" ht="12.75">
      <c r="E590" s="132"/>
      <c r="F590" s="132"/>
      <c r="G590" s="132"/>
      <c r="P590" s="132"/>
      <c r="Q590" s="132"/>
      <c r="R590" s="132"/>
    </row>
    <row r="591" spans="5:18" ht="12.75">
      <c r="E591" s="132"/>
      <c r="F591" s="132"/>
      <c r="G591" s="132"/>
      <c r="P591" s="132"/>
      <c r="Q591" s="132"/>
      <c r="R591" s="132"/>
    </row>
    <row r="592" spans="5:18" ht="12.75">
      <c r="E592" s="132"/>
      <c r="F592" s="132"/>
      <c r="G592" s="132"/>
      <c r="P592" s="132"/>
      <c r="Q592" s="132"/>
      <c r="R592" s="132"/>
    </row>
    <row r="593" spans="5:18" ht="12.75">
      <c r="E593" s="132"/>
      <c r="F593" s="132"/>
      <c r="G593" s="132"/>
      <c r="P593" s="132"/>
      <c r="Q593" s="132"/>
      <c r="R593" s="132"/>
    </row>
    <row r="594" spans="5:18" ht="12.75">
      <c r="E594" s="132"/>
      <c r="F594" s="132"/>
      <c r="G594" s="132"/>
      <c r="P594" s="132"/>
      <c r="Q594" s="132"/>
      <c r="R594" s="132"/>
    </row>
    <row r="595" spans="5:18" ht="12.75">
      <c r="E595" s="132"/>
      <c r="F595" s="132"/>
      <c r="G595" s="132"/>
      <c r="P595" s="132"/>
      <c r="Q595" s="132"/>
      <c r="R595" s="132"/>
    </row>
    <row r="596" spans="5:18" ht="12.75">
      <c r="E596" s="132"/>
      <c r="F596" s="132"/>
      <c r="G596" s="132"/>
      <c r="P596" s="132"/>
      <c r="Q596" s="132"/>
      <c r="R596" s="132"/>
    </row>
    <row r="597" spans="5:18" ht="12.75">
      <c r="E597" s="132"/>
      <c r="F597" s="132"/>
      <c r="G597" s="132"/>
      <c r="P597" s="132"/>
      <c r="Q597" s="132"/>
      <c r="R597" s="132"/>
    </row>
    <row r="598" spans="5:18" ht="12.75">
      <c r="E598" s="132"/>
      <c r="F598" s="132"/>
      <c r="G598" s="132"/>
      <c r="P598" s="132"/>
      <c r="Q598" s="132"/>
      <c r="R598" s="132"/>
    </row>
    <row r="599" spans="5:18" ht="12.75">
      <c r="E599" s="132"/>
      <c r="F599" s="132"/>
      <c r="G599" s="132"/>
      <c r="P599" s="132"/>
      <c r="Q599" s="132"/>
      <c r="R599" s="132"/>
    </row>
    <row r="600" spans="5:18" ht="12.75">
      <c r="E600" s="132"/>
      <c r="F600" s="132"/>
      <c r="G600" s="132"/>
      <c r="P600" s="132"/>
      <c r="Q600" s="132"/>
      <c r="R600" s="132"/>
    </row>
    <row r="601" spans="5:18" ht="12.75">
      <c r="E601" s="132"/>
      <c r="F601" s="132"/>
      <c r="G601" s="132"/>
      <c r="P601" s="132"/>
      <c r="Q601" s="132"/>
      <c r="R601" s="132"/>
    </row>
    <row r="602" spans="5:18" ht="12.75">
      <c r="E602" s="132"/>
      <c r="F602" s="132"/>
      <c r="G602" s="132"/>
      <c r="P602" s="132"/>
      <c r="Q602" s="132"/>
      <c r="R602" s="132"/>
    </row>
    <row r="603" spans="5:18" ht="12.75">
      <c r="E603" s="132"/>
      <c r="F603" s="132"/>
      <c r="G603" s="132"/>
      <c r="P603" s="132"/>
      <c r="Q603" s="132"/>
      <c r="R603" s="132"/>
    </row>
    <row r="604" spans="5:18" ht="12.75">
      <c r="E604" s="132"/>
      <c r="F604" s="132"/>
      <c r="G604" s="132"/>
      <c r="P604" s="132"/>
      <c r="Q604" s="132"/>
      <c r="R604" s="132"/>
    </row>
    <row r="605" spans="5:18" ht="12.75">
      <c r="E605" s="132"/>
      <c r="F605" s="132"/>
      <c r="G605" s="132"/>
      <c r="P605" s="132"/>
      <c r="Q605" s="132"/>
      <c r="R605" s="132"/>
    </row>
    <row r="606" spans="5:18" ht="12.75">
      <c r="E606" s="132"/>
      <c r="F606" s="132"/>
      <c r="G606" s="132"/>
      <c r="P606" s="132"/>
      <c r="Q606" s="132"/>
      <c r="R606" s="132"/>
    </row>
    <row r="607" spans="5:18" ht="12.75">
      <c r="E607" s="132"/>
      <c r="F607" s="132"/>
      <c r="G607" s="132"/>
      <c r="P607" s="132"/>
      <c r="Q607" s="132"/>
      <c r="R607" s="132"/>
    </row>
    <row r="608" spans="5:18" ht="12.75">
      <c r="E608" s="132"/>
      <c r="F608" s="132"/>
      <c r="G608" s="132"/>
      <c r="P608" s="132"/>
      <c r="Q608" s="132"/>
      <c r="R608" s="132"/>
    </row>
    <row r="609" spans="5:18" ht="12.75">
      <c r="E609" s="132"/>
      <c r="F609" s="132"/>
      <c r="G609" s="132"/>
      <c r="P609" s="132"/>
      <c r="Q609" s="132"/>
      <c r="R609" s="132"/>
    </row>
    <row r="610" spans="5:18" ht="12.75">
      <c r="E610" s="132"/>
      <c r="F610" s="132"/>
      <c r="G610" s="132"/>
      <c r="P610" s="132"/>
      <c r="Q610" s="132"/>
      <c r="R610" s="132"/>
    </row>
    <row r="611" spans="5:18" ht="12.75">
      <c r="E611" s="132"/>
      <c r="F611" s="132"/>
      <c r="G611" s="132"/>
      <c r="P611" s="132"/>
      <c r="Q611" s="132"/>
      <c r="R611" s="132"/>
    </row>
    <row r="612" spans="5:18" ht="12.75">
      <c r="E612" s="132"/>
      <c r="F612" s="132"/>
      <c r="G612" s="132"/>
      <c r="P612" s="132"/>
      <c r="Q612" s="132"/>
      <c r="R612" s="132"/>
    </row>
    <row r="613" spans="5:18" ht="12.75">
      <c r="E613" s="132"/>
      <c r="F613" s="132"/>
      <c r="G613" s="132"/>
      <c r="P613" s="132"/>
      <c r="Q613" s="132"/>
      <c r="R613" s="132"/>
    </row>
    <row r="614" spans="5:18" ht="12.75">
      <c r="E614" s="132"/>
      <c r="F614" s="132"/>
      <c r="G614" s="132"/>
      <c r="P614" s="132"/>
      <c r="Q614" s="132"/>
      <c r="R614" s="132"/>
    </row>
    <row r="615" spans="5:18" ht="12.75">
      <c r="E615" s="132"/>
      <c r="F615" s="132"/>
      <c r="G615" s="132"/>
      <c r="P615" s="132"/>
      <c r="Q615" s="132"/>
      <c r="R615" s="132"/>
    </row>
    <row r="616" spans="5:18" ht="12.75">
      <c r="E616" s="132"/>
      <c r="F616" s="132"/>
      <c r="G616" s="132"/>
      <c r="P616" s="132"/>
      <c r="Q616" s="132"/>
      <c r="R616" s="132"/>
    </row>
    <row r="617" spans="5:18" ht="12.75">
      <c r="E617" s="132"/>
      <c r="F617" s="132"/>
      <c r="G617" s="132"/>
      <c r="P617" s="132"/>
      <c r="Q617" s="132"/>
      <c r="R617" s="132"/>
    </row>
    <row r="618" spans="5:18" ht="12.75">
      <c r="E618" s="132"/>
      <c r="F618" s="132"/>
      <c r="G618" s="132"/>
      <c r="P618" s="132"/>
      <c r="Q618" s="132"/>
      <c r="R618" s="132"/>
    </row>
    <row r="619" spans="5:18" ht="12.75">
      <c r="E619" s="132"/>
      <c r="F619" s="132"/>
      <c r="G619" s="132"/>
      <c r="P619" s="132"/>
      <c r="Q619" s="132"/>
      <c r="R619" s="132"/>
    </row>
    <row r="620" spans="5:18" ht="12.75">
      <c r="E620" s="132"/>
      <c r="F620" s="132"/>
      <c r="G620" s="132"/>
      <c r="P620" s="132"/>
      <c r="Q620" s="132"/>
      <c r="R620" s="132"/>
    </row>
    <row r="621" spans="5:18" ht="12.75">
      <c r="E621" s="132"/>
      <c r="F621" s="132"/>
      <c r="G621" s="132"/>
      <c r="P621" s="132"/>
      <c r="Q621" s="132"/>
      <c r="R621" s="132"/>
    </row>
    <row r="622" spans="5:18" ht="12.75">
      <c r="E622" s="132"/>
      <c r="F622" s="132"/>
      <c r="G622" s="132"/>
      <c r="P622" s="132"/>
      <c r="Q622" s="132"/>
      <c r="R622" s="132"/>
    </row>
    <row r="623" spans="5:18" ht="12.75">
      <c r="E623" s="132"/>
      <c r="F623" s="132"/>
      <c r="G623" s="132"/>
      <c r="P623" s="132"/>
      <c r="Q623" s="132"/>
      <c r="R623" s="132"/>
    </row>
    <row r="624" spans="5:18" ht="12.75">
      <c r="E624" s="132"/>
      <c r="F624" s="132"/>
      <c r="G624" s="132"/>
      <c r="P624" s="132"/>
      <c r="Q624" s="132"/>
      <c r="R624" s="132"/>
    </row>
    <row r="625" spans="5:18" ht="12.75">
      <c r="E625" s="132"/>
      <c r="F625" s="132"/>
      <c r="G625" s="132"/>
      <c r="P625" s="132"/>
      <c r="Q625" s="132"/>
      <c r="R625" s="132"/>
    </row>
    <row r="626" spans="5:18" ht="12.75">
      <c r="E626" s="132"/>
      <c r="F626" s="132"/>
      <c r="G626" s="132"/>
      <c r="P626" s="132"/>
      <c r="Q626" s="132"/>
      <c r="R626" s="132"/>
    </row>
    <row r="627" spans="5:18" ht="12.75">
      <c r="E627" s="132"/>
      <c r="F627" s="132"/>
      <c r="G627" s="132"/>
      <c r="P627" s="132"/>
      <c r="Q627" s="132"/>
      <c r="R627" s="132"/>
    </row>
    <row r="628" spans="5:18" ht="12.75">
      <c r="E628" s="132"/>
      <c r="F628" s="132"/>
      <c r="G628" s="132"/>
      <c r="P628" s="132"/>
      <c r="Q628" s="132"/>
      <c r="R628" s="132"/>
    </row>
    <row r="629" spans="5:18" ht="12.75">
      <c r="E629" s="132"/>
      <c r="F629" s="132"/>
      <c r="G629" s="132"/>
      <c r="P629" s="132"/>
      <c r="Q629" s="132"/>
      <c r="R629" s="132"/>
    </row>
    <row r="630" spans="5:18" ht="12.75">
      <c r="E630" s="132"/>
      <c r="F630" s="132"/>
      <c r="G630" s="132"/>
      <c r="P630" s="132"/>
      <c r="Q630" s="132"/>
      <c r="R630" s="132"/>
    </row>
    <row r="631" spans="5:18" ht="12.75">
      <c r="E631" s="132"/>
      <c r="F631" s="132"/>
      <c r="G631" s="132"/>
      <c r="P631" s="132"/>
      <c r="Q631" s="132"/>
      <c r="R631" s="132"/>
    </row>
    <row r="632" spans="5:18" ht="12.75">
      <c r="E632" s="132"/>
      <c r="F632" s="132"/>
      <c r="G632" s="132"/>
      <c r="P632" s="132"/>
      <c r="Q632" s="132"/>
      <c r="R632" s="132"/>
    </row>
    <row r="633" spans="5:18" ht="12.75">
      <c r="E633" s="132"/>
      <c r="F633" s="132"/>
      <c r="G633" s="132"/>
      <c r="P633" s="132"/>
      <c r="Q633" s="132"/>
      <c r="R633" s="132"/>
    </row>
    <row r="634" spans="5:18" ht="12.75">
      <c r="E634" s="132"/>
      <c r="F634" s="132"/>
      <c r="G634" s="132"/>
      <c r="P634" s="132"/>
      <c r="Q634" s="132"/>
      <c r="R634" s="132"/>
    </row>
    <row r="635" spans="5:18" ht="12.75">
      <c r="E635" s="132"/>
      <c r="F635" s="132"/>
      <c r="G635" s="132"/>
      <c r="P635" s="132"/>
      <c r="Q635" s="132"/>
      <c r="R635" s="132"/>
    </row>
    <row r="636" spans="5:18" ht="12.75">
      <c r="E636" s="132"/>
      <c r="F636" s="132"/>
      <c r="G636" s="132"/>
      <c r="P636" s="132"/>
      <c r="Q636" s="132"/>
      <c r="R636" s="132"/>
    </row>
    <row r="637" spans="5:18" ht="12.75">
      <c r="E637" s="132"/>
      <c r="F637" s="132"/>
      <c r="G637" s="132"/>
      <c r="P637" s="132"/>
      <c r="Q637" s="132"/>
      <c r="R637" s="132"/>
    </row>
    <row r="638" spans="5:18" ht="12.75">
      <c r="E638" s="132"/>
      <c r="F638" s="132"/>
      <c r="G638" s="132"/>
      <c r="P638" s="132"/>
      <c r="Q638" s="132"/>
      <c r="R638" s="132"/>
    </row>
    <row r="639" spans="5:18" ht="12.75">
      <c r="E639" s="132"/>
      <c r="F639" s="132"/>
      <c r="G639" s="132"/>
      <c r="P639" s="132"/>
      <c r="Q639" s="132"/>
      <c r="R639" s="132"/>
    </row>
    <row r="640" spans="5:18" ht="12.75">
      <c r="E640" s="132"/>
      <c r="F640" s="132"/>
      <c r="G640" s="132"/>
      <c r="P640" s="132"/>
      <c r="Q640" s="132"/>
      <c r="R640" s="132"/>
    </row>
    <row r="641" spans="5:18" ht="12.75">
      <c r="E641" s="132"/>
      <c r="F641" s="132"/>
      <c r="G641" s="132"/>
      <c r="P641" s="132"/>
      <c r="Q641" s="132"/>
      <c r="R641" s="132"/>
    </row>
    <row r="642" spans="5:18" ht="12.75">
      <c r="E642" s="132"/>
      <c r="F642" s="132"/>
      <c r="G642" s="132"/>
      <c r="P642" s="132"/>
      <c r="Q642" s="132"/>
      <c r="R642" s="132"/>
    </row>
    <row r="643" spans="5:18" ht="12.75">
      <c r="E643" s="132"/>
      <c r="F643" s="132"/>
      <c r="G643" s="132"/>
      <c r="P643" s="132"/>
      <c r="Q643" s="132"/>
      <c r="R643" s="132"/>
    </row>
    <row r="644" spans="5:18" ht="12.75">
      <c r="E644" s="132"/>
      <c r="F644" s="132"/>
      <c r="G644" s="132"/>
      <c r="P644" s="132"/>
      <c r="Q644" s="132"/>
      <c r="R644" s="132"/>
    </row>
    <row r="645" spans="5:18" ht="12.75">
      <c r="E645" s="132"/>
      <c r="F645" s="132"/>
      <c r="G645" s="132"/>
      <c r="P645" s="132"/>
      <c r="Q645" s="132"/>
      <c r="R645" s="132"/>
    </row>
    <row r="646" spans="5:18" ht="12.75">
      <c r="E646" s="132"/>
      <c r="F646" s="132"/>
      <c r="G646" s="132"/>
      <c r="P646" s="132"/>
      <c r="Q646" s="132"/>
      <c r="R646" s="132"/>
    </row>
    <row r="647" spans="5:18" ht="12.75">
      <c r="E647" s="132"/>
      <c r="F647" s="132"/>
      <c r="G647" s="132"/>
      <c r="P647" s="132"/>
      <c r="Q647" s="132"/>
      <c r="R647" s="132"/>
    </row>
    <row r="648" spans="5:18" ht="12.75">
      <c r="E648" s="132"/>
      <c r="F648" s="132"/>
      <c r="G648" s="132"/>
      <c r="P648" s="132"/>
      <c r="Q648" s="132"/>
      <c r="R648" s="132"/>
    </row>
    <row r="649" spans="5:18" ht="12.75">
      <c r="E649" s="132"/>
      <c r="F649" s="132"/>
      <c r="G649" s="132"/>
      <c r="P649" s="132"/>
      <c r="Q649" s="132"/>
      <c r="R649" s="132"/>
    </row>
    <row r="650" spans="5:18" ht="12.75">
      <c r="E650" s="132"/>
      <c r="F650" s="132"/>
      <c r="G650" s="132"/>
      <c r="P650" s="132"/>
      <c r="Q650" s="132"/>
      <c r="R650" s="132"/>
    </row>
    <row r="651" spans="5:18" ht="12.75">
      <c r="E651" s="132"/>
      <c r="F651" s="132"/>
      <c r="G651" s="132"/>
      <c r="P651" s="132"/>
      <c r="Q651" s="132"/>
      <c r="R651" s="132"/>
    </row>
    <row r="652" spans="5:18" ht="12.75">
      <c r="E652" s="132"/>
      <c r="F652" s="132"/>
      <c r="G652" s="132"/>
      <c r="P652" s="132"/>
      <c r="Q652" s="132"/>
      <c r="R652" s="132"/>
    </row>
    <row r="653" spans="5:18" ht="12.75">
      <c r="E653" s="132"/>
      <c r="F653" s="132"/>
      <c r="G653" s="132"/>
      <c r="P653" s="132"/>
      <c r="Q653" s="132"/>
      <c r="R653" s="132"/>
    </row>
    <row r="654" spans="5:18" ht="12.75">
      <c r="E654" s="132"/>
      <c r="F654" s="132"/>
      <c r="G654" s="132"/>
      <c r="P654" s="132"/>
      <c r="Q654" s="132"/>
      <c r="R654" s="132"/>
    </row>
    <row r="655" spans="5:18" ht="12.75">
      <c r="E655" s="132"/>
      <c r="F655" s="132"/>
      <c r="G655" s="132"/>
      <c r="P655" s="132"/>
      <c r="Q655" s="132"/>
      <c r="R655" s="132"/>
    </row>
    <row r="656" spans="5:18" ht="12.75">
      <c r="E656" s="132"/>
      <c r="F656" s="132"/>
      <c r="G656" s="132"/>
      <c r="P656" s="132"/>
      <c r="Q656" s="132"/>
      <c r="R656" s="132"/>
    </row>
    <row r="657" spans="5:18" ht="12.75">
      <c r="E657" s="132"/>
      <c r="F657" s="132"/>
      <c r="G657" s="132"/>
      <c r="P657" s="132"/>
      <c r="Q657" s="132"/>
      <c r="R657" s="132"/>
    </row>
    <row r="658" spans="5:18" ht="12.75">
      <c r="E658" s="132"/>
      <c r="F658" s="132"/>
      <c r="G658" s="132"/>
      <c r="P658" s="132"/>
      <c r="Q658" s="132"/>
      <c r="R658" s="132"/>
    </row>
    <row r="659" spans="5:18" ht="12.75">
      <c r="E659" s="132"/>
      <c r="F659" s="132"/>
      <c r="G659" s="132"/>
      <c r="P659" s="132"/>
      <c r="Q659" s="132"/>
      <c r="R659" s="132"/>
    </row>
    <row r="660" spans="5:18" ht="12.75">
      <c r="E660" s="132"/>
      <c r="F660" s="132"/>
      <c r="G660" s="132"/>
      <c r="P660" s="132"/>
      <c r="Q660" s="132"/>
      <c r="R660" s="132"/>
    </row>
    <row r="661" spans="5:18" ht="12.75">
      <c r="E661" s="132"/>
      <c r="F661" s="132"/>
      <c r="G661" s="132"/>
      <c r="P661" s="132"/>
      <c r="Q661" s="132"/>
      <c r="R661" s="132"/>
    </row>
    <row r="662" spans="5:18" ht="12.75">
      <c r="E662" s="132"/>
      <c r="F662" s="132"/>
      <c r="G662" s="132"/>
      <c r="P662" s="132"/>
      <c r="Q662" s="132"/>
      <c r="R662" s="132"/>
    </row>
    <row r="663" spans="5:18" ht="12.75">
      <c r="E663" s="132"/>
      <c r="F663" s="132"/>
      <c r="G663" s="132"/>
      <c r="P663" s="132"/>
      <c r="Q663" s="132"/>
      <c r="R663" s="132"/>
    </row>
    <row r="664" spans="5:18" ht="12.75">
      <c r="E664" s="132"/>
      <c r="F664" s="132"/>
      <c r="G664" s="132"/>
      <c r="P664" s="132"/>
      <c r="Q664" s="132"/>
      <c r="R664" s="132"/>
    </row>
    <row r="665" spans="5:18" ht="12.75">
      <c r="E665" s="132"/>
      <c r="F665" s="132"/>
      <c r="G665" s="132"/>
      <c r="P665" s="132"/>
      <c r="Q665" s="132"/>
      <c r="R665" s="132"/>
    </row>
    <row r="666" spans="5:18" ht="12.75">
      <c r="E666" s="132"/>
      <c r="F666" s="132"/>
      <c r="G666" s="132"/>
      <c r="P666" s="132"/>
      <c r="Q666" s="132"/>
      <c r="R666" s="132"/>
    </row>
    <row r="667" spans="5:18" ht="12.75">
      <c r="E667" s="132"/>
      <c r="F667" s="132"/>
      <c r="G667" s="132"/>
      <c r="P667" s="132"/>
      <c r="Q667" s="132"/>
      <c r="R667" s="132"/>
    </row>
    <row r="668" spans="5:18" ht="12.75">
      <c r="E668" s="132"/>
      <c r="F668" s="132"/>
      <c r="G668" s="132"/>
      <c r="P668" s="132"/>
      <c r="Q668" s="132"/>
      <c r="R668" s="132"/>
    </row>
    <row r="669" spans="5:18" ht="12.75">
      <c r="E669" s="132"/>
      <c r="F669" s="132"/>
      <c r="G669" s="132"/>
      <c r="P669" s="132"/>
      <c r="Q669" s="132"/>
      <c r="R669" s="132"/>
    </row>
    <row r="670" spans="5:18" ht="12.75">
      <c r="E670" s="132"/>
      <c r="F670" s="132"/>
      <c r="G670" s="132"/>
      <c r="P670" s="132"/>
      <c r="Q670" s="132"/>
      <c r="R670" s="132"/>
    </row>
    <row r="671" spans="5:18" ht="12.75">
      <c r="E671" s="132"/>
      <c r="F671" s="132"/>
      <c r="G671" s="132"/>
      <c r="P671" s="132"/>
      <c r="Q671" s="132"/>
      <c r="R671" s="132"/>
    </row>
    <row r="672" spans="5:18" ht="12.75">
      <c r="E672" s="132"/>
      <c r="F672" s="132"/>
      <c r="G672" s="132"/>
      <c r="P672" s="132"/>
      <c r="Q672" s="132"/>
      <c r="R672" s="132"/>
    </row>
    <row r="673" spans="5:18" ht="12.75">
      <c r="E673" s="132"/>
      <c r="F673" s="132"/>
      <c r="G673" s="132"/>
      <c r="P673" s="132"/>
      <c r="Q673" s="132"/>
      <c r="R673" s="132"/>
    </row>
    <row r="674" spans="5:18" ht="12.75">
      <c r="E674" s="132"/>
      <c r="F674" s="132"/>
      <c r="G674" s="132"/>
      <c r="P674" s="132"/>
      <c r="Q674" s="132"/>
      <c r="R674" s="132"/>
    </row>
    <row r="675" spans="5:18" ht="12.75">
      <c r="E675" s="132"/>
      <c r="F675" s="132"/>
      <c r="G675" s="132"/>
      <c r="P675" s="132"/>
      <c r="Q675" s="132"/>
      <c r="R675" s="132"/>
    </row>
    <row r="676" spans="5:18" ht="12.75">
      <c r="E676" s="132"/>
      <c r="F676" s="132"/>
      <c r="G676" s="132"/>
      <c r="P676" s="132"/>
      <c r="Q676" s="132"/>
      <c r="R676" s="132"/>
    </row>
    <row r="677" spans="5:18" ht="12.75">
      <c r="E677" s="132"/>
      <c r="F677" s="132"/>
      <c r="G677" s="132"/>
      <c r="P677" s="132"/>
      <c r="Q677" s="132"/>
      <c r="R677" s="132"/>
    </row>
    <row r="678" spans="5:18" ht="12.75">
      <c r="E678" s="132"/>
      <c r="F678" s="132"/>
      <c r="G678" s="132"/>
      <c r="P678" s="132"/>
      <c r="Q678" s="132"/>
      <c r="R678" s="132"/>
    </row>
    <row r="679" spans="5:18" ht="12.75">
      <c r="E679" s="132"/>
      <c r="F679" s="132"/>
      <c r="G679" s="132"/>
      <c r="P679" s="132"/>
      <c r="Q679" s="132"/>
      <c r="R679" s="132"/>
    </row>
    <row r="680" spans="5:18" ht="12.75">
      <c r="E680" s="132"/>
      <c r="F680" s="132"/>
      <c r="G680" s="132"/>
      <c r="P680" s="132"/>
      <c r="Q680" s="132"/>
      <c r="R680" s="132"/>
    </row>
    <row r="681" spans="5:18" ht="12.75">
      <c r="E681" s="132"/>
      <c r="F681" s="132"/>
      <c r="G681" s="132"/>
      <c r="P681" s="132"/>
      <c r="Q681" s="132"/>
      <c r="R681" s="132"/>
    </row>
    <row r="682" spans="5:18" ht="12.75">
      <c r="E682" s="132"/>
      <c r="F682" s="132"/>
      <c r="G682" s="132"/>
      <c r="P682" s="132"/>
      <c r="Q682" s="132"/>
      <c r="R682" s="132"/>
    </row>
    <row r="683" spans="5:18" ht="12.75">
      <c r="E683" s="132"/>
      <c r="F683" s="132"/>
      <c r="G683" s="132"/>
      <c r="P683" s="132"/>
      <c r="Q683" s="132"/>
      <c r="R683" s="132"/>
    </row>
    <row r="684" spans="5:18" ht="12.75">
      <c r="E684" s="132"/>
      <c r="F684" s="132"/>
      <c r="G684" s="132"/>
      <c r="P684" s="132"/>
      <c r="Q684" s="132"/>
      <c r="R684" s="132"/>
    </row>
    <row r="685" spans="5:18" ht="12.75">
      <c r="E685" s="132"/>
      <c r="F685" s="132"/>
      <c r="G685" s="132"/>
      <c r="P685" s="132"/>
      <c r="Q685" s="132"/>
      <c r="R685" s="132"/>
    </row>
    <row r="686" spans="5:18" ht="12.75">
      <c r="E686" s="132"/>
      <c r="F686" s="132"/>
      <c r="G686" s="132"/>
      <c r="P686" s="132"/>
      <c r="Q686" s="132"/>
      <c r="R686" s="132"/>
    </row>
    <row r="687" spans="5:18" ht="12.75">
      <c r="E687" s="132"/>
      <c r="F687" s="132"/>
      <c r="G687" s="132"/>
      <c r="P687" s="132"/>
      <c r="Q687" s="132"/>
      <c r="R687" s="132"/>
    </row>
    <row r="688" spans="5:18" ht="12.75">
      <c r="E688" s="132"/>
      <c r="F688" s="132"/>
      <c r="G688" s="132"/>
      <c r="P688" s="132"/>
      <c r="Q688" s="132"/>
      <c r="R688" s="132"/>
    </row>
    <row r="689" spans="5:18" ht="12.75">
      <c r="E689" s="132"/>
      <c r="F689" s="132"/>
      <c r="G689" s="132"/>
      <c r="P689" s="132"/>
      <c r="Q689" s="132"/>
      <c r="R689" s="132"/>
    </row>
    <row r="690" spans="5:18" ht="12.75">
      <c r="E690" s="132"/>
      <c r="F690" s="132"/>
      <c r="G690" s="132"/>
      <c r="P690" s="132"/>
      <c r="Q690" s="132"/>
      <c r="R690" s="132"/>
    </row>
    <row r="691" spans="5:18" ht="12.75">
      <c r="E691" s="132"/>
      <c r="F691" s="132"/>
      <c r="G691" s="132"/>
      <c r="P691" s="132"/>
      <c r="Q691" s="132"/>
      <c r="R691" s="132"/>
    </row>
    <row r="692" spans="5:18" ht="12.75">
      <c r="E692" s="132"/>
      <c r="F692" s="132"/>
      <c r="G692" s="132"/>
      <c r="P692" s="132"/>
      <c r="Q692" s="132"/>
      <c r="R692" s="132"/>
    </row>
    <row r="693" spans="5:18" ht="12.75">
      <c r="E693" s="132"/>
      <c r="F693" s="132"/>
      <c r="G693" s="132"/>
      <c r="P693" s="132"/>
      <c r="Q693" s="132"/>
      <c r="R693" s="132"/>
    </row>
    <row r="694" spans="5:18" ht="12.75">
      <c r="E694" s="132"/>
      <c r="F694" s="132"/>
      <c r="G694" s="132"/>
      <c r="P694" s="132"/>
      <c r="Q694" s="132"/>
      <c r="R694" s="132"/>
    </row>
    <row r="695" spans="5:18" ht="12.75">
      <c r="E695" s="132"/>
      <c r="F695" s="132"/>
      <c r="G695" s="132"/>
      <c r="P695" s="132"/>
      <c r="Q695" s="132"/>
      <c r="R695" s="132"/>
    </row>
    <row r="696" spans="5:18" ht="12.75">
      <c r="E696" s="132"/>
      <c r="F696" s="132"/>
      <c r="G696" s="132"/>
      <c r="P696" s="132"/>
      <c r="Q696" s="132"/>
      <c r="R696" s="132"/>
    </row>
    <row r="697" spans="5:18" ht="12.75">
      <c r="E697" s="132"/>
      <c r="F697" s="132"/>
      <c r="G697" s="132"/>
      <c r="P697" s="132"/>
      <c r="Q697" s="132"/>
      <c r="R697" s="132"/>
    </row>
    <row r="698" spans="5:18" ht="12.75">
      <c r="E698" s="132"/>
      <c r="F698" s="132"/>
      <c r="G698" s="132"/>
      <c r="P698" s="132"/>
      <c r="Q698" s="132"/>
      <c r="R698" s="132"/>
    </row>
    <row r="699" spans="5:18" ht="12.75">
      <c r="E699" s="132"/>
      <c r="F699" s="132"/>
      <c r="G699" s="132"/>
      <c r="P699" s="132"/>
      <c r="Q699" s="132"/>
      <c r="R699" s="132"/>
    </row>
    <row r="700" spans="5:18" ht="12.75">
      <c r="E700" s="132"/>
      <c r="F700" s="132"/>
      <c r="G700" s="132"/>
      <c r="P700" s="132"/>
      <c r="Q700" s="132"/>
      <c r="R700" s="132"/>
    </row>
    <row r="701" spans="5:18" ht="12.75">
      <c r="E701" s="132"/>
      <c r="F701" s="132"/>
      <c r="G701" s="132"/>
      <c r="P701" s="132"/>
      <c r="Q701" s="132"/>
      <c r="R701" s="132"/>
    </row>
    <row r="702" spans="5:18" ht="12.75">
      <c r="E702" s="132"/>
      <c r="F702" s="132"/>
      <c r="G702" s="132"/>
      <c r="P702" s="132"/>
      <c r="Q702" s="132"/>
      <c r="R702" s="132"/>
    </row>
    <row r="703" spans="5:18" ht="12.75">
      <c r="E703" s="132"/>
      <c r="F703" s="132"/>
      <c r="G703" s="132"/>
      <c r="P703" s="132"/>
      <c r="Q703" s="132"/>
      <c r="R703" s="132"/>
    </row>
    <row r="704" spans="5:18" ht="12.75">
      <c r="E704" s="132"/>
      <c r="F704" s="132"/>
      <c r="G704" s="132"/>
      <c r="P704" s="132"/>
      <c r="Q704" s="132"/>
      <c r="R704" s="132"/>
    </row>
    <row r="705" spans="5:18" ht="12.75">
      <c r="E705" s="132"/>
      <c r="F705" s="132"/>
      <c r="G705" s="132"/>
      <c r="P705" s="132"/>
      <c r="Q705" s="132"/>
      <c r="R705" s="132"/>
    </row>
    <row r="706" spans="5:18" ht="12.75">
      <c r="E706" s="132"/>
      <c r="F706" s="132"/>
      <c r="G706" s="132"/>
      <c r="P706" s="132"/>
      <c r="Q706" s="132"/>
      <c r="R706" s="132"/>
    </row>
    <row r="707" spans="5:18" ht="12.75">
      <c r="E707" s="132"/>
      <c r="F707" s="132"/>
      <c r="G707" s="132"/>
      <c r="P707" s="132"/>
      <c r="Q707" s="132"/>
      <c r="R707" s="132"/>
    </row>
    <row r="708" spans="5:18" ht="12.75">
      <c r="E708" s="132"/>
      <c r="F708" s="132"/>
      <c r="G708" s="132"/>
      <c r="P708" s="132"/>
      <c r="Q708" s="132"/>
      <c r="R708" s="132"/>
    </row>
    <row r="709" spans="5:18" ht="12.75">
      <c r="E709" s="132"/>
      <c r="F709" s="132"/>
      <c r="G709" s="132"/>
      <c r="P709" s="132"/>
      <c r="Q709" s="132"/>
      <c r="R709" s="132"/>
    </row>
    <row r="710" spans="5:18" ht="12.75">
      <c r="E710" s="132"/>
      <c r="F710" s="132"/>
      <c r="G710" s="132"/>
      <c r="P710" s="132"/>
      <c r="Q710" s="132"/>
      <c r="R710" s="132"/>
    </row>
    <row r="711" spans="5:18" ht="12.75">
      <c r="E711" s="132"/>
      <c r="F711" s="132"/>
      <c r="G711" s="132"/>
      <c r="P711" s="132"/>
      <c r="Q711" s="132"/>
      <c r="R711" s="132"/>
    </row>
    <row r="712" spans="5:18" ht="12.75">
      <c r="E712" s="132"/>
      <c r="F712" s="132"/>
      <c r="G712" s="132"/>
      <c r="P712" s="132"/>
      <c r="Q712" s="132"/>
      <c r="R712" s="132"/>
    </row>
    <row r="713" spans="5:18" ht="12.75">
      <c r="E713" s="132"/>
      <c r="F713" s="132"/>
      <c r="G713" s="132"/>
      <c r="P713" s="132"/>
      <c r="Q713" s="132"/>
      <c r="R713" s="132"/>
    </row>
    <row r="714" spans="5:18" ht="12.75">
      <c r="E714" s="132"/>
      <c r="F714" s="132"/>
      <c r="G714" s="132"/>
      <c r="P714" s="132"/>
      <c r="Q714" s="132"/>
      <c r="R714" s="132"/>
    </row>
    <row r="715" spans="5:18" ht="12.75">
      <c r="E715" s="132"/>
      <c r="F715" s="132"/>
      <c r="G715" s="132"/>
      <c r="P715" s="132"/>
      <c r="Q715" s="132"/>
      <c r="R715" s="132"/>
    </row>
    <row r="716" spans="5:18" ht="12.75">
      <c r="E716" s="132"/>
      <c r="F716" s="132"/>
      <c r="G716" s="132"/>
      <c r="P716" s="132"/>
      <c r="Q716" s="132"/>
      <c r="R716" s="132"/>
    </row>
    <row r="717" spans="5:18" ht="12.75">
      <c r="E717" s="132"/>
      <c r="F717" s="132"/>
      <c r="G717" s="132"/>
      <c r="P717" s="132"/>
      <c r="Q717" s="132"/>
      <c r="R717" s="132"/>
    </row>
    <row r="718" spans="5:18" ht="12.75">
      <c r="E718" s="132"/>
      <c r="F718" s="132"/>
      <c r="G718" s="132"/>
      <c r="P718" s="132"/>
      <c r="Q718" s="132"/>
      <c r="R718" s="132"/>
    </row>
    <row r="719" spans="5:18" ht="12.75">
      <c r="E719" s="132"/>
      <c r="F719" s="132"/>
      <c r="G719" s="132"/>
      <c r="P719" s="132"/>
      <c r="Q719" s="132"/>
      <c r="R719" s="132"/>
    </row>
    <row r="720" spans="5:18" ht="12.75">
      <c r="E720" s="132"/>
      <c r="F720" s="132"/>
      <c r="G720" s="132"/>
      <c r="P720" s="132"/>
      <c r="Q720" s="132"/>
      <c r="R720" s="132"/>
    </row>
    <row r="721" spans="5:18" ht="12.75">
      <c r="E721" s="132"/>
      <c r="F721" s="132"/>
      <c r="G721" s="132"/>
      <c r="P721" s="132"/>
      <c r="Q721" s="132"/>
      <c r="R721" s="132"/>
    </row>
    <row r="722" spans="5:18" ht="12.75">
      <c r="E722" s="132"/>
      <c r="F722" s="132"/>
      <c r="G722" s="132"/>
      <c r="P722" s="132"/>
      <c r="Q722" s="132"/>
      <c r="R722" s="132"/>
    </row>
    <row r="723" spans="5:18" ht="12.75">
      <c r="E723" s="132"/>
      <c r="F723" s="132"/>
      <c r="G723" s="132"/>
      <c r="P723" s="132"/>
      <c r="Q723" s="132"/>
      <c r="R723" s="132"/>
    </row>
    <row r="724" spans="5:18" ht="12.75">
      <c r="E724" s="132"/>
      <c r="F724" s="132"/>
      <c r="G724" s="132"/>
      <c r="P724" s="132"/>
      <c r="Q724" s="132"/>
      <c r="R724" s="132"/>
    </row>
    <row r="725" spans="5:18" ht="12.75">
      <c r="E725" s="132"/>
      <c r="F725" s="132"/>
      <c r="G725" s="132"/>
      <c r="P725" s="132"/>
      <c r="Q725" s="132"/>
      <c r="R725" s="132"/>
    </row>
    <row r="726" spans="5:18" ht="12.75">
      <c r="E726" s="132"/>
      <c r="F726" s="132"/>
      <c r="G726" s="132"/>
      <c r="P726" s="132"/>
      <c r="Q726" s="132"/>
      <c r="R726" s="132"/>
    </row>
    <row r="727" spans="5:18" ht="12.75">
      <c r="E727" s="132"/>
      <c r="F727" s="132"/>
      <c r="G727" s="132"/>
      <c r="P727" s="132"/>
      <c r="Q727" s="132"/>
      <c r="R727" s="132"/>
    </row>
    <row r="728" spans="5:18" ht="12.75">
      <c r="E728" s="132"/>
      <c r="F728" s="132"/>
      <c r="G728" s="132"/>
      <c r="P728" s="132"/>
      <c r="Q728" s="132"/>
      <c r="R728" s="132"/>
    </row>
    <row r="729" spans="5:18" ht="12.75">
      <c r="E729" s="132"/>
      <c r="F729" s="132"/>
      <c r="G729" s="132"/>
      <c r="P729" s="132"/>
      <c r="Q729" s="132"/>
      <c r="R729" s="132"/>
    </row>
    <row r="730" spans="5:18" ht="12.75">
      <c r="E730" s="132"/>
      <c r="F730" s="132"/>
      <c r="G730" s="132"/>
      <c r="P730" s="132"/>
      <c r="Q730" s="132"/>
      <c r="R730" s="132"/>
    </row>
    <row r="731" spans="5:18" ht="12.75">
      <c r="E731" s="132"/>
      <c r="F731" s="132"/>
      <c r="G731" s="132"/>
      <c r="P731" s="132"/>
      <c r="Q731" s="132"/>
      <c r="R731" s="132"/>
    </row>
    <row r="732" spans="5:18" ht="12.75">
      <c r="E732" s="132"/>
      <c r="F732" s="132"/>
      <c r="G732" s="132"/>
      <c r="P732" s="132"/>
      <c r="Q732" s="132"/>
      <c r="R732" s="132"/>
    </row>
    <row r="733" spans="5:18" ht="12.75">
      <c r="E733" s="132"/>
      <c r="F733" s="132"/>
      <c r="G733" s="132"/>
      <c r="P733" s="132"/>
      <c r="Q733" s="132"/>
      <c r="R733" s="132"/>
    </row>
    <row r="734" spans="5:18" ht="12.75">
      <c r="E734" s="132"/>
      <c r="F734" s="132"/>
      <c r="G734" s="132"/>
      <c r="P734" s="132"/>
      <c r="Q734" s="132"/>
      <c r="R734" s="132"/>
    </row>
    <row r="735" spans="5:18" ht="12.75">
      <c r="E735" s="132"/>
      <c r="F735" s="132"/>
      <c r="G735" s="132"/>
      <c r="P735" s="132"/>
      <c r="Q735" s="132"/>
      <c r="R735" s="132"/>
    </row>
    <row r="736" spans="5:18" ht="12.75">
      <c r="E736" s="132"/>
      <c r="F736" s="132"/>
      <c r="G736" s="132"/>
      <c r="P736" s="132"/>
      <c r="Q736" s="132"/>
      <c r="R736" s="132"/>
    </row>
    <row r="737" spans="5:18" ht="12.75">
      <c r="E737" s="132"/>
      <c r="F737" s="132"/>
      <c r="G737" s="132"/>
      <c r="P737" s="132"/>
      <c r="Q737" s="132"/>
      <c r="R737" s="132"/>
    </row>
    <row r="738" spans="5:18" ht="12.75">
      <c r="E738" s="132"/>
      <c r="F738" s="132"/>
      <c r="G738" s="132"/>
      <c r="P738" s="132"/>
      <c r="Q738" s="132"/>
      <c r="R738" s="132"/>
    </row>
    <row r="739" spans="5:18" ht="12.75">
      <c r="E739" s="132"/>
      <c r="F739" s="132"/>
      <c r="G739" s="132"/>
      <c r="P739" s="132"/>
      <c r="Q739" s="132"/>
      <c r="R739" s="132"/>
    </row>
    <row r="740" spans="5:18" ht="12.75">
      <c r="E740" s="132"/>
      <c r="F740" s="132"/>
      <c r="G740" s="132"/>
      <c r="P740" s="132"/>
      <c r="Q740" s="132"/>
      <c r="R740" s="132"/>
    </row>
    <row r="741" spans="5:18" ht="12.75">
      <c r="E741" s="132"/>
      <c r="F741" s="132"/>
      <c r="G741" s="132"/>
      <c r="P741" s="132"/>
      <c r="Q741" s="132"/>
      <c r="R741" s="132"/>
    </row>
    <row r="742" spans="5:18" ht="12.75">
      <c r="E742" s="132"/>
      <c r="F742" s="132"/>
      <c r="G742" s="132"/>
      <c r="P742" s="132"/>
      <c r="Q742" s="132"/>
      <c r="R742" s="132"/>
    </row>
    <row r="743" spans="5:18" ht="12.75">
      <c r="E743" s="132"/>
      <c r="F743" s="132"/>
      <c r="G743" s="132"/>
      <c r="P743" s="132"/>
      <c r="Q743" s="132"/>
      <c r="R743" s="132"/>
    </row>
    <row r="744" spans="5:18" ht="12.75">
      <c r="E744" s="132"/>
      <c r="F744" s="132"/>
      <c r="G744" s="132"/>
      <c r="P744" s="132"/>
      <c r="Q744" s="132"/>
      <c r="R744" s="132"/>
    </row>
    <row r="745" spans="5:18" ht="12.75">
      <c r="E745" s="132"/>
      <c r="F745" s="132"/>
      <c r="G745" s="132"/>
      <c r="P745" s="132"/>
      <c r="Q745" s="132"/>
      <c r="R745" s="132"/>
    </row>
    <row r="746" spans="5:18" ht="12.75">
      <c r="E746" s="132"/>
      <c r="F746" s="132"/>
      <c r="G746" s="132"/>
      <c r="P746" s="132"/>
      <c r="Q746" s="132"/>
      <c r="R746" s="132"/>
    </row>
    <row r="747" spans="5:18" ht="12.75">
      <c r="E747" s="132"/>
      <c r="F747" s="132"/>
      <c r="G747" s="132"/>
      <c r="P747" s="132"/>
      <c r="Q747" s="132"/>
      <c r="R747" s="132"/>
    </row>
    <row r="748" spans="5:18" ht="12.75">
      <c r="E748" s="132"/>
      <c r="F748" s="132"/>
      <c r="G748" s="132"/>
      <c r="P748" s="132"/>
      <c r="Q748" s="132"/>
      <c r="R748" s="132"/>
    </row>
    <row r="749" spans="5:18" ht="12.75">
      <c r="E749" s="132"/>
      <c r="F749" s="132"/>
      <c r="G749" s="132"/>
      <c r="P749" s="132"/>
      <c r="Q749" s="132"/>
      <c r="R749" s="132"/>
    </row>
    <row r="750" spans="5:18" ht="12.75">
      <c r="E750" s="132"/>
      <c r="F750" s="132"/>
      <c r="G750" s="132"/>
      <c r="P750" s="132"/>
      <c r="Q750" s="132"/>
      <c r="R750" s="132"/>
    </row>
    <row r="751" spans="5:18" ht="12.75">
      <c r="E751" s="132"/>
      <c r="F751" s="132"/>
      <c r="G751" s="132"/>
      <c r="P751" s="132"/>
      <c r="Q751" s="132"/>
      <c r="R751" s="132"/>
    </row>
    <row r="752" spans="5:18" ht="12.75">
      <c r="E752" s="132"/>
      <c r="F752" s="132"/>
      <c r="G752" s="132"/>
      <c r="P752" s="132"/>
      <c r="Q752" s="132"/>
      <c r="R752" s="132"/>
    </row>
    <row r="753" spans="5:18" ht="12.75">
      <c r="E753" s="132"/>
      <c r="F753" s="132"/>
      <c r="G753" s="132"/>
      <c r="P753" s="132"/>
      <c r="Q753" s="132"/>
      <c r="R753" s="132"/>
    </row>
    <row r="754" spans="5:18" ht="12.75">
      <c r="E754" s="132"/>
      <c r="F754" s="132"/>
      <c r="G754" s="132"/>
      <c r="P754" s="132"/>
      <c r="Q754" s="132"/>
      <c r="R754" s="132"/>
    </row>
    <row r="755" spans="5:18" ht="12.75">
      <c r="E755" s="132"/>
      <c r="F755" s="132"/>
      <c r="G755" s="132"/>
      <c r="P755" s="132"/>
      <c r="Q755" s="132"/>
      <c r="R755" s="132"/>
    </row>
    <row r="756" spans="5:18" ht="12.75">
      <c r="E756" s="132"/>
      <c r="F756" s="132"/>
      <c r="G756" s="132"/>
      <c r="P756" s="132"/>
      <c r="Q756" s="132"/>
      <c r="R756" s="132"/>
    </row>
    <row r="757" spans="5:18" ht="12.75">
      <c r="E757" s="132"/>
      <c r="F757" s="132"/>
      <c r="G757" s="132"/>
      <c r="P757" s="132"/>
      <c r="Q757" s="132"/>
      <c r="R757" s="132"/>
    </row>
    <row r="758" spans="5:18" ht="12.75">
      <c r="E758" s="132"/>
      <c r="F758" s="132"/>
      <c r="G758" s="132"/>
      <c r="P758" s="132"/>
      <c r="Q758" s="132"/>
      <c r="R758" s="132"/>
    </row>
    <row r="759" spans="5:18" ht="12.75">
      <c r="E759" s="132"/>
      <c r="F759" s="132"/>
      <c r="G759" s="132"/>
      <c r="P759" s="132"/>
      <c r="Q759" s="132"/>
      <c r="R759" s="132"/>
    </row>
    <row r="760" spans="5:18" ht="12.75">
      <c r="E760" s="132"/>
      <c r="F760" s="132"/>
      <c r="G760" s="132"/>
      <c r="P760" s="132"/>
      <c r="Q760" s="132"/>
      <c r="R760" s="132"/>
    </row>
    <row r="761" spans="5:18" ht="12.75">
      <c r="E761" s="132"/>
      <c r="F761" s="132"/>
      <c r="G761" s="132"/>
      <c r="P761" s="132"/>
      <c r="Q761" s="132"/>
      <c r="R761" s="132"/>
    </row>
    <row r="762" spans="5:18" ht="12.75">
      <c r="E762" s="132"/>
      <c r="F762" s="132"/>
      <c r="G762" s="132"/>
      <c r="P762" s="132"/>
      <c r="Q762" s="132"/>
      <c r="R762" s="132"/>
    </row>
    <row r="763" spans="5:18" ht="12.75">
      <c r="E763" s="132"/>
      <c r="F763" s="132"/>
      <c r="G763" s="132"/>
      <c r="P763" s="132"/>
      <c r="Q763" s="132"/>
      <c r="R763" s="132"/>
    </row>
    <row r="764" spans="5:18" ht="12.75">
      <c r="E764" s="132"/>
      <c r="F764" s="132"/>
      <c r="G764" s="132"/>
      <c r="P764" s="132"/>
      <c r="Q764" s="132"/>
      <c r="R764" s="132"/>
    </row>
    <row r="765" spans="5:18" ht="12.75">
      <c r="E765" s="132"/>
      <c r="F765" s="132"/>
      <c r="G765" s="132"/>
      <c r="P765" s="132"/>
      <c r="Q765" s="132"/>
      <c r="R765" s="132"/>
    </row>
    <row r="766" spans="5:18" ht="12.75">
      <c r="E766" s="132"/>
      <c r="F766" s="132"/>
      <c r="G766" s="132"/>
      <c r="P766" s="132"/>
      <c r="Q766" s="132"/>
      <c r="R766" s="132"/>
    </row>
    <row r="767" spans="5:18" ht="12.75">
      <c r="E767" s="132"/>
      <c r="F767" s="132"/>
      <c r="G767" s="132"/>
      <c r="P767" s="132"/>
      <c r="Q767" s="132"/>
      <c r="R767" s="132"/>
    </row>
    <row r="768" spans="5:18" ht="12.75">
      <c r="E768" s="132"/>
      <c r="F768" s="132"/>
      <c r="G768" s="132"/>
      <c r="P768" s="132"/>
      <c r="Q768" s="132"/>
      <c r="R768" s="132"/>
    </row>
    <row r="769" spans="5:18" ht="12.75">
      <c r="E769" s="132"/>
      <c r="F769" s="132"/>
      <c r="G769" s="132"/>
      <c r="P769" s="132"/>
      <c r="Q769" s="132"/>
      <c r="R769" s="132"/>
    </row>
    <row r="770" spans="5:18" ht="12.75">
      <c r="E770" s="132"/>
      <c r="F770" s="132"/>
      <c r="G770" s="132"/>
      <c r="P770" s="132"/>
      <c r="Q770" s="132"/>
      <c r="R770" s="132"/>
    </row>
    <row r="771" spans="5:18" ht="12.75">
      <c r="E771" s="132"/>
      <c r="F771" s="132"/>
      <c r="G771" s="132"/>
      <c r="P771" s="132"/>
      <c r="Q771" s="132"/>
      <c r="R771" s="132"/>
    </row>
    <row r="772" spans="5:18" ht="12.75">
      <c r="E772" s="132"/>
      <c r="F772" s="132"/>
      <c r="G772" s="132"/>
      <c r="P772" s="132"/>
      <c r="Q772" s="132"/>
      <c r="R772" s="132"/>
    </row>
    <row r="773" spans="5:18" ht="12.75">
      <c r="E773" s="132"/>
      <c r="F773" s="132"/>
      <c r="G773" s="132"/>
      <c r="P773" s="132"/>
      <c r="Q773" s="132"/>
      <c r="R773" s="132"/>
    </row>
    <row r="774" spans="5:18" ht="12.75">
      <c r="E774" s="132"/>
      <c r="F774" s="132"/>
      <c r="G774" s="132"/>
      <c r="P774" s="132"/>
      <c r="Q774" s="132"/>
      <c r="R774" s="132"/>
    </row>
    <row r="775" spans="5:18" ht="12.75">
      <c r="E775" s="132"/>
      <c r="F775" s="132"/>
      <c r="G775" s="132"/>
      <c r="P775" s="132"/>
      <c r="Q775" s="132"/>
      <c r="R775" s="132"/>
    </row>
    <row r="776" spans="5:18" ht="12.75">
      <c r="E776" s="132"/>
      <c r="F776" s="132"/>
      <c r="G776" s="132"/>
      <c r="P776" s="132"/>
      <c r="Q776" s="132"/>
      <c r="R776" s="132"/>
    </row>
    <row r="777" spans="5:18" ht="12.75">
      <c r="E777" s="132"/>
      <c r="F777" s="132"/>
      <c r="G777" s="132"/>
      <c r="P777" s="132"/>
      <c r="Q777" s="132"/>
      <c r="R777" s="132"/>
    </row>
    <row r="778" spans="5:18" ht="12.75">
      <c r="E778" s="132"/>
      <c r="F778" s="132"/>
      <c r="G778" s="132"/>
      <c r="P778" s="132"/>
      <c r="Q778" s="132"/>
      <c r="R778" s="132"/>
    </row>
    <row r="779" spans="5:18" ht="12.75">
      <c r="E779" s="132"/>
      <c r="F779" s="132"/>
      <c r="G779" s="132"/>
      <c r="P779" s="132"/>
      <c r="Q779" s="132"/>
      <c r="R779" s="132"/>
    </row>
    <row r="780" spans="5:18" ht="12.75">
      <c r="E780" s="132"/>
      <c r="F780" s="132"/>
      <c r="G780" s="132"/>
      <c r="P780" s="132"/>
      <c r="Q780" s="132"/>
      <c r="R780" s="132"/>
    </row>
    <row r="781" spans="5:18" ht="12.75">
      <c r="E781" s="132"/>
      <c r="F781" s="132"/>
      <c r="G781" s="132"/>
      <c r="P781" s="132"/>
      <c r="Q781" s="132"/>
      <c r="R781" s="132"/>
    </row>
  </sheetData>
  <printOptions/>
  <pageMargins left="0.5" right="0.5" top="0.75" bottom="0.5" header="0.25" footer="0"/>
  <pageSetup horizontalDpi="600" verticalDpi="600" orientation="landscape" scale="68" r:id="rId1"/>
  <rowBreaks count="1" manualBreakCount="1">
    <brk id="3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42"/>
  <sheetViews>
    <sheetView zoomScale="75" zoomScaleNormal="75" workbookViewId="0" topLeftCell="A2">
      <pane xSplit="4" ySplit="6" topLeftCell="E28" activePane="bottomRight" state="frozen"/>
      <selection pane="topLeft" activeCell="B2" sqref="B2"/>
      <selection pane="topRight" activeCell="D2" sqref="D2"/>
      <selection pane="bottomLeft" activeCell="B9" sqref="B9"/>
      <selection pane="bottomRight" activeCell="E49" sqref="E49"/>
    </sheetView>
  </sheetViews>
  <sheetFormatPr defaultColWidth="9.140625" defaultRowHeight="12.75" outlineLevelRow="1"/>
  <cols>
    <col min="1" max="1" width="3.421875" style="1" hidden="1" customWidth="1"/>
    <col min="2" max="2" width="3.421875" style="171" customWidth="1"/>
    <col min="3" max="3" width="86.421875" style="171" customWidth="1"/>
    <col min="4" max="4" width="15.7109375" style="171" customWidth="1"/>
    <col min="5" max="5" width="19.57421875" style="171" customWidth="1"/>
    <col min="6" max="7" width="19.57421875" style="171" hidden="1" customWidth="1"/>
    <col min="8" max="8" width="19.421875" style="132" customWidth="1"/>
    <col min="9" max="9" width="17.57421875" style="132" customWidth="1"/>
    <col min="10" max="10" width="0" style="1" hidden="1" customWidth="1"/>
    <col min="11" max="16384" width="8.00390625" style="262" customWidth="1"/>
  </cols>
  <sheetData>
    <row r="1" spans="1:9" ht="110.25" customHeight="1" hidden="1">
      <c r="A1" s="141" t="s">
        <v>360</v>
      </c>
      <c r="B1" s="171" t="s">
        <v>3783</v>
      </c>
      <c r="C1" s="171" t="s">
        <v>3784</v>
      </c>
      <c r="D1" s="171" t="s">
        <v>3783</v>
      </c>
      <c r="E1" s="171" t="s">
        <v>3783</v>
      </c>
      <c r="H1" s="132" t="s">
        <v>103</v>
      </c>
      <c r="I1" s="132" t="s">
        <v>3785</v>
      </c>
    </row>
    <row r="2" spans="1:12" ht="15.75" customHeight="1">
      <c r="A2" s="220"/>
      <c r="B2" s="5" t="str">
        <f>"University of Missouri - "&amp;RBN</f>
        <v>University of Missouri - Kansas City</v>
      </c>
      <c r="C2" s="47"/>
      <c r="D2" s="47"/>
      <c r="E2" s="47"/>
      <c r="F2" s="47"/>
      <c r="G2" s="47"/>
      <c r="H2" s="47"/>
      <c r="I2" s="124"/>
      <c r="J2" s="10"/>
      <c r="L2" s="263" t="s">
        <v>3861</v>
      </c>
    </row>
    <row r="3" spans="1:10" ht="15.75" customHeight="1">
      <c r="A3" s="220"/>
      <c r="B3" s="11" t="s">
        <v>361</v>
      </c>
      <c r="C3" s="48"/>
      <c r="D3" s="48"/>
      <c r="E3" s="48"/>
      <c r="F3" s="48"/>
      <c r="G3" s="48"/>
      <c r="H3" s="48"/>
      <c r="I3" s="126"/>
      <c r="J3" s="10"/>
    </row>
    <row r="4" spans="1:10" ht="15.75" customHeight="1">
      <c r="A4" s="224"/>
      <c r="B4" s="84" t="str">
        <f>"For the Year Ending "&amp;TEXT(J4,"MMMM DD, YYY")</f>
        <v>For the Year Ending June 30, 2006</v>
      </c>
      <c r="C4" s="264"/>
      <c r="D4" s="264"/>
      <c r="E4" s="264"/>
      <c r="F4" s="264"/>
      <c r="G4" s="264"/>
      <c r="H4" s="264"/>
      <c r="I4" s="265"/>
      <c r="J4" s="229" t="s">
        <v>3862</v>
      </c>
    </row>
    <row r="5" spans="1:10" ht="12.75" customHeight="1">
      <c r="A5" s="220"/>
      <c r="B5" s="128"/>
      <c r="C5" s="129"/>
      <c r="D5" s="130"/>
      <c r="E5" s="129"/>
      <c r="F5" s="129"/>
      <c r="G5" s="129"/>
      <c r="H5" s="129"/>
      <c r="I5" s="266"/>
      <c r="J5" s="10"/>
    </row>
    <row r="6" spans="2:9" ht="12.75" customHeight="1">
      <c r="B6" s="202"/>
      <c r="C6" s="60"/>
      <c r="D6" s="60"/>
      <c r="E6" s="267" t="s">
        <v>124</v>
      </c>
      <c r="F6" s="268"/>
      <c r="G6" s="268"/>
      <c r="H6" s="268"/>
      <c r="I6" s="199" t="s">
        <v>133</v>
      </c>
    </row>
    <row r="7" spans="2:9" ht="12.75" customHeight="1">
      <c r="B7" s="204"/>
      <c r="C7" s="268"/>
      <c r="D7" s="268"/>
      <c r="E7" s="269" t="s">
        <v>3836</v>
      </c>
      <c r="F7" s="134" t="s">
        <v>362</v>
      </c>
      <c r="G7" s="134" t="s">
        <v>363</v>
      </c>
      <c r="H7" s="134" t="s">
        <v>117</v>
      </c>
      <c r="I7" s="199" t="s">
        <v>135</v>
      </c>
    </row>
    <row r="8" spans="2:9" ht="12.75" customHeight="1">
      <c r="B8" s="136"/>
      <c r="C8" s="137"/>
      <c r="D8" s="138"/>
      <c r="E8" s="149"/>
      <c r="F8" s="149"/>
      <c r="G8" s="149"/>
      <c r="H8" s="149"/>
      <c r="I8" s="270"/>
    </row>
    <row r="9" spans="2:9" ht="12.75" customHeight="1">
      <c r="B9" s="61" t="s">
        <v>3815</v>
      </c>
      <c r="C9" s="154"/>
      <c r="D9" s="62"/>
      <c r="E9" s="155"/>
      <c r="F9" s="155"/>
      <c r="G9" s="155"/>
      <c r="H9" s="155"/>
      <c r="I9" s="155"/>
    </row>
    <row r="10" spans="1:10" s="271" customFormat="1" ht="12.75" customHeight="1">
      <c r="A10" s="252" t="s">
        <v>3783</v>
      </c>
      <c r="B10" s="148"/>
      <c r="C10" s="150" t="s">
        <v>364</v>
      </c>
      <c r="D10" s="157"/>
      <c r="E10" s="155" t="s">
        <v>3783</v>
      </c>
      <c r="F10" s="155"/>
      <c r="G10" s="155"/>
      <c r="H10" s="155"/>
      <c r="I10" s="155"/>
      <c r="J10" s="252"/>
    </row>
    <row r="11" spans="1:10" s="271" customFormat="1" ht="12.75" customHeight="1">
      <c r="A11" s="252" t="s">
        <v>365</v>
      </c>
      <c r="B11" s="148"/>
      <c r="C11" s="150" t="s">
        <v>366</v>
      </c>
      <c r="D11" s="157"/>
      <c r="E11" s="158">
        <v>108537868.41</v>
      </c>
      <c r="F11" s="158"/>
      <c r="G11" s="158"/>
      <c r="H11" s="158">
        <v>0</v>
      </c>
      <c r="I11" s="158">
        <f aca="true" t="shared" si="0" ref="I11:I29">E11+H11</f>
        <v>108537868.41</v>
      </c>
      <c r="J11" s="252"/>
    </row>
    <row r="12" spans="1:10" s="271" customFormat="1" ht="12.75" customHeight="1">
      <c r="A12" s="252" t="s">
        <v>367</v>
      </c>
      <c r="B12" s="148"/>
      <c r="C12" s="150" t="s">
        <v>368</v>
      </c>
      <c r="D12" s="157"/>
      <c r="E12" s="117">
        <v>1824906.98</v>
      </c>
      <c r="F12" s="117"/>
      <c r="G12" s="117"/>
      <c r="H12" s="117">
        <v>0</v>
      </c>
      <c r="I12" s="117">
        <f t="shared" si="0"/>
        <v>1824906.98</v>
      </c>
      <c r="J12" s="252"/>
    </row>
    <row r="13" spans="1:10" s="271" customFormat="1" ht="12.75" customHeight="1">
      <c r="A13" s="252" t="s">
        <v>369</v>
      </c>
      <c r="B13" s="148"/>
      <c r="C13" s="150" t="s">
        <v>370</v>
      </c>
      <c r="D13" s="157"/>
      <c r="E13" s="117">
        <v>1274681.01</v>
      </c>
      <c r="F13" s="117"/>
      <c r="G13" s="117"/>
      <c r="H13" s="117">
        <v>0</v>
      </c>
      <c r="I13" s="117">
        <f t="shared" si="0"/>
        <v>1274681.01</v>
      </c>
      <c r="J13" s="252"/>
    </row>
    <row r="14" spans="1:10" s="271" customFormat="1" ht="12.75" customHeight="1">
      <c r="A14" s="252" t="s">
        <v>371</v>
      </c>
      <c r="B14" s="148"/>
      <c r="C14" s="150" t="s">
        <v>372</v>
      </c>
      <c r="D14" s="157"/>
      <c r="E14" s="117">
        <v>1606274.67</v>
      </c>
      <c r="F14" s="117"/>
      <c r="G14" s="117"/>
      <c r="H14" s="117">
        <v>0</v>
      </c>
      <c r="I14" s="117">
        <f t="shared" si="0"/>
        <v>1606274.67</v>
      </c>
      <c r="J14" s="252"/>
    </row>
    <row r="15" spans="1:10" s="271" customFormat="1" ht="12.75" customHeight="1">
      <c r="A15" s="252" t="s">
        <v>373</v>
      </c>
      <c r="B15" s="148"/>
      <c r="C15" s="150" t="s">
        <v>374</v>
      </c>
      <c r="D15" s="157"/>
      <c r="E15" s="117">
        <v>3063231.69</v>
      </c>
      <c r="F15" s="117"/>
      <c r="G15" s="117"/>
      <c r="H15" s="117">
        <v>0</v>
      </c>
      <c r="I15" s="117">
        <f t="shared" si="0"/>
        <v>3063231.69</v>
      </c>
      <c r="J15" s="252"/>
    </row>
    <row r="16" spans="1:10" s="271" customFormat="1" ht="12.75" customHeight="1">
      <c r="A16" s="252" t="s">
        <v>375</v>
      </c>
      <c r="B16" s="148"/>
      <c r="C16" s="150" t="s">
        <v>376</v>
      </c>
      <c r="D16" s="157"/>
      <c r="E16" s="117">
        <v>3423713.96</v>
      </c>
      <c r="F16" s="117"/>
      <c r="G16" s="117"/>
      <c r="H16" s="117">
        <v>0</v>
      </c>
      <c r="I16" s="117">
        <f t="shared" si="0"/>
        <v>3423713.96</v>
      </c>
      <c r="J16" s="252"/>
    </row>
    <row r="17" spans="1:9" ht="76.5" hidden="1" outlineLevel="1">
      <c r="A17" s="141" t="s">
        <v>1450</v>
      </c>
      <c r="C17" s="171" t="s">
        <v>1451</v>
      </c>
      <c r="H17" s="132">
        <v>-1200</v>
      </c>
      <c r="I17" s="132">
        <f t="shared" si="0"/>
        <v>-1200</v>
      </c>
    </row>
    <row r="18" spans="1:9" ht="76.5" hidden="1" outlineLevel="1">
      <c r="A18" s="141" t="s">
        <v>1453</v>
      </c>
      <c r="C18" s="171" t="s">
        <v>1454</v>
      </c>
      <c r="H18" s="132">
        <v>6176407.12</v>
      </c>
      <c r="I18" s="132">
        <f t="shared" si="0"/>
        <v>6176407.12</v>
      </c>
    </row>
    <row r="19" spans="1:9" ht="76.5" hidden="1" outlineLevel="1">
      <c r="A19" s="141" t="s">
        <v>1456</v>
      </c>
      <c r="C19" s="171" t="s">
        <v>1457</v>
      </c>
      <c r="H19" s="132">
        <v>1949774.77</v>
      </c>
      <c r="I19" s="132">
        <f t="shared" si="0"/>
        <v>1949774.77</v>
      </c>
    </row>
    <row r="20" spans="1:9" ht="76.5" hidden="1" outlineLevel="1">
      <c r="A20" s="141" t="s">
        <v>1459</v>
      </c>
      <c r="C20" s="171" t="s">
        <v>1460</v>
      </c>
      <c r="H20" s="132">
        <v>466663.46</v>
      </c>
      <c r="I20" s="132">
        <f t="shared" si="0"/>
        <v>466663.46</v>
      </c>
    </row>
    <row r="21" spans="1:9" ht="76.5" hidden="1" outlineLevel="1">
      <c r="A21" s="141" t="s">
        <v>1462</v>
      </c>
      <c r="C21" s="171" t="s">
        <v>1463</v>
      </c>
      <c r="H21" s="132">
        <v>315410.33</v>
      </c>
      <c r="I21" s="132">
        <f t="shared" si="0"/>
        <v>315410.33</v>
      </c>
    </row>
    <row r="22" spans="1:9" ht="76.5" hidden="1" outlineLevel="1">
      <c r="A22" s="141" t="s">
        <v>1465</v>
      </c>
      <c r="C22" s="171" t="s">
        <v>1466</v>
      </c>
      <c r="H22" s="132">
        <v>265655.6</v>
      </c>
      <c r="I22" s="132">
        <f t="shared" si="0"/>
        <v>265655.6</v>
      </c>
    </row>
    <row r="23" spans="1:9" ht="76.5" hidden="1" outlineLevel="1">
      <c r="A23" s="141" t="s">
        <v>1468</v>
      </c>
      <c r="C23" s="171" t="s">
        <v>1469</v>
      </c>
      <c r="H23" s="132">
        <v>151724.45</v>
      </c>
      <c r="I23" s="132">
        <f t="shared" si="0"/>
        <v>151724.45</v>
      </c>
    </row>
    <row r="24" spans="1:9" ht="76.5" hidden="1" outlineLevel="1">
      <c r="A24" s="141" t="s">
        <v>1471</v>
      </c>
      <c r="C24" s="171" t="s">
        <v>1472</v>
      </c>
      <c r="H24" s="132">
        <v>75465.38</v>
      </c>
      <c r="I24" s="132">
        <f t="shared" si="0"/>
        <v>75465.38</v>
      </c>
    </row>
    <row r="25" spans="1:9" ht="76.5" hidden="1" outlineLevel="1">
      <c r="A25" s="141" t="s">
        <v>1474</v>
      </c>
      <c r="C25" s="171" t="s">
        <v>1475</v>
      </c>
      <c r="H25" s="132">
        <v>85690.9</v>
      </c>
      <c r="I25" s="132">
        <f t="shared" si="0"/>
        <v>85690.9</v>
      </c>
    </row>
    <row r="26" spans="1:9" ht="76.5" hidden="1" outlineLevel="1">
      <c r="A26" s="141" t="s">
        <v>1477</v>
      </c>
      <c r="C26" s="171" t="s">
        <v>1478</v>
      </c>
      <c r="H26" s="132">
        <v>44195.78</v>
      </c>
      <c r="I26" s="132">
        <f t="shared" si="0"/>
        <v>44195.78</v>
      </c>
    </row>
    <row r="27" spans="1:9" ht="76.5" hidden="1" outlineLevel="1">
      <c r="A27" s="141" t="s">
        <v>1480</v>
      </c>
      <c r="C27" s="171" t="s">
        <v>1481</v>
      </c>
      <c r="H27" s="132">
        <v>543238.76</v>
      </c>
      <c r="I27" s="132">
        <f t="shared" si="0"/>
        <v>543238.76</v>
      </c>
    </row>
    <row r="28" spans="1:10" s="271" customFormat="1" ht="12.75" customHeight="1" collapsed="1">
      <c r="A28" s="252" t="s">
        <v>377</v>
      </c>
      <c r="B28" s="148"/>
      <c r="C28" s="150" t="s">
        <v>3843</v>
      </c>
      <c r="D28" s="157"/>
      <c r="E28" s="117">
        <v>20900614.400000002</v>
      </c>
      <c r="F28" s="117"/>
      <c r="G28" s="117"/>
      <c r="H28" s="117">
        <v>10073026.55</v>
      </c>
      <c r="I28" s="117">
        <f t="shared" si="0"/>
        <v>30973640.950000003</v>
      </c>
      <c r="J28" s="252"/>
    </row>
    <row r="29" spans="1:10" s="271" customFormat="1" ht="12.75" customHeight="1">
      <c r="A29" s="22"/>
      <c r="B29" s="160"/>
      <c r="C29" s="161" t="s">
        <v>378</v>
      </c>
      <c r="D29" s="72"/>
      <c r="E29" s="101">
        <f>E11+E12+E13+E14+E15+E16-E28</f>
        <v>98830062.32</v>
      </c>
      <c r="F29" s="101"/>
      <c r="G29" s="101"/>
      <c r="H29" s="101">
        <f>H11+H12+H13+H14+H15+H16-H28</f>
        <v>-10073026.55</v>
      </c>
      <c r="I29" s="101">
        <f t="shared" si="0"/>
        <v>88757035.77</v>
      </c>
      <c r="J29" s="1"/>
    </row>
    <row r="30" spans="1:10" s="271" customFormat="1" ht="12.75" customHeight="1">
      <c r="A30" s="1"/>
      <c r="B30" s="148"/>
      <c r="C30" s="150"/>
      <c r="D30" s="157"/>
      <c r="E30" s="117"/>
      <c r="F30" s="117"/>
      <c r="G30" s="117"/>
      <c r="H30" s="117"/>
      <c r="I30" s="117"/>
      <c r="J30" s="1"/>
    </row>
    <row r="31" spans="1:10" s="271" customFormat="1" ht="12.75" customHeight="1">
      <c r="A31" s="252" t="s">
        <v>3783</v>
      </c>
      <c r="B31" s="148"/>
      <c r="C31" s="150" t="s">
        <v>379</v>
      </c>
      <c r="D31" s="157"/>
      <c r="E31" s="117" t="s">
        <v>3783</v>
      </c>
      <c r="F31" s="117"/>
      <c r="G31" s="117"/>
      <c r="H31" s="117"/>
      <c r="I31" s="117"/>
      <c r="J31" s="252"/>
    </row>
    <row r="32" spans="1:10" s="271" customFormat="1" ht="12.75" customHeight="1">
      <c r="A32" s="252"/>
      <c r="B32" s="148"/>
      <c r="C32" s="150" t="s">
        <v>380</v>
      </c>
      <c r="D32" s="157"/>
      <c r="E32" s="117"/>
      <c r="F32" s="117"/>
      <c r="G32" s="117"/>
      <c r="H32" s="117"/>
      <c r="I32" s="117"/>
      <c r="J32" s="252"/>
    </row>
    <row r="33" spans="1:10" s="271" customFormat="1" ht="12.75" customHeight="1">
      <c r="A33" s="252" t="s">
        <v>3783</v>
      </c>
      <c r="B33" s="148"/>
      <c r="C33" s="150" t="s">
        <v>381</v>
      </c>
      <c r="D33" s="157"/>
      <c r="E33" s="117">
        <v>0</v>
      </c>
      <c r="F33" s="117">
        <v>0</v>
      </c>
      <c r="G33" s="117">
        <v>0</v>
      </c>
      <c r="H33" s="117">
        <f aca="true" t="shared" si="1" ref="H33:H46">F33+G33</f>
        <v>0</v>
      </c>
      <c r="I33" s="117">
        <f aca="true" t="shared" si="2" ref="I33:I49">H33</f>
        <v>0</v>
      </c>
      <c r="J33" s="252"/>
    </row>
    <row r="34" spans="1:10" s="271" customFormat="1" ht="12.75" customHeight="1">
      <c r="A34" s="252" t="s">
        <v>3783</v>
      </c>
      <c r="B34" s="148"/>
      <c r="C34" s="150" t="s">
        <v>382</v>
      </c>
      <c r="D34" s="157"/>
      <c r="E34" s="117">
        <v>0</v>
      </c>
      <c r="F34" s="117"/>
      <c r="G34" s="117">
        <v>366491.63</v>
      </c>
      <c r="H34" s="117">
        <f t="shared" si="1"/>
        <v>366491.63</v>
      </c>
      <c r="I34" s="117">
        <f t="shared" si="2"/>
        <v>366491.63</v>
      </c>
      <c r="J34" s="252"/>
    </row>
    <row r="35" spans="1:10" s="271" customFormat="1" ht="12.75" customHeight="1">
      <c r="A35" s="252" t="s">
        <v>3783</v>
      </c>
      <c r="B35" s="148"/>
      <c r="C35" s="150" t="s">
        <v>383</v>
      </c>
      <c r="D35" s="157"/>
      <c r="E35" s="117">
        <v>0</v>
      </c>
      <c r="F35" s="117">
        <v>0</v>
      </c>
      <c r="G35" s="117">
        <v>180376.45</v>
      </c>
      <c r="H35" s="117">
        <f t="shared" si="1"/>
        <v>180376.45</v>
      </c>
      <c r="I35" s="117">
        <f t="shared" si="2"/>
        <v>180376.45</v>
      </c>
      <c r="J35" s="252"/>
    </row>
    <row r="36" spans="1:10" s="271" customFormat="1" ht="12.75" customHeight="1">
      <c r="A36" s="252" t="s">
        <v>3783</v>
      </c>
      <c r="B36" s="148"/>
      <c r="C36" s="150" t="s">
        <v>384</v>
      </c>
      <c r="D36" s="157"/>
      <c r="E36" s="117">
        <v>0</v>
      </c>
      <c r="F36" s="117">
        <v>60584.78</v>
      </c>
      <c r="G36" s="117">
        <v>8140733.37</v>
      </c>
      <c r="H36" s="117">
        <f t="shared" si="1"/>
        <v>8201318.15</v>
      </c>
      <c r="I36" s="117">
        <f t="shared" si="2"/>
        <v>8201318.15</v>
      </c>
      <c r="J36" s="252"/>
    </row>
    <row r="37" spans="1:10" s="271" customFormat="1" ht="12.75" customHeight="1">
      <c r="A37" s="252" t="s">
        <v>3783</v>
      </c>
      <c r="B37" s="148"/>
      <c r="C37" s="150" t="s">
        <v>385</v>
      </c>
      <c r="D37" s="157"/>
      <c r="E37" s="117">
        <v>0</v>
      </c>
      <c r="F37" s="117">
        <v>0</v>
      </c>
      <c r="G37" s="117">
        <v>184402.54</v>
      </c>
      <c r="H37" s="117">
        <f t="shared" si="1"/>
        <v>184402.54</v>
      </c>
      <c r="I37" s="117">
        <f t="shared" si="2"/>
        <v>184402.54</v>
      </c>
      <c r="J37" s="252"/>
    </row>
    <row r="38" spans="1:10" s="271" customFormat="1" ht="12.75" customHeight="1">
      <c r="A38" s="252" t="s">
        <v>3783</v>
      </c>
      <c r="B38" s="148"/>
      <c r="C38" s="150" t="s">
        <v>386</v>
      </c>
      <c r="D38" s="157"/>
      <c r="E38" s="117">
        <v>0</v>
      </c>
      <c r="F38" s="117">
        <v>0</v>
      </c>
      <c r="G38" s="117">
        <v>15738689.84</v>
      </c>
      <c r="H38" s="117">
        <f t="shared" si="1"/>
        <v>15738689.84</v>
      </c>
      <c r="I38" s="117">
        <f t="shared" si="2"/>
        <v>15738689.84</v>
      </c>
      <c r="J38" s="252"/>
    </row>
    <row r="39" spans="1:10" s="271" customFormat="1" ht="12.75" customHeight="1">
      <c r="A39" s="252" t="s">
        <v>3783</v>
      </c>
      <c r="B39" s="148"/>
      <c r="C39" s="150" t="s">
        <v>387</v>
      </c>
      <c r="D39" s="157"/>
      <c r="E39" s="117">
        <v>0</v>
      </c>
      <c r="F39" s="117">
        <v>0</v>
      </c>
      <c r="G39" s="117">
        <v>13290.47</v>
      </c>
      <c r="H39" s="117">
        <f t="shared" si="1"/>
        <v>13290.47</v>
      </c>
      <c r="I39" s="117">
        <f t="shared" si="2"/>
        <v>13290.47</v>
      </c>
      <c r="J39" s="252"/>
    </row>
    <row r="40" spans="1:10" s="271" customFormat="1" ht="12.75" customHeight="1">
      <c r="A40" s="252" t="s">
        <v>3783</v>
      </c>
      <c r="B40" s="148"/>
      <c r="C40" s="150" t="s">
        <v>388</v>
      </c>
      <c r="D40" s="157"/>
      <c r="E40" s="117">
        <v>0</v>
      </c>
      <c r="F40" s="117"/>
      <c r="G40" s="117">
        <v>0</v>
      </c>
      <c r="H40" s="117">
        <f t="shared" si="1"/>
        <v>0</v>
      </c>
      <c r="I40" s="117">
        <f t="shared" si="2"/>
        <v>0</v>
      </c>
      <c r="J40" s="252"/>
    </row>
    <row r="41" spans="1:10" s="271" customFormat="1" ht="12.75" customHeight="1">
      <c r="A41" s="252" t="s">
        <v>3783</v>
      </c>
      <c r="B41" s="148"/>
      <c r="C41" s="150" t="s">
        <v>389</v>
      </c>
      <c r="D41" s="157"/>
      <c r="E41" s="117">
        <v>0</v>
      </c>
      <c r="F41" s="117"/>
      <c r="G41" s="117">
        <v>237145.65</v>
      </c>
      <c r="H41" s="117">
        <f t="shared" si="1"/>
        <v>237145.65</v>
      </c>
      <c r="I41" s="117">
        <f t="shared" si="2"/>
        <v>237145.65</v>
      </c>
      <c r="J41" s="252"/>
    </row>
    <row r="42" spans="1:10" s="271" customFormat="1" ht="12.75" customHeight="1">
      <c r="A42" s="252" t="s">
        <v>3783</v>
      </c>
      <c r="B42" s="148"/>
      <c r="C42" s="150" t="s">
        <v>390</v>
      </c>
      <c r="D42" s="157"/>
      <c r="E42" s="117">
        <v>0</v>
      </c>
      <c r="F42" s="117">
        <v>0</v>
      </c>
      <c r="G42" s="117">
        <v>7350</v>
      </c>
      <c r="H42" s="117">
        <f t="shared" si="1"/>
        <v>7350</v>
      </c>
      <c r="I42" s="117">
        <f t="shared" si="2"/>
        <v>7350</v>
      </c>
      <c r="J42" s="252"/>
    </row>
    <row r="43" spans="1:10" s="271" customFormat="1" ht="12.75" customHeight="1">
      <c r="A43" s="252" t="s">
        <v>3783</v>
      </c>
      <c r="B43" s="148"/>
      <c r="C43" s="150" t="s">
        <v>391</v>
      </c>
      <c r="D43" s="157"/>
      <c r="E43" s="117">
        <v>0</v>
      </c>
      <c r="F43" s="117"/>
      <c r="G43" s="117">
        <v>0</v>
      </c>
      <c r="H43" s="117">
        <f t="shared" si="1"/>
        <v>0</v>
      </c>
      <c r="I43" s="117">
        <f t="shared" si="2"/>
        <v>0</v>
      </c>
      <c r="J43" s="252"/>
    </row>
    <row r="44" spans="1:10" s="271" customFormat="1" ht="12.75" customHeight="1">
      <c r="A44" s="252" t="s">
        <v>3783</v>
      </c>
      <c r="B44" s="148"/>
      <c r="C44" s="150" t="s">
        <v>392</v>
      </c>
      <c r="D44" s="157"/>
      <c r="E44" s="117">
        <v>0</v>
      </c>
      <c r="F44" s="117">
        <v>0</v>
      </c>
      <c r="G44" s="117">
        <v>0</v>
      </c>
      <c r="H44" s="117">
        <f t="shared" si="1"/>
        <v>0</v>
      </c>
      <c r="I44" s="117">
        <f t="shared" si="2"/>
        <v>0</v>
      </c>
      <c r="J44" s="252"/>
    </row>
    <row r="45" spans="1:10" s="271" customFormat="1" ht="12.75" customHeight="1">
      <c r="A45" s="252" t="s">
        <v>3783</v>
      </c>
      <c r="B45" s="148"/>
      <c r="C45" s="150" t="s">
        <v>393</v>
      </c>
      <c r="D45" s="157"/>
      <c r="E45" s="117">
        <v>0</v>
      </c>
      <c r="F45" s="117">
        <v>0</v>
      </c>
      <c r="G45" s="117">
        <v>0</v>
      </c>
      <c r="H45" s="117">
        <f t="shared" si="1"/>
        <v>0</v>
      </c>
      <c r="I45" s="117">
        <f t="shared" si="2"/>
        <v>0</v>
      </c>
      <c r="J45" s="252"/>
    </row>
    <row r="46" spans="1:10" s="271" customFormat="1" ht="12.75" customHeight="1">
      <c r="A46" s="252" t="s">
        <v>3783</v>
      </c>
      <c r="B46" s="148"/>
      <c r="C46" s="150" t="s">
        <v>394</v>
      </c>
      <c r="D46" s="157"/>
      <c r="E46" s="117">
        <v>0</v>
      </c>
      <c r="F46" s="117">
        <v>0</v>
      </c>
      <c r="G46" s="117">
        <v>1660323.84</v>
      </c>
      <c r="H46" s="117">
        <f t="shared" si="1"/>
        <v>1660323.84</v>
      </c>
      <c r="I46" s="117">
        <f t="shared" si="2"/>
        <v>1660323.84</v>
      </c>
      <c r="J46" s="252"/>
    </row>
    <row r="47" spans="1:10" s="271" customFormat="1" ht="12.75" customHeight="1">
      <c r="A47" s="252" t="s">
        <v>3783</v>
      </c>
      <c r="B47" s="148"/>
      <c r="C47" s="150" t="s">
        <v>395</v>
      </c>
      <c r="D47" s="157"/>
      <c r="E47" s="117">
        <v>0</v>
      </c>
      <c r="F47" s="117">
        <v>0</v>
      </c>
      <c r="G47" s="117">
        <v>1640949.1</v>
      </c>
      <c r="H47" s="117">
        <v>1617775</v>
      </c>
      <c r="I47" s="117">
        <f t="shared" si="2"/>
        <v>1617775</v>
      </c>
      <c r="J47" s="252"/>
    </row>
    <row r="48" spans="1:10" s="271" customFormat="1" ht="12.75" customHeight="1">
      <c r="A48" s="252" t="s">
        <v>3783</v>
      </c>
      <c r="B48" s="148"/>
      <c r="C48" s="150" t="s">
        <v>396</v>
      </c>
      <c r="D48" s="157"/>
      <c r="E48" s="117">
        <v>0</v>
      </c>
      <c r="F48" s="117">
        <v>0</v>
      </c>
      <c r="G48" s="117">
        <v>156380.02</v>
      </c>
      <c r="H48" s="117">
        <f>F48+G48</f>
        <v>156380.02</v>
      </c>
      <c r="I48" s="117">
        <f t="shared" si="2"/>
        <v>156380.02</v>
      </c>
      <c r="J48" s="252"/>
    </row>
    <row r="49" spans="1:10" s="271" customFormat="1" ht="12.75" customHeight="1">
      <c r="A49" s="251"/>
      <c r="B49" s="160"/>
      <c r="C49" s="161" t="s">
        <v>397</v>
      </c>
      <c r="D49" s="72"/>
      <c r="E49" s="101">
        <f>E33+E34+E35+E36+E37+E38+E39+E40+E41+E42+E43+E44+E45+E46+E47+E48</f>
        <v>0</v>
      </c>
      <c r="F49" s="101">
        <f>F33+F34+F35+F36+F37+F38+F39+F40+F41+F42+F43+F44+F45+F46+F47+F48</f>
        <v>60584.78</v>
      </c>
      <c r="G49" s="101">
        <f>G33+G34+G35+G36+G37+G38+G39+G40+G41+G42+G43+G44+G45+G46+G47+G48</f>
        <v>28326132.909999996</v>
      </c>
      <c r="H49" s="101">
        <f>H33+H34+H35+H36+H37+H38+H39+H40+H41+H42+H43+H44+H45+H46+H47+H48</f>
        <v>28363543.589999996</v>
      </c>
      <c r="I49" s="101">
        <f t="shared" si="2"/>
        <v>28363543.589999996</v>
      </c>
      <c r="J49" s="251"/>
    </row>
    <row r="50" spans="1:10" s="271" customFormat="1" ht="12.75" customHeight="1">
      <c r="A50" s="251"/>
      <c r="B50" s="160"/>
      <c r="C50" s="161"/>
      <c r="D50" s="72"/>
      <c r="E50" s="101"/>
      <c r="F50" s="101"/>
      <c r="G50" s="101"/>
      <c r="H50" s="101"/>
      <c r="I50" s="101"/>
      <c r="J50" s="251"/>
    </row>
    <row r="51" spans="1:9" ht="76.5" hidden="1" outlineLevel="1">
      <c r="A51" s="141" t="s">
        <v>398</v>
      </c>
      <c r="C51" s="171" t="s">
        <v>399</v>
      </c>
      <c r="H51" s="132">
        <v>4402354.65</v>
      </c>
      <c r="I51" s="132">
        <f aca="true" t="shared" si="3" ref="I51:I59">E51+H51</f>
        <v>4402354.65</v>
      </c>
    </row>
    <row r="52" spans="1:9" ht="76.5" hidden="1" outlineLevel="1">
      <c r="A52" s="141" t="s">
        <v>1492</v>
      </c>
      <c r="C52" s="171" t="s">
        <v>1493</v>
      </c>
      <c r="H52" s="132">
        <v>293237.26</v>
      </c>
      <c r="I52" s="132">
        <f t="shared" si="3"/>
        <v>293237.26</v>
      </c>
    </row>
    <row r="53" spans="1:10" s="271" customFormat="1" ht="12.75" customHeight="1" collapsed="1">
      <c r="A53" s="252" t="s">
        <v>400</v>
      </c>
      <c r="B53" s="148"/>
      <c r="C53" s="150" t="s">
        <v>3818</v>
      </c>
      <c r="D53" s="157"/>
      <c r="E53" s="117">
        <v>119</v>
      </c>
      <c r="F53" s="117"/>
      <c r="G53" s="117"/>
      <c r="H53" s="117">
        <v>4695591.91</v>
      </c>
      <c r="I53" s="117">
        <f t="shared" si="3"/>
        <v>4695710.91</v>
      </c>
      <c r="J53" s="252"/>
    </row>
    <row r="54" spans="1:9" ht="76.5" hidden="1" outlineLevel="1">
      <c r="A54" s="141" t="s">
        <v>401</v>
      </c>
      <c r="C54" s="171" t="s">
        <v>402</v>
      </c>
      <c r="H54" s="132">
        <v>-250123.88</v>
      </c>
      <c r="I54" s="132">
        <f t="shared" si="3"/>
        <v>-250123.88</v>
      </c>
    </row>
    <row r="55" spans="1:9" ht="76.5" hidden="1" outlineLevel="1">
      <c r="A55" s="141" t="s">
        <v>1496</v>
      </c>
      <c r="C55" s="171" t="s">
        <v>1497</v>
      </c>
      <c r="H55" s="132">
        <v>482820.87</v>
      </c>
      <c r="I55" s="132">
        <f t="shared" si="3"/>
        <v>482820.87</v>
      </c>
    </row>
    <row r="56" spans="1:9" ht="76.5" hidden="1" outlineLevel="1">
      <c r="A56" s="141" t="s">
        <v>1499</v>
      </c>
      <c r="C56" s="171" t="s">
        <v>1500</v>
      </c>
      <c r="H56" s="132">
        <v>6878490.35</v>
      </c>
      <c r="I56" s="132">
        <f t="shared" si="3"/>
        <v>6878490.35</v>
      </c>
    </row>
    <row r="57" spans="1:10" s="271" customFormat="1" ht="12.75" customHeight="1" collapsed="1">
      <c r="A57" s="252" t="s">
        <v>403</v>
      </c>
      <c r="B57" s="148"/>
      <c r="C57" s="150" t="s">
        <v>3819</v>
      </c>
      <c r="D57" s="157"/>
      <c r="E57" s="117">
        <v>11650</v>
      </c>
      <c r="F57" s="117"/>
      <c r="G57" s="117"/>
      <c r="H57" s="117">
        <v>7111187.34</v>
      </c>
      <c r="I57" s="117">
        <f t="shared" si="3"/>
        <v>7122837.34</v>
      </c>
      <c r="J57" s="252"/>
    </row>
    <row r="58" spans="1:9" ht="76.5" hidden="1" outlineLevel="1">
      <c r="A58" s="141" t="s">
        <v>1512</v>
      </c>
      <c r="C58" s="171" t="s">
        <v>1513</v>
      </c>
      <c r="H58" s="132">
        <v>3383</v>
      </c>
      <c r="I58" s="132">
        <f t="shared" si="3"/>
        <v>3383</v>
      </c>
    </row>
    <row r="59" spans="1:10" s="271" customFormat="1" ht="12.75" customHeight="1" collapsed="1">
      <c r="A59" s="252" t="s">
        <v>404</v>
      </c>
      <c r="B59" s="148"/>
      <c r="C59" s="150" t="s">
        <v>1534</v>
      </c>
      <c r="D59" s="157"/>
      <c r="E59" s="117">
        <v>3909726.91</v>
      </c>
      <c r="F59" s="117"/>
      <c r="G59" s="117"/>
      <c r="H59" s="117">
        <v>3383</v>
      </c>
      <c r="I59" s="117">
        <f t="shared" si="3"/>
        <v>3913109.91</v>
      </c>
      <c r="J59" s="252"/>
    </row>
    <row r="60" spans="1:10" s="271" customFormat="1" ht="12.75" customHeight="1">
      <c r="A60" s="252"/>
      <c r="B60" s="148"/>
      <c r="C60" s="150" t="s">
        <v>405</v>
      </c>
      <c r="D60" s="157"/>
      <c r="E60" s="117"/>
      <c r="F60" s="117"/>
      <c r="G60" s="117"/>
      <c r="H60" s="117"/>
      <c r="I60" s="117"/>
      <c r="J60" s="252"/>
    </row>
    <row r="61" spans="1:10" s="271" customFormat="1" ht="12.75" customHeight="1">
      <c r="A61" s="252" t="s">
        <v>3783</v>
      </c>
      <c r="B61" s="148"/>
      <c r="C61" s="150" t="s">
        <v>406</v>
      </c>
      <c r="D61" s="157"/>
      <c r="E61" s="117">
        <v>0</v>
      </c>
      <c r="F61" s="117"/>
      <c r="G61" s="117"/>
      <c r="H61" s="117">
        <v>0</v>
      </c>
      <c r="I61" s="117">
        <f aca="true" t="shared" si="4" ref="I61:I66">E61+H61</f>
        <v>0</v>
      </c>
      <c r="J61" s="252"/>
    </row>
    <row r="62" spans="1:10" s="271" customFormat="1" ht="12.75" customHeight="1">
      <c r="A62" s="252" t="s">
        <v>3783</v>
      </c>
      <c r="B62" s="148"/>
      <c r="C62" s="150" t="s">
        <v>3831</v>
      </c>
      <c r="D62" s="157"/>
      <c r="E62" s="117">
        <v>7243795.58</v>
      </c>
      <c r="F62" s="117"/>
      <c r="G62" s="117"/>
      <c r="H62" s="117">
        <v>0</v>
      </c>
      <c r="I62" s="117">
        <f t="shared" si="4"/>
        <v>7243795.58</v>
      </c>
      <c r="J62" s="252"/>
    </row>
    <row r="63" spans="1:10" s="271" customFormat="1" ht="12.75" customHeight="1">
      <c r="A63" s="252" t="s">
        <v>3783</v>
      </c>
      <c r="B63" s="148"/>
      <c r="C63" s="150" t="s">
        <v>3832</v>
      </c>
      <c r="D63" s="157"/>
      <c r="E63" s="117">
        <v>3188003.03</v>
      </c>
      <c r="F63" s="117"/>
      <c r="G63" s="117"/>
      <c r="H63" s="117">
        <v>0</v>
      </c>
      <c r="I63" s="117">
        <f t="shared" si="4"/>
        <v>3188003.03</v>
      </c>
      <c r="J63" s="252"/>
    </row>
    <row r="64" spans="1:10" s="271" customFormat="1" ht="12.75" customHeight="1">
      <c r="A64" s="252" t="s">
        <v>3783</v>
      </c>
      <c r="B64" s="148"/>
      <c r="C64" s="150" t="s">
        <v>407</v>
      </c>
      <c r="D64" s="157"/>
      <c r="E64" s="117">
        <v>15630313.11</v>
      </c>
      <c r="F64" s="117"/>
      <c r="G64" s="117"/>
      <c r="H64" s="117">
        <v>0</v>
      </c>
      <c r="I64" s="117">
        <f t="shared" si="4"/>
        <v>15630313.11</v>
      </c>
      <c r="J64" s="252"/>
    </row>
    <row r="65" spans="1:10" s="271" customFormat="1" ht="12.75" customHeight="1">
      <c r="A65" s="252" t="s">
        <v>408</v>
      </c>
      <c r="B65" s="148"/>
      <c r="C65" s="150" t="s">
        <v>409</v>
      </c>
      <c r="D65" s="157"/>
      <c r="E65" s="117">
        <v>18231730.09</v>
      </c>
      <c r="F65" s="117"/>
      <c r="G65" s="117"/>
      <c r="H65" s="117">
        <v>0</v>
      </c>
      <c r="I65" s="117">
        <f t="shared" si="4"/>
        <v>18231730.09</v>
      </c>
      <c r="J65" s="252"/>
    </row>
    <row r="66" spans="1:10" s="271" customFormat="1" ht="12.75" customHeight="1">
      <c r="A66" s="252" t="s">
        <v>410</v>
      </c>
      <c r="B66" s="148"/>
      <c r="C66" s="150" t="s">
        <v>3709</v>
      </c>
      <c r="D66" s="157"/>
      <c r="E66" s="117">
        <v>0</v>
      </c>
      <c r="F66" s="117"/>
      <c r="G66" s="117"/>
      <c r="H66" s="117">
        <v>0</v>
      </c>
      <c r="I66" s="117">
        <f t="shared" si="4"/>
        <v>0</v>
      </c>
      <c r="J66" s="252"/>
    </row>
    <row r="67" spans="1:10" s="271" customFormat="1" ht="12.75" customHeight="1">
      <c r="A67" s="252" t="s">
        <v>3783</v>
      </c>
      <c r="B67" s="148"/>
      <c r="C67" s="150" t="s">
        <v>411</v>
      </c>
      <c r="D67" s="157"/>
      <c r="E67" s="117" t="s">
        <v>3783</v>
      </c>
      <c r="F67" s="117"/>
      <c r="G67" s="117"/>
      <c r="H67" s="117"/>
      <c r="I67" s="117"/>
      <c r="J67" s="252"/>
    </row>
    <row r="68" spans="1:10" s="271" customFormat="1" ht="12.75" customHeight="1">
      <c r="A68" s="2" t="s">
        <v>412</v>
      </c>
      <c r="B68" s="148"/>
      <c r="C68" s="150" t="s">
        <v>413</v>
      </c>
      <c r="D68" s="157"/>
      <c r="E68" s="117">
        <v>5442689.58</v>
      </c>
      <c r="F68" s="117"/>
      <c r="G68" s="117"/>
      <c r="H68" s="117">
        <v>-5226993.64</v>
      </c>
      <c r="I68" s="117">
        <f>E68+H68</f>
        <v>215695.9400000004</v>
      </c>
      <c r="J68" s="2"/>
    </row>
    <row r="69" spans="1:10" s="271" customFormat="1" ht="12.75" customHeight="1">
      <c r="A69" s="2" t="s">
        <v>3783</v>
      </c>
      <c r="B69" s="148"/>
      <c r="C69" s="150" t="s">
        <v>414</v>
      </c>
      <c r="D69" s="157"/>
      <c r="E69" s="117">
        <f>E75-E68</f>
        <v>4762230.979999999</v>
      </c>
      <c r="F69" s="117"/>
      <c r="G69" s="117"/>
      <c r="H69" s="117">
        <f>H75-H68</f>
        <v>2672884.36</v>
      </c>
      <c r="I69" s="117">
        <f>E69+H69</f>
        <v>7435115.339999998</v>
      </c>
      <c r="J69" s="2"/>
    </row>
    <row r="70" spans="1:10" s="271" customFormat="1" ht="12.75" customHeight="1">
      <c r="A70" s="29"/>
      <c r="B70" s="160"/>
      <c r="C70" s="161"/>
      <c r="D70" s="72"/>
      <c r="E70" s="101"/>
      <c r="F70" s="101"/>
      <c r="G70" s="101"/>
      <c r="H70" s="101"/>
      <c r="I70" s="101"/>
      <c r="J70" s="29"/>
    </row>
    <row r="71" spans="1:10" s="271" customFormat="1" ht="12.75" customHeight="1">
      <c r="A71" s="29"/>
      <c r="B71" s="160"/>
      <c r="C71" s="154" t="s">
        <v>415</v>
      </c>
      <c r="D71" s="62"/>
      <c r="E71" s="175">
        <f>+E29+E49+E53+E57+E59+E61+E62+E63+E64+E65+E66+E68+E69</f>
        <v>157250320.6</v>
      </c>
      <c r="F71" s="175"/>
      <c r="G71" s="175"/>
      <c r="H71" s="175">
        <f>+H29+H49+H53+H57+H59+H61+H62+H63+H64+H65+H66+H68+H69</f>
        <v>27546570.009999994</v>
      </c>
      <c r="I71" s="175">
        <f>+I29+I49+I53+I57+I59+I61+I62+I63+I64+I65+I66+I68+I69</f>
        <v>184796890.61</v>
      </c>
      <c r="J71" s="1"/>
    </row>
    <row r="72" spans="1:10" s="271" customFormat="1" ht="12.75">
      <c r="A72" s="1"/>
      <c r="B72" s="171"/>
      <c r="C72" s="171"/>
      <c r="D72" s="171"/>
      <c r="E72" s="171"/>
      <c r="F72" s="171"/>
      <c r="G72" s="171"/>
      <c r="H72" s="171"/>
      <c r="I72" s="171"/>
      <c r="J72" s="1"/>
    </row>
    <row r="73" spans="1:10" s="271" customFormat="1" ht="12.75">
      <c r="A73" s="1"/>
      <c r="B73" s="171"/>
      <c r="C73" s="171"/>
      <c r="D73" s="171"/>
      <c r="E73" s="132"/>
      <c r="F73" s="132"/>
      <c r="G73" s="132"/>
      <c r="H73" s="132"/>
      <c r="I73" s="132"/>
      <c r="J73" s="1"/>
    </row>
    <row r="74" spans="1:10" s="271" customFormat="1" ht="12.75" hidden="1">
      <c r="A74" s="1"/>
      <c r="B74" s="171"/>
      <c r="C74" s="171" t="s">
        <v>416</v>
      </c>
      <c r="D74" s="171"/>
      <c r="E74" s="132"/>
      <c r="F74" s="132"/>
      <c r="G74" s="132"/>
      <c r="H74" s="132"/>
      <c r="I74" s="132"/>
      <c r="J74" s="1"/>
    </row>
    <row r="75" spans="1:10" s="271" customFormat="1" ht="12.75" hidden="1">
      <c r="A75" s="1" t="s">
        <v>417</v>
      </c>
      <c r="B75" s="171"/>
      <c r="C75" s="171" t="s">
        <v>418</v>
      </c>
      <c r="D75" s="171"/>
      <c r="E75" s="132">
        <v>10204920.559999999</v>
      </c>
      <c r="F75" s="132"/>
      <c r="G75" s="132"/>
      <c r="H75" s="132">
        <v>-2554109.28</v>
      </c>
      <c r="I75" s="132"/>
      <c r="J75" s="1"/>
    </row>
    <row r="76" spans="5:7" ht="12.75">
      <c r="E76" s="132"/>
      <c r="F76" s="132"/>
      <c r="G76" s="132"/>
    </row>
    <row r="77" spans="5:7" ht="12.75">
      <c r="E77" s="132"/>
      <c r="F77" s="132"/>
      <c r="G77" s="132"/>
    </row>
    <row r="78" spans="5:7" ht="12.75">
      <c r="E78" s="132"/>
      <c r="F78" s="132"/>
      <c r="G78" s="132"/>
    </row>
    <row r="79" spans="5:7" ht="12.75">
      <c r="E79" s="132"/>
      <c r="F79" s="132"/>
      <c r="G79" s="132"/>
    </row>
    <row r="80" spans="5:7" ht="12.75">
      <c r="E80" s="132"/>
      <c r="F80" s="132"/>
      <c r="G80" s="132"/>
    </row>
    <row r="81" spans="5:7" ht="12.75">
      <c r="E81" s="132"/>
      <c r="F81" s="132"/>
      <c r="G81" s="132"/>
    </row>
    <row r="82" spans="5:7" ht="12.75">
      <c r="E82" s="132"/>
      <c r="F82" s="132"/>
      <c r="G82" s="132"/>
    </row>
    <row r="83" spans="5:7" ht="12.75">
      <c r="E83" s="132"/>
      <c r="F83" s="132"/>
      <c r="G83" s="132"/>
    </row>
    <row r="84" spans="5:7" ht="12.75">
      <c r="E84" s="132"/>
      <c r="F84" s="132"/>
      <c r="G84" s="132"/>
    </row>
    <row r="85" spans="5:7" ht="12.75">
      <c r="E85" s="132"/>
      <c r="F85" s="132"/>
      <c r="G85" s="132"/>
    </row>
    <row r="86" spans="5:7" ht="12.75">
      <c r="E86" s="132"/>
      <c r="F86" s="132"/>
      <c r="G86" s="132"/>
    </row>
    <row r="87" spans="5:7" ht="12.75">
      <c r="E87" s="132"/>
      <c r="F87" s="132"/>
      <c r="G87" s="132"/>
    </row>
    <row r="88" spans="5:7" ht="12.75">
      <c r="E88" s="132"/>
      <c r="F88" s="132"/>
      <c r="G88" s="132"/>
    </row>
    <row r="89" spans="5:7" ht="12.75">
      <c r="E89" s="132"/>
      <c r="F89" s="132"/>
      <c r="G89" s="132"/>
    </row>
    <row r="90" spans="5:7" ht="12.75">
      <c r="E90" s="132"/>
      <c r="F90" s="132"/>
      <c r="G90" s="132"/>
    </row>
    <row r="91" spans="5:7" ht="12.75">
      <c r="E91" s="132"/>
      <c r="F91" s="132"/>
      <c r="G91" s="132"/>
    </row>
    <row r="92" spans="5:7" ht="12.75">
      <c r="E92" s="132"/>
      <c r="F92" s="132"/>
      <c r="G92" s="132"/>
    </row>
    <row r="93" spans="5:7" ht="12.75">
      <c r="E93" s="132"/>
      <c r="F93" s="132"/>
      <c r="G93" s="132"/>
    </row>
    <row r="94" spans="5:7" ht="12.75">
      <c r="E94" s="132"/>
      <c r="F94" s="132"/>
      <c r="G94" s="132"/>
    </row>
    <row r="95" spans="5:7" ht="12.75">
      <c r="E95" s="132"/>
      <c r="F95" s="132"/>
      <c r="G95" s="132"/>
    </row>
    <row r="96" spans="5:7" ht="12.75">
      <c r="E96" s="132"/>
      <c r="F96" s="132"/>
      <c r="G96" s="132"/>
    </row>
    <row r="97" spans="5:7" ht="12.75">
      <c r="E97" s="132"/>
      <c r="F97" s="132"/>
      <c r="G97" s="132"/>
    </row>
    <row r="98" spans="5:7" ht="12.75">
      <c r="E98" s="132"/>
      <c r="F98" s="132"/>
      <c r="G98" s="132"/>
    </row>
    <row r="99" spans="5:7" ht="12.75">
      <c r="E99" s="132"/>
      <c r="F99" s="132"/>
      <c r="G99" s="132"/>
    </row>
    <row r="100" spans="5:7" ht="12.75">
      <c r="E100" s="132"/>
      <c r="F100" s="132"/>
      <c r="G100" s="132"/>
    </row>
    <row r="101" spans="5:7" ht="12.75">
      <c r="E101" s="132"/>
      <c r="F101" s="132"/>
      <c r="G101" s="132"/>
    </row>
    <row r="102" spans="5:7" ht="12.75">
      <c r="E102" s="132"/>
      <c r="F102" s="132"/>
      <c r="G102" s="132"/>
    </row>
    <row r="103" spans="5:7" ht="12.75">
      <c r="E103" s="132"/>
      <c r="F103" s="132"/>
      <c r="G103" s="132"/>
    </row>
    <row r="104" spans="5:7" ht="12.75">
      <c r="E104" s="132"/>
      <c r="F104" s="132"/>
      <c r="G104" s="132"/>
    </row>
    <row r="105" spans="5:7" ht="12.75">
      <c r="E105" s="132"/>
      <c r="F105" s="132"/>
      <c r="G105" s="132"/>
    </row>
    <row r="106" spans="5:7" ht="12.75">
      <c r="E106" s="132"/>
      <c r="F106" s="132"/>
      <c r="G106" s="132"/>
    </row>
    <row r="107" spans="5:7" ht="12.75">
      <c r="E107" s="132"/>
      <c r="F107" s="132"/>
      <c r="G107" s="132"/>
    </row>
    <row r="108" spans="5:7" ht="12.75">
      <c r="E108" s="132"/>
      <c r="F108" s="132"/>
      <c r="G108" s="132"/>
    </row>
    <row r="109" spans="5:7" ht="12.75">
      <c r="E109" s="132"/>
      <c r="F109" s="132"/>
      <c r="G109" s="132"/>
    </row>
    <row r="110" spans="5:7" ht="12.75">
      <c r="E110" s="132"/>
      <c r="F110" s="132"/>
      <c r="G110" s="132"/>
    </row>
    <row r="111" spans="5:7" ht="12.75">
      <c r="E111" s="132"/>
      <c r="F111" s="132"/>
      <c r="G111" s="132"/>
    </row>
    <row r="112" spans="5:7" ht="12.75">
      <c r="E112" s="132"/>
      <c r="F112" s="132"/>
      <c r="G112" s="132"/>
    </row>
    <row r="113" spans="5:7" ht="12.75">
      <c r="E113" s="132"/>
      <c r="F113" s="132"/>
      <c r="G113" s="132"/>
    </row>
    <row r="114" spans="5:7" ht="12.75">
      <c r="E114" s="132"/>
      <c r="F114" s="132"/>
      <c r="G114" s="132"/>
    </row>
    <row r="115" spans="5:7" ht="12.75">
      <c r="E115" s="132"/>
      <c r="F115" s="132"/>
      <c r="G115" s="132"/>
    </row>
    <row r="116" spans="5:7" ht="12.75">
      <c r="E116" s="132"/>
      <c r="F116" s="132"/>
      <c r="G116" s="132"/>
    </row>
    <row r="117" spans="5:7" ht="12.75">
      <c r="E117" s="132"/>
      <c r="F117" s="132"/>
      <c r="G117" s="132"/>
    </row>
    <row r="118" spans="5:7" ht="12.75">
      <c r="E118" s="132"/>
      <c r="F118" s="132"/>
      <c r="G118" s="132"/>
    </row>
    <row r="119" spans="5:7" ht="12.75">
      <c r="E119" s="132"/>
      <c r="F119" s="132"/>
      <c r="G119" s="132"/>
    </row>
    <row r="120" spans="5:7" ht="12.75">
      <c r="E120" s="132"/>
      <c r="F120" s="132"/>
      <c r="G120" s="132"/>
    </row>
    <row r="121" spans="5:7" ht="12.75">
      <c r="E121" s="132"/>
      <c r="F121" s="132"/>
      <c r="G121" s="132"/>
    </row>
    <row r="122" spans="5:7" ht="12.75">
      <c r="E122" s="132"/>
      <c r="F122" s="132"/>
      <c r="G122" s="132"/>
    </row>
    <row r="123" spans="5:7" ht="12.75">
      <c r="E123" s="132"/>
      <c r="F123" s="132"/>
      <c r="G123" s="132"/>
    </row>
    <row r="124" spans="5:7" ht="12.75">
      <c r="E124" s="132"/>
      <c r="F124" s="132"/>
      <c r="G124" s="132"/>
    </row>
    <row r="125" spans="5:7" ht="12.75">
      <c r="E125" s="132"/>
      <c r="F125" s="132"/>
      <c r="G125" s="132"/>
    </row>
    <row r="126" spans="5:7" ht="12.75">
      <c r="E126" s="132"/>
      <c r="F126" s="132"/>
      <c r="G126" s="132"/>
    </row>
    <row r="127" spans="5:7" ht="12.75">
      <c r="E127" s="132"/>
      <c r="F127" s="132"/>
      <c r="G127" s="132"/>
    </row>
    <row r="128" spans="5:7" ht="12.75">
      <c r="E128" s="132"/>
      <c r="F128" s="132"/>
      <c r="G128" s="132"/>
    </row>
    <row r="129" spans="5:7" ht="12.75">
      <c r="E129" s="132"/>
      <c r="F129" s="132"/>
      <c r="G129" s="132"/>
    </row>
    <row r="130" spans="5:7" ht="12.75">
      <c r="E130" s="132"/>
      <c r="F130" s="132"/>
      <c r="G130" s="132"/>
    </row>
    <row r="131" spans="5:7" ht="12.75">
      <c r="E131" s="132"/>
      <c r="F131" s="132"/>
      <c r="G131" s="132"/>
    </row>
    <row r="132" spans="5:7" ht="12.75">
      <c r="E132" s="132"/>
      <c r="F132" s="132"/>
      <c r="G132" s="132"/>
    </row>
    <row r="133" spans="5:7" ht="12.75">
      <c r="E133" s="132"/>
      <c r="F133" s="132"/>
      <c r="G133" s="132"/>
    </row>
    <row r="134" spans="5:7" ht="12.75">
      <c r="E134" s="132"/>
      <c r="F134" s="132"/>
      <c r="G134" s="132"/>
    </row>
    <row r="135" spans="5:7" ht="12.75">
      <c r="E135" s="132"/>
      <c r="F135" s="132"/>
      <c r="G135" s="132"/>
    </row>
    <row r="136" spans="5:7" ht="12.75">
      <c r="E136" s="132"/>
      <c r="F136" s="132"/>
      <c r="G136" s="132"/>
    </row>
    <row r="137" spans="5:7" ht="12.75">
      <c r="E137" s="132"/>
      <c r="F137" s="132"/>
      <c r="G137" s="132"/>
    </row>
    <row r="138" spans="5:7" ht="12.75">
      <c r="E138" s="132"/>
      <c r="F138" s="132"/>
      <c r="G138" s="132"/>
    </row>
    <row r="139" spans="5:7" ht="12.75">
      <c r="E139" s="132"/>
      <c r="F139" s="132"/>
      <c r="G139" s="132"/>
    </row>
    <row r="140" spans="5:7" ht="12.75">
      <c r="E140" s="132"/>
      <c r="F140" s="132"/>
      <c r="G140" s="132"/>
    </row>
    <row r="141" spans="5:7" ht="12.75">
      <c r="E141" s="132"/>
      <c r="F141" s="132"/>
      <c r="G141" s="132"/>
    </row>
    <row r="142" spans="5:7" ht="12.75">
      <c r="E142" s="132"/>
      <c r="F142" s="132"/>
      <c r="G142" s="132"/>
    </row>
  </sheetData>
  <printOptions horizontalCentered="1"/>
  <pageMargins left="0.5" right="0.5" top="0.75" bottom="0.5" header="0.25" footer="0"/>
  <pageSetup fitToHeight="2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5"/>
  <sheetViews>
    <sheetView zoomScale="75" zoomScaleNormal="75" workbookViewId="0" topLeftCell="B2">
      <selection activeCell="B27" sqref="B27"/>
    </sheetView>
  </sheetViews>
  <sheetFormatPr defaultColWidth="9.140625" defaultRowHeight="12.75"/>
  <cols>
    <col min="1" max="1" width="146.421875" style="272" hidden="1" customWidth="1"/>
    <col min="2" max="2" width="57.421875" style="272" customWidth="1"/>
    <col min="3" max="8" width="21.28125" style="273" customWidth="1"/>
    <col min="9" max="9" width="15.28125" style="272" hidden="1" customWidth="1"/>
    <col min="10" max="15" width="0" style="272" hidden="1" customWidth="1"/>
    <col min="16" max="16" width="13.7109375" style="272" customWidth="1"/>
    <col min="17" max="16384" width="10.28125" style="272" customWidth="1"/>
  </cols>
  <sheetData>
    <row r="1" spans="1:6" ht="12" hidden="1">
      <c r="A1" s="272" t="s">
        <v>419</v>
      </c>
      <c r="C1" s="273" t="s">
        <v>420</v>
      </c>
      <c r="D1" s="273" t="s">
        <v>421</v>
      </c>
      <c r="E1" s="273" t="s">
        <v>422</v>
      </c>
      <c r="F1" s="273" t="s">
        <v>3783</v>
      </c>
    </row>
    <row r="2" spans="2:18" s="274" customFormat="1" ht="15.75" customHeight="1">
      <c r="B2" s="275" t="str">
        <f>"University of Missouri - "&amp;RBN</f>
        <v>University of Missouri - Kansas City</v>
      </c>
      <c r="C2" s="276"/>
      <c r="D2" s="276"/>
      <c r="E2" s="276"/>
      <c r="F2" s="276"/>
      <c r="G2" s="276"/>
      <c r="H2" s="277"/>
      <c r="M2" s="278" t="s">
        <v>423</v>
      </c>
      <c r="P2" s="279" t="s">
        <v>424</v>
      </c>
      <c r="R2" s="278" t="s">
        <v>3861</v>
      </c>
    </row>
    <row r="3" spans="2:16" s="274" customFormat="1" ht="15.75" customHeight="1">
      <c r="B3" s="280" t="s">
        <v>425</v>
      </c>
      <c r="C3" s="281"/>
      <c r="D3" s="282"/>
      <c r="E3" s="281"/>
      <c r="F3" s="281"/>
      <c r="G3" s="281"/>
      <c r="H3" s="283"/>
      <c r="M3" s="278" t="s">
        <v>426</v>
      </c>
      <c r="P3" s="284">
        <f ca="1">NOW()</f>
        <v>39184.46259375</v>
      </c>
    </row>
    <row r="4" spans="2:16" ht="15.75" customHeight="1">
      <c r="B4" s="285" t="str">
        <f>"For the Year Ending "&amp;TEXT(M4,"MMMM DD, YYYY")</f>
        <v>For the Year Ending June 30, 2006</v>
      </c>
      <c r="C4" s="286"/>
      <c r="D4" s="287"/>
      <c r="E4" s="286"/>
      <c r="F4" s="286"/>
      <c r="G4" s="286"/>
      <c r="H4" s="288"/>
      <c r="M4" s="289" t="s">
        <v>3862</v>
      </c>
      <c r="P4" s="290">
        <f ca="1">NOW()</f>
        <v>39184.46259375</v>
      </c>
    </row>
    <row r="5" spans="2:9" ht="12.75" customHeight="1">
      <c r="B5" s="291"/>
      <c r="C5" s="292"/>
      <c r="D5" s="293"/>
      <c r="E5" s="292"/>
      <c r="F5" s="292"/>
      <c r="G5" s="292"/>
      <c r="H5" s="294"/>
      <c r="I5" s="295"/>
    </row>
    <row r="6" spans="2:8" ht="42" customHeight="1">
      <c r="B6" s="296"/>
      <c r="C6" s="297" t="s">
        <v>427</v>
      </c>
      <c r="D6" s="298" t="s">
        <v>3711</v>
      </c>
      <c r="E6" s="299" t="s">
        <v>3712</v>
      </c>
      <c r="F6" s="299" t="s">
        <v>3713</v>
      </c>
      <c r="G6" s="299" t="s">
        <v>3699</v>
      </c>
      <c r="H6" s="298" t="s">
        <v>133</v>
      </c>
    </row>
    <row r="7" spans="2:8" ht="12.75" customHeight="1">
      <c r="B7" s="296"/>
      <c r="C7" s="300"/>
      <c r="D7" s="301"/>
      <c r="E7" s="299"/>
      <c r="F7" s="299"/>
      <c r="G7" s="299"/>
      <c r="H7" s="301"/>
    </row>
    <row r="8" spans="2:8" ht="12.75" customHeight="1">
      <c r="B8" s="302" t="s">
        <v>428</v>
      </c>
      <c r="C8" s="303"/>
      <c r="D8" s="304"/>
      <c r="E8" s="305"/>
      <c r="F8" s="306" t="s">
        <v>429</v>
      </c>
      <c r="G8" s="305"/>
      <c r="H8" s="307"/>
    </row>
    <row r="9" spans="2:8" ht="12.75" customHeight="1">
      <c r="B9" s="296"/>
      <c r="C9" s="308"/>
      <c r="D9" s="307"/>
      <c r="E9" s="307"/>
      <c r="F9" s="307"/>
      <c r="G9" s="307"/>
      <c r="H9" s="307"/>
    </row>
    <row r="10" spans="2:8" ht="12.75" customHeight="1">
      <c r="B10" s="296" t="s">
        <v>430</v>
      </c>
      <c r="C10" s="309">
        <v>86325285.549</v>
      </c>
      <c r="D10" s="310">
        <v>19200308.845</v>
      </c>
      <c r="E10" s="310">
        <v>14094943.76</v>
      </c>
      <c r="F10" s="310">
        <v>0</v>
      </c>
      <c r="G10" s="310">
        <v>0</v>
      </c>
      <c r="H10" s="310">
        <f>C10+D10+E10+F10+G10</f>
        <v>119620538.154</v>
      </c>
    </row>
    <row r="11" spans="2:8" ht="12.75" customHeight="1">
      <c r="B11" s="296"/>
      <c r="C11" s="311"/>
      <c r="D11" s="312"/>
      <c r="E11" s="312"/>
      <c r="F11" s="312"/>
      <c r="G11" s="312"/>
      <c r="H11" s="312"/>
    </row>
    <row r="12" spans="2:8" ht="12.75" customHeight="1">
      <c r="B12" s="296" t="s">
        <v>431</v>
      </c>
      <c r="C12" s="311">
        <v>8693416.313</v>
      </c>
      <c r="D12" s="312">
        <v>1973693.943</v>
      </c>
      <c r="E12" s="312">
        <v>6157511.36</v>
      </c>
      <c r="F12" s="312">
        <v>0</v>
      </c>
      <c r="G12" s="312">
        <v>0</v>
      </c>
      <c r="H12" s="312">
        <f>C12+D12+E12+F12+G12</f>
        <v>16824621.616</v>
      </c>
    </row>
    <row r="13" spans="2:8" ht="12.75" customHeight="1">
      <c r="B13" s="296"/>
      <c r="C13" s="311"/>
      <c r="D13" s="312"/>
      <c r="E13" s="312"/>
      <c r="F13" s="312"/>
      <c r="G13" s="312"/>
      <c r="H13" s="312"/>
    </row>
    <row r="14" spans="2:8" ht="12.75" customHeight="1">
      <c r="B14" s="296" t="s">
        <v>432</v>
      </c>
      <c r="C14" s="311">
        <v>8366355.084</v>
      </c>
      <c r="D14" s="312">
        <v>2217434.194</v>
      </c>
      <c r="E14" s="312">
        <v>6327811.61</v>
      </c>
      <c r="F14" s="312">
        <v>0</v>
      </c>
      <c r="G14" s="312">
        <v>0</v>
      </c>
      <c r="H14" s="312">
        <f>C14+D14+E14+F14+G14</f>
        <v>16911600.888</v>
      </c>
    </row>
    <row r="15" spans="2:8" ht="12.75" customHeight="1">
      <c r="B15" s="296"/>
      <c r="C15" s="311"/>
      <c r="D15" s="312"/>
      <c r="E15" s="312"/>
      <c r="F15" s="312"/>
      <c r="G15" s="312"/>
      <c r="H15" s="312"/>
    </row>
    <row r="16" spans="2:8" ht="12.75" customHeight="1">
      <c r="B16" s="296" t="s">
        <v>433</v>
      </c>
      <c r="C16" s="311">
        <v>13842737.736</v>
      </c>
      <c r="D16" s="312">
        <v>3644248.658</v>
      </c>
      <c r="E16" s="312">
        <v>7228999</v>
      </c>
      <c r="F16" s="312">
        <v>0</v>
      </c>
      <c r="G16" s="312">
        <v>0</v>
      </c>
      <c r="H16" s="312">
        <f>C16+D16+E16+F16+G16</f>
        <v>24715985.394</v>
      </c>
    </row>
    <row r="17" spans="2:8" ht="12.75" customHeight="1">
      <c r="B17" s="296"/>
      <c r="C17" s="311"/>
      <c r="D17" s="312"/>
      <c r="E17" s="312"/>
      <c r="F17" s="312"/>
      <c r="G17" s="312"/>
      <c r="H17" s="312"/>
    </row>
    <row r="18" spans="2:8" ht="12.75" customHeight="1">
      <c r="B18" s="296" t="s">
        <v>434</v>
      </c>
      <c r="C18" s="311">
        <v>8837227.825</v>
      </c>
      <c r="D18" s="312">
        <v>1798428.656</v>
      </c>
      <c r="E18" s="312">
        <v>4739591.92</v>
      </c>
      <c r="F18" s="312">
        <v>0</v>
      </c>
      <c r="G18" s="312">
        <v>0</v>
      </c>
      <c r="H18" s="312">
        <f>C18+D18+E18+F18+G18</f>
        <v>15375248.400999999</v>
      </c>
    </row>
    <row r="19" spans="2:8" ht="12.75" customHeight="1">
      <c r="B19" s="296"/>
      <c r="C19" s="311"/>
      <c r="D19" s="312"/>
      <c r="E19" s="312"/>
      <c r="F19" s="312"/>
      <c r="G19" s="312"/>
      <c r="H19" s="312"/>
    </row>
    <row r="20" spans="2:8" ht="12.75" customHeight="1">
      <c r="B20" s="296" t="s">
        <v>435</v>
      </c>
      <c r="C20" s="311">
        <v>14185741.098</v>
      </c>
      <c r="D20" s="312">
        <v>3924305.19</v>
      </c>
      <c r="E20" s="312">
        <v>12460830.77</v>
      </c>
      <c r="F20" s="312">
        <v>0</v>
      </c>
      <c r="G20" s="312">
        <v>0</v>
      </c>
      <c r="H20" s="312">
        <f>C20+D20+E20+F20+G20</f>
        <v>30570877.058</v>
      </c>
    </row>
    <row r="21" spans="2:8" ht="12.75" customHeight="1">
      <c r="B21" s="296"/>
      <c r="C21" s="311"/>
      <c r="D21" s="312"/>
      <c r="E21" s="312"/>
      <c r="F21" s="312"/>
      <c r="G21" s="312"/>
      <c r="H21" s="312"/>
    </row>
    <row r="22" spans="2:8" ht="12.75" customHeight="1">
      <c r="B22" s="296" t="s">
        <v>436</v>
      </c>
      <c r="C22" s="311">
        <v>6570236.966</v>
      </c>
      <c r="D22" s="312">
        <v>1867935.434</v>
      </c>
      <c r="E22" s="312">
        <v>9426927.25</v>
      </c>
      <c r="F22" s="312">
        <v>0</v>
      </c>
      <c r="G22" s="312">
        <v>0</v>
      </c>
      <c r="H22" s="312">
        <f>C22+D22+E22+F22+G22</f>
        <v>17865099.65</v>
      </c>
    </row>
    <row r="23" spans="2:8" ht="12.75" customHeight="1">
      <c r="B23" s="296" t="s">
        <v>437</v>
      </c>
      <c r="C23" s="311"/>
      <c r="D23" s="312"/>
      <c r="E23" s="312"/>
      <c r="F23" s="312"/>
      <c r="G23" s="312"/>
      <c r="H23" s="312"/>
    </row>
    <row r="24" spans="1:8" ht="12.75" customHeight="1">
      <c r="A24" s="272" t="s">
        <v>3783</v>
      </c>
      <c r="B24" s="296" t="s">
        <v>438</v>
      </c>
      <c r="C24" s="311">
        <v>0</v>
      </c>
      <c r="D24" s="312">
        <v>0</v>
      </c>
      <c r="E24" s="312">
        <v>0</v>
      </c>
      <c r="F24" s="312">
        <v>5530000</v>
      </c>
      <c r="G24" s="312">
        <v>0</v>
      </c>
      <c r="H24" s="312">
        <f>C24+D24+E24+F24+G24</f>
        <v>5530000</v>
      </c>
    </row>
    <row r="25" spans="2:8" ht="12.75" customHeight="1">
      <c r="B25" s="296"/>
      <c r="C25" s="311"/>
      <c r="D25" s="312"/>
      <c r="E25" s="312"/>
      <c r="F25" s="312"/>
      <c r="G25" s="312"/>
      <c r="H25" s="312"/>
    </row>
    <row r="26" spans="2:8" s="313" customFormat="1" ht="12.75" customHeight="1">
      <c r="B26" s="302" t="s">
        <v>439</v>
      </c>
      <c r="C26" s="314">
        <f aca="true" t="shared" si="0" ref="C26:H26">+C24+C22+C20+C18+C16+C14+C12+C10</f>
        <v>146821000.57099998</v>
      </c>
      <c r="D26" s="314">
        <f t="shared" si="0"/>
        <v>34626354.92</v>
      </c>
      <c r="E26" s="314">
        <f t="shared" si="0"/>
        <v>60436615.669999994</v>
      </c>
      <c r="F26" s="314">
        <f t="shared" si="0"/>
        <v>5530000</v>
      </c>
      <c r="G26" s="314">
        <f t="shared" si="0"/>
        <v>0</v>
      </c>
      <c r="H26" s="314">
        <f t="shared" si="0"/>
        <v>247413971.16099998</v>
      </c>
    </row>
    <row r="27" spans="2:8" ht="12.75" customHeight="1">
      <c r="B27" s="296"/>
      <c r="C27" s="311"/>
      <c r="D27" s="312"/>
      <c r="E27" s="312"/>
      <c r="F27" s="312"/>
      <c r="G27" s="312"/>
      <c r="H27" s="312"/>
    </row>
    <row r="28" spans="2:8" ht="12.75" customHeight="1">
      <c r="B28" s="296" t="s">
        <v>440</v>
      </c>
      <c r="C28" s="311">
        <v>8664652.966</v>
      </c>
      <c r="D28" s="312">
        <v>2040630.043</v>
      </c>
      <c r="E28" s="312">
        <v>13598431.87</v>
      </c>
      <c r="F28" s="312"/>
      <c r="G28" s="312">
        <v>0</v>
      </c>
      <c r="H28" s="312">
        <f>C28+D28+E28+F28+G28</f>
        <v>24303714.879</v>
      </c>
    </row>
    <row r="29" spans="2:8" ht="12.75" customHeight="1">
      <c r="B29" s="296"/>
      <c r="C29" s="311"/>
      <c r="D29" s="312"/>
      <c r="E29" s="312"/>
      <c r="F29" s="312"/>
      <c r="G29" s="312"/>
      <c r="H29" s="312"/>
    </row>
    <row r="30" spans="2:8" s="313" customFormat="1" ht="12.75" customHeight="1">
      <c r="B30" s="302" t="s">
        <v>441</v>
      </c>
      <c r="C30" s="314">
        <f aca="true" t="shared" si="1" ref="C30:H30">C28+C26</f>
        <v>155485653.53699997</v>
      </c>
      <c r="D30" s="314">
        <f t="shared" si="1"/>
        <v>36666984.963</v>
      </c>
      <c r="E30" s="314">
        <f t="shared" si="1"/>
        <v>74035047.53999999</v>
      </c>
      <c r="F30" s="314">
        <f t="shared" si="1"/>
        <v>5530000</v>
      </c>
      <c r="G30" s="314">
        <f t="shared" si="1"/>
        <v>0</v>
      </c>
      <c r="H30" s="314">
        <f t="shared" si="1"/>
        <v>271717686.03999996</v>
      </c>
    </row>
    <row r="31" spans="2:8" ht="12.75" customHeight="1">
      <c r="B31" s="296"/>
      <c r="C31" s="311"/>
      <c r="D31" s="312"/>
      <c r="E31" s="312"/>
      <c r="F31" s="312"/>
      <c r="G31" s="312"/>
      <c r="H31" s="312"/>
    </row>
    <row r="32" spans="2:8" s="313" customFormat="1" ht="12.75" customHeight="1">
      <c r="B32" s="302" t="s">
        <v>442</v>
      </c>
      <c r="C32" s="315">
        <v>0</v>
      </c>
      <c r="D32" s="315">
        <v>0</v>
      </c>
      <c r="E32" s="315">
        <v>-922.93</v>
      </c>
      <c r="F32" s="315">
        <v>0</v>
      </c>
      <c r="G32" s="315">
        <v>0</v>
      </c>
      <c r="H32" s="315">
        <f>C32+D32+E32+F32+G32</f>
        <v>-922.93</v>
      </c>
    </row>
    <row r="33" spans="2:8" s="313" customFormat="1" ht="12.75" customHeight="1">
      <c r="B33" s="302"/>
      <c r="C33" s="315"/>
      <c r="D33" s="315"/>
      <c r="E33" s="315"/>
      <c r="F33" s="315"/>
      <c r="G33" s="315"/>
      <c r="H33" s="315"/>
    </row>
    <row r="34" spans="2:8" s="313" customFormat="1" ht="12.75" customHeight="1">
      <c r="B34" s="302" t="s">
        <v>443</v>
      </c>
      <c r="C34" s="315">
        <v>0</v>
      </c>
      <c r="D34" s="315">
        <v>0</v>
      </c>
      <c r="E34" s="315">
        <v>34565.49</v>
      </c>
      <c r="F34" s="315">
        <v>0</v>
      </c>
      <c r="G34" s="315">
        <v>0</v>
      </c>
      <c r="H34" s="315">
        <f>C34+D34+E34+F34+G34</f>
        <v>34565.49</v>
      </c>
    </row>
    <row r="35" spans="2:8" s="313" customFormat="1" ht="12.75" customHeight="1">
      <c r="B35" s="302"/>
      <c r="C35" s="315"/>
      <c r="D35" s="315"/>
      <c r="E35" s="315"/>
      <c r="F35" s="315"/>
      <c r="G35" s="315"/>
      <c r="H35" s="315"/>
    </row>
    <row r="36" spans="2:8" s="313" customFormat="1" ht="12.75" customHeight="1">
      <c r="B36" s="302" t="s">
        <v>444</v>
      </c>
      <c r="C36" s="315">
        <v>0</v>
      </c>
      <c r="D36" s="315">
        <v>0</v>
      </c>
      <c r="E36" s="315">
        <v>-7461437.51</v>
      </c>
      <c r="F36" s="315">
        <v>0</v>
      </c>
      <c r="G36" s="315">
        <v>0</v>
      </c>
      <c r="H36" s="315">
        <f>C36+D36+E36+F36+G36</f>
        <v>-7461437.51</v>
      </c>
    </row>
    <row r="37" spans="2:8" s="313" customFormat="1" ht="12.75" customHeight="1">
      <c r="B37" s="302"/>
      <c r="C37" s="315"/>
      <c r="D37" s="315"/>
      <c r="E37" s="315"/>
      <c r="F37" s="315"/>
      <c r="G37" s="315"/>
      <c r="H37" s="315"/>
    </row>
    <row r="38" spans="2:8" s="313" customFormat="1" ht="12.75" customHeight="1">
      <c r="B38" s="302" t="s">
        <v>3699</v>
      </c>
      <c r="C38" s="315">
        <v>0</v>
      </c>
      <c r="D38" s="315">
        <v>0</v>
      </c>
      <c r="E38" s="315">
        <v>0</v>
      </c>
      <c r="F38" s="315">
        <v>0</v>
      </c>
      <c r="G38" s="315">
        <v>13733444.77</v>
      </c>
      <c r="H38" s="315">
        <f>C38+D38+E38+F38+G38</f>
        <v>13733444.77</v>
      </c>
    </row>
    <row r="39" spans="2:8" ht="12.75" customHeight="1">
      <c r="B39" s="296"/>
      <c r="C39" s="312"/>
      <c r="D39" s="312"/>
      <c r="E39" s="312"/>
      <c r="F39" s="312"/>
      <c r="G39" s="312"/>
      <c r="H39" s="312"/>
    </row>
    <row r="40" spans="2:8" s="313" customFormat="1" ht="12.75" customHeight="1">
      <c r="B40" s="302" t="s">
        <v>445</v>
      </c>
      <c r="C40" s="316">
        <f aca="true" t="shared" si="2" ref="C40:H40">C30+C32+C34+C36+C38</f>
        <v>155485653.53699997</v>
      </c>
      <c r="D40" s="316">
        <f t="shared" si="2"/>
        <v>36666984.963</v>
      </c>
      <c r="E40" s="316">
        <f t="shared" si="2"/>
        <v>66607252.58999998</v>
      </c>
      <c r="F40" s="316">
        <f t="shared" si="2"/>
        <v>5530000</v>
      </c>
      <c r="G40" s="316">
        <f t="shared" si="2"/>
        <v>13733444.77</v>
      </c>
      <c r="H40" s="316">
        <f t="shared" si="2"/>
        <v>278023335.85999995</v>
      </c>
    </row>
    <row r="41" spans="2:8" ht="12.75">
      <c r="B41" s="317"/>
      <c r="C41" s="318"/>
      <c r="D41" s="318"/>
      <c r="E41" s="318"/>
      <c r="F41" s="318"/>
      <c r="G41" s="318"/>
      <c r="H41" s="318"/>
    </row>
    <row r="42" spans="2:8" ht="12.75">
      <c r="B42" s="317" t="s">
        <v>446</v>
      </c>
      <c r="C42" s="318"/>
      <c r="D42" s="318"/>
      <c r="E42" s="318"/>
      <c r="F42" s="318"/>
      <c r="G42" s="318"/>
      <c r="H42" s="318"/>
    </row>
    <row r="43" spans="2:8" ht="12.75">
      <c r="B43" s="317" t="s">
        <v>447</v>
      </c>
      <c r="C43" s="318"/>
      <c r="D43" s="318"/>
      <c r="E43" s="318"/>
      <c r="F43" s="318"/>
      <c r="G43" s="318"/>
      <c r="H43" s="318"/>
    </row>
    <row r="44" spans="2:8" ht="7.5" customHeight="1">
      <c r="B44" s="317"/>
      <c r="C44" s="318"/>
      <c r="D44" s="318"/>
      <c r="E44" s="318"/>
      <c r="F44" s="318"/>
      <c r="G44" s="318"/>
      <c r="H44" s="318"/>
    </row>
    <row r="45" spans="2:8" ht="12.75">
      <c r="B45" s="317" t="s">
        <v>448</v>
      </c>
      <c r="C45" s="318"/>
      <c r="D45" s="318"/>
      <c r="E45" s="318"/>
      <c r="F45" s="318"/>
      <c r="G45" s="318"/>
      <c r="H45" s="318"/>
    </row>
    <row r="46" ht="7.5" customHeight="1"/>
    <row r="47" spans="1:18" ht="12.75">
      <c r="A47" s="319"/>
      <c r="B47" s="320" t="s">
        <v>449</v>
      </c>
      <c r="C47" s="321"/>
      <c r="D47" s="321"/>
      <c r="E47" s="321"/>
      <c r="F47" s="321"/>
      <c r="G47" s="321"/>
      <c r="H47" s="321"/>
      <c r="I47" s="319"/>
      <c r="J47" s="319"/>
      <c r="K47" s="319"/>
      <c r="L47" s="319"/>
      <c r="M47" s="319"/>
      <c r="N47" s="319"/>
      <c r="O47" s="319"/>
      <c r="P47" s="319"/>
      <c r="Q47" s="319"/>
      <c r="R47" s="319"/>
    </row>
    <row r="48" ht="7.5" customHeight="1"/>
    <row r="49" spans="1:18" ht="12.75">
      <c r="A49" s="319"/>
      <c r="B49" s="320" t="s">
        <v>450</v>
      </c>
      <c r="C49" s="321"/>
      <c r="D49" s="321"/>
      <c r="E49" s="321"/>
      <c r="F49" s="321"/>
      <c r="G49" s="321"/>
      <c r="H49" s="321"/>
      <c r="I49" s="319"/>
      <c r="J49" s="319"/>
      <c r="K49" s="319"/>
      <c r="L49" s="319"/>
      <c r="M49" s="319"/>
      <c r="N49" s="319"/>
      <c r="O49" s="319"/>
      <c r="P49" s="319"/>
      <c r="Q49" s="319"/>
      <c r="R49" s="319"/>
    </row>
    <row r="50" ht="7.5" customHeight="1"/>
    <row r="51" spans="1:18" ht="12.75">
      <c r="A51" s="319"/>
      <c r="B51" s="320" t="s">
        <v>451</v>
      </c>
      <c r="C51" s="321"/>
      <c r="D51" s="321"/>
      <c r="E51" s="321"/>
      <c r="F51" s="321"/>
      <c r="G51" s="321"/>
      <c r="H51" s="321"/>
      <c r="I51" s="319"/>
      <c r="J51" s="319"/>
      <c r="K51" s="319"/>
      <c r="L51" s="319"/>
      <c r="M51" s="319"/>
      <c r="N51" s="319"/>
      <c r="O51" s="319"/>
      <c r="P51" s="319"/>
      <c r="Q51" s="319"/>
      <c r="R51" s="319"/>
    </row>
    <row r="52" ht="7.5" customHeight="1"/>
    <row r="53" spans="1:18" ht="12.75">
      <c r="A53" s="319"/>
      <c r="B53" s="320" t="s">
        <v>452</v>
      </c>
      <c r="C53" s="321"/>
      <c r="D53" s="321"/>
      <c r="E53" s="321"/>
      <c r="F53" s="321"/>
      <c r="G53" s="321"/>
      <c r="H53" s="321"/>
      <c r="I53" s="319"/>
      <c r="J53" s="319"/>
      <c r="K53" s="319"/>
      <c r="L53" s="319"/>
      <c r="M53" s="319"/>
      <c r="N53" s="319"/>
      <c r="O53" s="319"/>
      <c r="P53" s="319"/>
      <c r="Q53" s="319"/>
      <c r="R53" s="319"/>
    </row>
    <row r="54" ht="7.5" customHeight="1"/>
    <row r="55" spans="1:18" ht="12.75">
      <c r="A55" s="319"/>
      <c r="B55" s="320" t="s">
        <v>453</v>
      </c>
      <c r="C55" s="321"/>
      <c r="D55" s="321"/>
      <c r="E55" s="321"/>
      <c r="F55" s="321"/>
      <c r="G55" s="321"/>
      <c r="H55" s="321"/>
      <c r="I55" s="319"/>
      <c r="J55" s="319"/>
      <c r="K55" s="319"/>
      <c r="L55" s="319"/>
      <c r="M55" s="319"/>
      <c r="N55" s="319"/>
      <c r="O55" s="319"/>
      <c r="P55" s="319"/>
      <c r="Q55" s="319"/>
      <c r="R55" s="319"/>
    </row>
  </sheetData>
  <printOptions horizontalCentered="1"/>
  <pageMargins left="0.5" right="0.5" top="0.75" bottom="0.5" header="0.5" footer="0.5"/>
  <pageSetup horizontalDpi="300" verticalDpi="3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B2">
      <selection activeCell="I27" sqref="I27"/>
    </sheetView>
  </sheetViews>
  <sheetFormatPr defaultColWidth="9.140625" defaultRowHeight="12.75" outlineLevelRow="1"/>
  <cols>
    <col min="1" max="1" width="0" style="322" hidden="1" customWidth="1"/>
    <col min="2" max="2" width="2.57421875" style="327" customWidth="1"/>
    <col min="3" max="3" width="75.00390625" style="369" hidden="1" customWidth="1"/>
    <col min="4" max="4" width="64.00390625" style="370" customWidth="1"/>
    <col min="5" max="9" width="21.28125" style="326" customWidth="1"/>
    <col min="10" max="10" width="13.421875" style="322" customWidth="1"/>
    <col min="11" max="16384" width="10.28125" style="322" customWidth="1"/>
  </cols>
  <sheetData>
    <row r="1" spans="1:9" ht="204" hidden="1">
      <c r="A1" s="322" t="s">
        <v>419</v>
      </c>
      <c r="B1" s="323" t="s">
        <v>3785</v>
      </c>
      <c r="C1" s="324" t="s">
        <v>3784</v>
      </c>
      <c r="D1" s="325" t="s">
        <v>3785</v>
      </c>
      <c r="E1" s="326" t="s">
        <v>454</v>
      </c>
      <c r="F1" s="326" t="s">
        <v>455</v>
      </c>
      <c r="G1" s="326" t="s">
        <v>456</v>
      </c>
      <c r="H1" s="326" t="s">
        <v>457</v>
      </c>
      <c r="I1" s="326" t="s">
        <v>3785</v>
      </c>
    </row>
    <row r="2" spans="1:13" ht="15.75" customHeight="1">
      <c r="A2" s="327"/>
      <c r="B2" s="328" t="str">
        <f>"University of Missouri - "&amp;RBN</f>
        <v>University of Missouri - Kansas City</v>
      </c>
      <c r="C2" s="329"/>
      <c r="D2" s="329"/>
      <c r="E2" s="330"/>
      <c r="F2" s="330"/>
      <c r="G2" s="330"/>
      <c r="H2" s="330"/>
      <c r="I2" s="330"/>
      <c r="J2" s="331" t="s">
        <v>424</v>
      </c>
      <c r="K2" s="332" t="s">
        <v>3861</v>
      </c>
      <c r="M2" s="332" t="s">
        <v>423</v>
      </c>
    </row>
    <row r="3" spans="1:13" ht="15.75" customHeight="1">
      <c r="A3" s="327"/>
      <c r="B3" s="333" t="s">
        <v>458</v>
      </c>
      <c r="C3" s="334"/>
      <c r="D3" s="334"/>
      <c r="E3" s="330"/>
      <c r="F3" s="330"/>
      <c r="G3" s="330"/>
      <c r="H3" s="330"/>
      <c r="I3" s="330"/>
      <c r="J3" s="335">
        <f ca="1">NOW()</f>
        <v>39184.46259375</v>
      </c>
      <c r="K3" s="332" t="s">
        <v>459</v>
      </c>
      <c r="M3" s="332" t="s">
        <v>459</v>
      </c>
    </row>
    <row r="4" spans="1:13" ht="15.75" customHeight="1">
      <c r="A4" s="327"/>
      <c r="B4" s="336" t="str">
        <f>"As of "&amp;TEXT(K4,"MMMM DD, YYYY")</f>
        <v>As of June 30, 2006</v>
      </c>
      <c r="C4" s="337"/>
      <c r="D4" s="337"/>
      <c r="E4" s="330"/>
      <c r="F4" s="330"/>
      <c r="G4" s="330"/>
      <c r="H4" s="330"/>
      <c r="I4" s="330"/>
      <c r="J4" s="338">
        <f ca="1">NOW()</f>
        <v>39184.46259375</v>
      </c>
      <c r="K4" s="332" t="s">
        <v>3862</v>
      </c>
      <c r="M4" s="332" t="s">
        <v>3862</v>
      </c>
    </row>
    <row r="5" spans="1:13" ht="12.75" customHeight="1">
      <c r="A5" s="327"/>
      <c r="B5" s="339"/>
      <c r="C5" s="340"/>
      <c r="D5" s="340"/>
      <c r="E5" s="330"/>
      <c r="F5" s="330"/>
      <c r="G5" s="330"/>
      <c r="H5" s="330"/>
      <c r="I5" s="330"/>
      <c r="J5" s="341"/>
      <c r="K5" s="332" t="s">
        <v>460</v>
      </c>
      <c r="M5" s="332" t="s">
        <v>460</v>
      </c>
    </row>
    <row r="6" spans="1:9" ht="15" customHeight="1">
      <c r="A6" s="342"/>
      <c r="B6" s="343"/>
      <c r="C6" s="344"/>
      <c r="D6" s="345"/>
      <c r="E6" s="346"/>
      <c r="F6" s="346"/>
      <c r="G6" s="346"/>
      <c r="H6" s="346" t="s">
        <v>461</v>
      </c>
      <c r="I6" s="346"/>
    </row>
    <row r="7" spans="1:9" ht="12.75">
      <c r="A7" s="347"/>
      <c r="B7" s="348"/>
      <c r="C7" s="349"/>
      <c r="D7" s="350"/>
      <c r="E7" s="351"/>
      <c r="F7" s="351"/>
      <c r="G7" s="351"/>
      <c r="H7" s="351" t="s">
        <v>462</v>
      </c>
      <c r="I7" s="351"/>
    </row>
    <row r="8" spans="1:9" ht="12" customHeight="1">
      <c r="A8" s="347"/>
      <c r="B8" s="348"/>
      <c r="C8" s="349"/>
      <c r="D8" s="350"/>
      <c r="E8" s="351" t="s">
        <v>3809</v>
      </c>
      <c r="F8" s="351"/>
      <c r="G8" s="351"/>
      <c r="H8" s="351" t="s">
        <v>463</v>
      </c>
      <c r="I8" s="352" t="s">
        <v>464</v>
      </c>
    </row>
    <row r="9" spans="1:9" ht="12.75">
      <c r="A9" s="347"/>
      <c r="B9" s="353"/>
      <c r="C9" s="354"/>
      <c r="D9" s="355"/>
      <c r="E9" s="356" t="str">
        <f>"July 1, "&amp;(M5-1)</f>
        <v>July 1, 2005</v>
      </c>
      <c r="F9" s="357" t="s">
        <v>465</v>
      </c>
      <c r="G9" s="357" t="s">
        <v>466</v>
      </c>
      <c r="H9" s="357" t="s">
        <v>467</v>
      </c>
      <c r="I9" s="358" t="str">
        <f>TEXT(M4,"MMMM DD, YYYY")</f>
        <v>June 30, 2006</v>
      </c>
    </row>
    <row r="10" spans="1:6" ht="12.75">
      <c r="A10" s="327"/>
      <c r="B10" s="347" t="s">
        <v>468</v>
      </c>
      <c r="C10" s="359"/>
      <c r="D10" s="360"/>
      <c r="E10" s="361"/>
      <c r="F10" s="362"/>
    </row>
    <row r="11" spans="1:9" ht="12.75" outlineLevel="1">
      <c r="A11" s="322" t="s">
        <v>469</v>
      </c>
      <c r="B11" s="323"/>
      <c r="C11" s="324" t="s">
        <v>470</v>
      </c>
      <c r="D11" s="325" t="str">
        <f aca="true" t="shared" si="0" ref="D11:D26">C11</f>
        <v>Intercoll Athletics Auxiliary</v>
      </c>
      <c r="E11" s="363">
        <v>-1148734.411</v>
      </c>
      <c r="F11" s="363">
        <v>1219411.36</v>
      </c>
      <c r="G11" s="363">
        <v>3318275.773999999</v>
      </c>
      <c r="H11" s="363">
        <v>2273148.27</v>
      </c>
      <c r="I11" s="363">
        <f aca="true" t="shared" si="1" ref="I11:I25">E11+F11-G11+H11</f>
        <v>-974450.5549999988</v>
      </c>
    </row>
    <row r="12" spans="1:9" ht="12.75" outlineLevel="1">
      <c r="A12" s="322" t="s">
        <v>471</v>
      </c>
      <c r="B12" s="323"/>
      <c r="C12" s="324" t="s">
        <v>472</v>
      </c>
      <c r="D12" s="325" t="str">
        <f t="shared" si="0"/>
        <v>Bookstore</v>
      </c>
      <c r="E12" s="326">
        <v>-1921626.655</v>
      </c>
      <c r="F12" s="326">
        <v>3188003.03</v>
      </c>
      <c r="G12" s="326">
        <v>2998579.355000001</v>
      </c>
      <c r="H12" s="326">
        <v>-129136</v>
      </c>
      <c r="I12" s="326">
        <f t="shared" si="1"/>
        <v>-1861338.9800000011</v>
      </c>
    </row>
    <row r="13" spans="1:9" ht="12.75" outlineLevel="1">
      <c r="A13" s="322" t="s">
        <v>473</v>
      </c>
      <c r="B13" s="323"/>
      <c r="C13" s="324" t="s">
        <v>474</v>
      </c>
      <c r="D13" s="325" t="str">
        <f t="shared" si="0"/>
        <v>Housing</v>
      </c>
      <c r="E13" s="326">
        <v>-1636053.436</v>
      </c>
      <c r="F13" s="326">
        <v>7243795.58</v>
      </c>
      <c r="G13" s="326">
        <v>5432568.649</v>
      </c>
      <c r="H13" s="326">
        <v>-2279363.93</v>
      </c>
      <c r="I13" s="326">
        <f t="shared" si="1"/>
        <v>-2104190.435</v>
      </c>
    </row>
    <row r="14" spans="1:9" ht="12.75" outlineLevel="1">
      <c r="A14" s="322" t="s">
        <v>475</v>
      </c>
      <c r="B14" s="323"/>
      <c r="C14" s="324" t="s">
        <v>476</v>
      </c>
      <c r="D14" s="325" t="str">
        <f t="shared" si="0"/>
        <v>Parking</v>
      </c>
      <c r="E14" s="326">
        <v>1717536.767</v>
      </c>
      <c r="F14" s="326">
        <v>2704571.57</v>
      </c>
      <c r="G14" s="326">
        <v>803195.677</v>
      </c>
      <c r="H14" s="326">
        <v>-841786</v>
      </c>
      <c r="I14" s="326">
        <f t="shared" si="1"/>
        <v>2777126.659999999</v>
      </c>
    </row>
    <row r="15" spans="1:9" ht="12.75" outlineLevel="1">
      <c r="A15" s="322" t="s">
        <v>477</v>
      </c>
      <c r="B15" s="323"/>
      <c r="C15" s="324" t="s">
        <v>478</v>
      </c>
      <c r="D15" s="325" t="str">
        <f t="shared" si="0"/>
        <v>Student Health Center</v>
      </c>
      <c r="E15" s="326">
        <v>214537.851</v>
      </c>
      <c r="F15" s="326">
        <v>1017672.95</v>
      </c>
      <c r="G15" s="326">
        <v>606529.251</v>
      </c>
      <c r="H15" s="326">
        <v>-86038</v>
      </c>
      <c r="I15" s="326">
        <f t="shared" si="1"/>
        <v>539643.5499999999</v>
      </c>
    </row>
    <row r="16" spans="1:9" ht="12.75" outlineLevel="1">
      <c r="A16" s="322" t="s">
        <v>479</v>
      </c>
      <c r="B16" s="323"/>
      <c r="C16" s="324" t="s">
        <v>480</v>
      </c>
      <c r="D16" s="325" t="str">
        <f t="shared" si="0"/>
        <v>University Centers</v>
      </c>
      <c r="E16" s="326">
        <v>926838.251</v>
      </c>
      <c r="F16" s="326">
        <v>1316171.51</v>
      </c>
      <c r="G16" s="326">
        <v>1346536</v>
      </c>
      <c r="H16" s="326">
        <v>298427.93</v>
      </c>
      <c r="I16" s="326">
        <f t="shared" si="1"/>
        <v>1194901.6909999999</v>
      </c>
    </row>
    <row r="17" spans="1:9" ht="12.75" outlineLevel="1">
      <c r="A17" s="322" t="s">
        <v>481</v>
      </c>
      <c r="B17" s="323"/>
      <c r="C17" s="324" t="s">
        <v>482</v>
      </c>
      <c r="D17" s="325" t="str">
        <f t="shared" si="0"/>
        <v>Applied Language Institute</v>
      </c>
      <c r="E17" s="326">
        <v>282983.914</v>
      </c>
      <c r="F17" s="326">
        <v>-2926.2</v>
      </c>
      <c r="G17" s="326">
        <v>6907.498999999999</v>
      </c>
      <c r="H17" s="326">
        <v>-273192.96</v>
      </c>
      <c r="I17" s="326">
        <f t="shared" si="1"/>
        <v>-42.74500000005355</v>
      </c>
    </row>
    <row r="18" spans="1:9" ht="12.75" outlineLevel="1">
      <c r="A18" s="322" t="s">
        <v>483</v>
      </c>
      <c r="B18" s="323"/>
      <c r="C18" s="324" t="s">
        <v>484</v>
      </c>
      <c r="D18" s="325" t="str">
        <f t="shared" si="0"/>
        <v>Center for Academic Developmen</v>
      </c>
      <c r="E18" s="326">
        <v>131673.123</v>
      </c>
      <c r="F18" s="326">
        <v>294145.15</v>
      </c>
      <c r="G18" s="326">
        <v>413428.753</v>
      </c>
      <c r="H18" s="326">
        <v>109476.68</v>
      </c>
      <c r="I18" s="326">
        <f t="shared" si="1"/>
        <v>121866.20000000001</v>
      </c>
    </row>
    <row r="19" spans="1:9" ht="12.75" outlineLevel="1">
      <c r="A19" s="322" t="s">
        <v>485</v>
      </c>
      <c r="B19" s="323"/>
      <c r="C19" s="324" t="s">
        <v>486</v>
      </c>
      <c r="D19" s="325" t="str">
        <f t="shared" si="0"/>
        <v>Child Development</v>
      </c>
      <c r="E19" s="326">
        <v>88060.117</v>
      </c>
      <c r="F19" s="326">
        <v>841705.36</v>
      </c>
      <c r="G19" s="326">
        <v>824548.767</v>
      </c>
      <c r="H19" s="326">
        <v>33233.85</v>
      </c>
      <c r="I19" s="326">
        <f t="shared" si="1"/>
        <v>138450.55999999997</v>
      </c>
    </row>
    <row r="20" spans="1:9" ht="12.75" outlineLevel="1">
      <c r="A20" s="322" t="s">
        <v>487</v>
      </c>
      <c r="B20" s="323"/>
      <c r="C20" s="324" t="s">
        <v>488</v>
      </c>
      <c r="D20" s="325" t="str">
        <f t="shared" si="0"/>
        <v>Dental Clinics</v>
      </c>
      <c r="E20" s="326">
        <v>1427.719</v>
      </c>
      <c r="F20" s="326">
        <v>6355411.58</v>
      </c>
      <c r="G20" s="326">
        <v>6425746.549</v>
      </c>
      <c r="H20" s="326">
        <v>173620.44</v>
      </c>
      <c r="I20" s="326">
        <f t="shared" si="1"/>
        <v>104713.19</v>
      </c>
    </row>
    <row r="21" spans="1:9" ht="12.75" outlineLevel="1">
      <c r="A21" s="322" t="s">
        <v>489</v>
      </c>
      <c r="B21" s="323"/>
      <c r="C21" s="324" t="s">
        <v>490</v>
      </c>
      <c r="D21" s="325" t="str">
        <f t="shared" si="0"/>
        <v>Institute for Human Developmen</v>
      </c>
      <c r="E21" s="326">
        <v>126349.83</v>
      </c>
      <c r="F21" s="326">
        <v>65444.08</v>
      </c>
      <c r="G21" s="326">
        <v>297756</v>
      </c>
      <c r="H21" s="326">
        <v>195990.23</v>
      </c>
      <c r="I21" s="326">
        <f t="shared" si="1"/>
        <v>90028.14000000001</v>
      </c>
    </row>
    <row r="22" spans="1:9" ht="12.75" outlineLevel="1">
      <c r="A22" s="322" t="s">
        <v>491</v>
      </c>
      <c r="B22" s="323"/>
      <c r="C22" s="324" t="s">
        <v>492</v>
      </c>
      <c r="D22" s="325" t="str">
        <f t="shared" si="0"/>
        <v>Institute for Professional Pre</v>
      </c>
      <c r="E22" s="326">
        <v>98078.702</v>
      </c>
      <c r="F22" s="326">
        <v>532189.24</v>
      </c>
      <c r="G22" s="326">
        <v>659682.032</v>
      </c>
      <c r="H22" s="326">
        <v>23417.68</v>
      </c>
      <c r="I22" s="326">
        <f t="shared" si="1"/>
        <v>-5996.409999999967</v>
      </c>
    </row>
    <row r="23" spans="1:9" ht="12.75" outlineLevel="1">
      <c r="A23" s="322" t="s">
        <v>493</v>
      </c>
      <c r="B23" s="323"/>
      <c r="C23" s="324" t="s">
        <v>494</v>
      </c>
      <c r="D23" s="325" t="str">
        <f t="shared" si="0"/>
        <v>Rental Properties</v>
      </c>
      <c r="E23" s="326">
        <v>152301.215</v>
      </c>
      <c r="F23" s="326">
        <v>545403.91</v>
      </c>
      <c r="G23" s="326">
        <v>475671.13399999996</v>
      </c>
      <c r="H23" s="326">
        <v>0</v>
      </c>
      <c r="I23" s="326">
        <f t="shared" si="1"/>
        <v>222033.99100000004</v>
      </c>
    </row>
    <row r="24" spans="1:9" ht="12.75" outlineLevel="1">
      <c r="A24" s="322" t="s">
        <v>495</v>
      </c>
      <c r="B24" s="323"/>
      <c r="C24" s="324" t="s">
        <v>496</v>
      </c>
      <c r="D24" s="325" t="str">
        <f t="shared" si="0"/>
        <v>Repertory Theatre</v>
      </c>
      <c r="E24" s="326">
        <v>-6527.302000000001</v>
      </c>
      <c r="F24" s="326">
        <v>700939.03</v>
      </c>
      <c r="G24" s="326">
        <v>692786.2579999999</v>
      </c>
      <c r="H24" s="326">
        <v>0</v>
      </c>
      <c r="I24" s="326">
        <f t="shared" si="1"/>
        <v>1625.4700000000885</v>
      </c>
    </row>
    <row r="25" spans="1:9" ht="12.75" outlineLevel="1">
      <c r="A25" s="322" t="s">
        <v>497</v>
      </c>
      <c r="B25" s="323"/>
      <c r="C25" s="324" t="s">
        <v>498</v>
      </c>
      <c r="D25" s="325" t="str">
        <f t="shared" si="0"/>
        <v>Miscellaneous Other Auxiliarie</v>
      </c>
      <c r="E25" s="326">
        <v>95156.88</v>
      </c>
      <c r="F25" s="326">
        <v>40173.57</v>
      </c>
      <c r="G25" s="326">
        <v>1502.7</v>
      </c>
      <c r="H25" s="326">
        <v>-15887.5</v>
      </c>
      <c r="I25" s="326">
        <f t="shared" si="1"/>
        <v>117940.25</v>
      </c>
    </row>
    <row r="26" spans="1:9" s="342" customFormat="1" ht="12.75">
      <c r="A26" s="347" t="s">
        <v>499</v>
      </c>
      <c r="B26" s="347"/>
      <c r="C26" s="364" t="s">
        <v>500</v>
      </c>
      <c r="D26" s="365" t="str">
        <f t="shared" si="0"/>
        <v>      Total Auxiliaries</v>
      </c>
      <c r="E26" s="366">
        <v>-877997.4350000004</v>
      </c>
      <c r="F26" s="367">
        <v>26062111.72</v>
      </c>
      <c r="G26" s="368">
        <f>SUM(G11:G25)+1</f>
        <v>24303715.398000002</v>
      </c>
      <c r="H26" s="368">
        <v>-518089.31</v>
      </c>
      <c r="I26" s="368">
        <f>E26+F26-G26+H26+1</f>
        <v>362310.57699999824</v>
      </c>
    </row>
    <row r="27" spans="1:6" ht="12.75">
      <c r="A27" s="327"/>
      <c r="E27" s="361"/>
      <c r="F27" s="362"/>
    </row>
    <row r="28" spans="1:6" ht="12.75">
      <c r="A28" s="327"/>
      <c r="B28" s="347" t="s">
        <v>501</v>
      </c>
      <c r="C28" s="359"/>
      <c r="D28" s="360"/>
      <c r="E28" s="361"/>
      <c r="F28" s="362"/>
    </row>
    <row r="29" spans="1:9" ht="12.75" outlineLevel="1">
      <c r="A29" s="322" t="s">
        <v>3850</v>
      </c>
      <c r="B29" s="323"/>
      <c r="C29" s="324" t="s">
        <v>3867</v>
      </c>
      <c r="D29" s="325" t="str">
        <f aca="true" t="shared" si="2" ref="D29:D37">C29</f>
        <v>Building Services</v>
      </c>
      <c r="E29" s="326">
        <v>1607366.569</v>
      </c>
      <c r="F29" s="326">
        <v>2750.59</v>
      </c>
      <c r="G29" s="326">
        <v>-152952.9410000015</v>
      </c>
      <c r="H29" s="326">
        <v>-342000</v>
      </c>
      <c r="I29" s="326">
        <f aca="true" t="shared" si="3" ref="I29:I37">E29+F29-G29+H29</f>
        <v>1421070.1000000015</v>
      </c>
    </row>
    <row r="30" spans="1:9" ht="12.75" outlineLevel="1">
      <c r="A30" s="322" t="s">
        <v>3851</v>
      </c>
      <c r="B30" s="323"/>
      <c r="C30" s="324" t="s">
        <v>3868</v>
      </c>
      <c r="D30" s="325" t="str">
        <f t="shared" si="2"/>
        <v>Campus Plng, Design, Constr</v>
      </c>
      <c r="E30" s="326">
        <v>472849.257</v>
      </c>
      <c r="F30" s="326">
        <v>0</v>
      </c>
      <c r="G30" s="326">
        <v>-631794.913</v>
      </c>
      <c r="H30" s="326">
        <v>-400000</v>
      </c>
      <c r="I30" s="326">
        <f t="shared" si="3"/>
        <v>704644.1699999999</v>
      </c>
    </row>
    <row r="31" spans="1:9" ht="12.75" outlineLevel="1">
      <c r="A31" s="322" t="s">
        <v>3852</v>
      </c>
      <c r="B31" s="323"/>
      <c r="C31" s="324" t="s">
        <v>3869</v>
      </c>
      <c r="D31" s="325" t="str">
        <f t="shared" si="2"/>
        <v>Central Mail</v>
      </c>
      <c r="E31" s="326">
        <v>95547.18</v>
      </c>
      <c r="F31" s="326">
        <v>170628.36</v>
      </c>
      <c r="G31" s="326">
        <v>527498.9370000002</v>
      </c>
      <c r="H31" s="326">
        <v>366794</v>
      </c>
      <c r="I31" s="326">
        <f t="shared" si="3"/>
        <v>105470.60299999983</v>
      </c>
    </row>
    <row r="32" spans="1:9" ht="12.75" outlineLevel="1">
      <c r="A32" s="322" t="s">
        <v>3853</v>
      </c>
      <c r="B32" s="323"/>
      <c r="C32" s="324" t="s">
        <v>3870</v>
      </c>
      <c r="D32" s="325" t="str">
        <f t="shared" si="2"/>
        <v>Printing</v>
      </c>
      <c r="E32" s="326">
        <v>-485571.876</v>
      </c>
      <c r="F32" s="326">
        <v>79685.23</v>
      </c>
      <c r="G32" s="326">
        <v>141188.01399999985</v>
      </c>
      <c r="H32" s="326">
        <v>-44388</v>
      </c>
      <c r="I32" s="326">
        <f t="shared" si="3"/>
        <v>-591462.6599999999</v>
      </c>
    </row>
    <row r="33" spans="1:9" ht="12.75" outlineLevel="1">
      <c r="A33" s="322" t="s">
        <v>3854</v>
      </c>
      <c r="B33" s="323"/>
      <c r="C33" s="324" t="s">
        <v>3871</v>
      </c>
      <c r="D33" s="325" t="str">
        <f t="shared" si="2"/>
        <v>Public Communications</v>
      </c>
      <c r="E33" s="326">
        <v>13382.506000000001</v>
      </c>
      <c r="F33" s="326">
        <v>80585.35</v>
      </c>
      <c r="G33" s="326">
        <v>-293835.97399999993</v>
      </c>
      <c r="H33" s="326">
        <v>-232315.52</v>
      </c>
      <c r="I33" s="326">
        <f t="shared" si="3"/>
        <v>155488.30999999997</v>
      </c>
    </row>
    <row r="34" spans="1:9" ht="12.75" outlineLevel="1">
      <c r="A34" s="322" t="s">
        <v>3855</v>
      </c>
      <c r="B34" s="323"/>
      <c r="C34" s="324" t="s">
        <v>3872</v>
      </c>
      <c r="D34" s="325" t="str">
        <f t="shared" si="2"/>
        <v>Telecommunications</v>
      </c>
      <c r="E34" s="326">
        <v>1165122.203</v>
      </c>
      <c r="F34" s="326">
        <v>98450.45</v>
      </c>
      <c r="G34" s="326">
        <v>84751.7429999994</v>
      </c>
      <c r="H34" s="326">
        <v>0</v>
      </c>
      <c r="I34" s="326">
        <f t="shared" si="3"/>
        <v>1178820.9100000006</v>
      </c>
    </row>
    <row r="35" spans="1:9" ht="12.75" outlineLevel="1">
      <c r="A35" s="322" t="s">
        <v>3856</v>
      </c>
      <c r="B35" s="323"/>
      <c r="C35" s="324" t="s">
        <v>3873</v>
      </c>
      <c r="D35" s="325" t="str">
        <f t="shared" si="2"/>
        <v>University Garage</v>
      </c>
      <c r="E35" s="326">
        <v>13323.563</v>
      </c>
      <c r="F35" s="326">
        <v>130</v>
      </c>
      <c r="G35" s="326">
        <v>-15017.666999999958</v>
      </c>
      <c r="H35" s="326">
        <v>0</v>
      </c>
      <c r="I35" s="326">
        <f t="shared" si="3"/>
        <v>28471.22999999996</v>
      </c>
    </row>
    <row r="36" spans="1:9" ht="12.75" outlineLevel="1">
      <c r="A36" s="322" t="s">
        <v>3857</v>
      </c>
      <c r="B36" s="323"/>
      <c r="C36" s="324" t="s">
        <v>3874</v>
      </c>
      <c r="D36" s="325" t="str">
        <f t="shared" si="2"/>
        <v>Other Service Oper</v>
      </c>
      <c r="E36" s="326">
        <v>152718.926</v>
      </c>
      <c r="F36" s="326">
        <v>432522.55</v>
      </c>
      <c r="G36" s="326">
        <v>1015095.4259999999</v>
      </c>
      <c r="H36" s="326">
        <v>519167.83</v>
      </c>
      <c r="I36" s="326">
        <f t="shared" si="3"/>
        <v>89313.88000000018</v>
      </c>
    </row>
    <row r="37" spans="1:9" s="342" customFormat="1" ht="12.75">
      <c r="A37" s="347" t="s">
        <v>3858</v>
      </c>
      <c r="B37" s="347"/>
      <c r="C37" s="364" t="s">
        <v>502</v>
      </c>
      <c r="D37" s="365" t="str">
        <f t="shared" si="2"/>
        <v>      Total Service Operations</v>
      </c>
      <c r="E37" s="371">
        <v>3034738.328</v>
      </c>
      <c r="F37" s="372">
        <v>864752.53</v>
      </c>
      <c r="G37" s="373">
        <v>674932.6250000009</v>
      </c>
      <c r="H37" s="373">
        <v>-132741.69</v>
      </c>
      <c r="I37" s="373">
        <f t="shared" si="3"/>
        <v>3091816.542999999</v>
      </c>
    </row>
    <row r="38" spans="3:4" ht="12.75">
      <c r="C38" s="374"/>
      <c r="D38" s="375"/>
    </row>
    <row r="39" spans="2:4" ht="12.75" hidden="1">
      <c r="B39" s="347" t="s">
        <v>503</v>
      </c>
      <c r="C39" s="376"/>
      <c r="D39" s="377"/>
    </row>
    <row r="40" spans="1:9" ht="12.75" hidden="1">
      <c r="A40" s="322" t="s">
        <v>101</v>
      </c>
      <c r="B40" s="347" t="s">
        <v>134</v>
      </c>
      <c r="C40" s="359" t="s">
        <v>504</v>
      </c>
      <c r="D40" s="360"/>
      <c r="E40" s="326">
        <v>-59666.922</v>
      </c>
      <c r="F40" s="326">
        <v>56940.33</v>
      </c>
      <c r="G40" s="326">
        <v>692.3580000000009</v>
      </c>
      <c r="H40" s="326">
        <v>4011.02</v>
      </c>
      <c r="I40" s="326">
        <f>E40+F40-G40+H40</f>
        <v>592.070000000002</v>
      </c>
    </row>
    <row r="41" spans="1:9" ht="12.75" hidden="1">
      <c r="A41" s="322" t="s">
        <v>505</v>
      </c>
      <c r="B41" s="347" t="s">
        <v>506</v>
      </c>
      <c r="C41" s="359" t="s">
        <v>506</v>
      </c>
      <c r="D41" s="360"/>
      <c r="E41" s="326">
        <v>32751425.036</v>
      </c>
      <c r="F41" s="326">
        <v>121437745.37999998</v>
      </c>
      <c r="G41" s="326">
        <v>200718734.65600002</v>
      </c>
      <c r="H41" s="326">
        <v>76964837.53999999</v>
      </c>
      <c r="I41" s="326">
        <f>E41+F41-G41+H41</f>
        <v>30435273.299999952</v>
      </c>
    </row>
    <row r="42" spans="1:9" ht="12.75" hidden="1">
      <c r="A42" s="322" t="s">
        <v>507</v>
      </c>
      <c r="B42" s="347" t="s">
        <v>508</v>
      </c>
      <c r="C42" s="359" t="s">
        <v>509</v>
      </c>
      <c r="D42" s="360"/>
      <c r="E42" s="326">
        <v>0</v>
      </c>
      <c r="F42" s="326">
        <v>0</v>
      </c>
      <c r="G42" s="326">
        <v>0</v>
      </c>
      <c r="H42" s="326">
        <v>0</v>
      </c>
      <c r="I42" s="326">
        <f>E42+F42-G42+H42</f>
        <v>0</v>
      </c>
    </row>
    <row r="43" spans="2:9" ht="12.75" hidden="1">
      <c r="B43" s="378" t="s">
        <v>510</v>
      </c>
      <c r="C43" s="364" t="s">
        <v>510</v>
      </c>
      <c r="D43" s="365"/>
      <c r="E43" s="326">
        <f>E26+E37+E40+E41+E42</f>
        <v>34848499.007</v>
      </c>
      <c r="F43" s="326">
        <f>F26+F37+F40+F41+F42</f>
        <v>148421549.95999998</v>
      </c>
      <c r="G43" s="326">
        <f>G26+G37+G40+G41+G42</f>
        <v>225698075.03700003</v>
      </c>
      <c r="H43" s="326">
        <f>H26+H37+H40+H41+H42</f>
        <v>76318017.55999999</v>
      </c>
      <c r="I43" s="326">
        <f>I26+I37+I40+I41+I42</f>
        <v>33889992.48999995</v>
      </c>
    </row>
  </sheetData>
  <printOptions horizontalCentered="1"/>
  <pageMargins left="0.5" right="0.5" top="0.75" bottom="0.5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lengerb</dc:creator>
  <cp:keywords/>
  <dc:description/>
  <cp:lastModifiedBy>BohlmeyerR</cp:lastModifiedBy>
  <cp:lastPrinted>2007-03-23T18:12:01Z</cp:lastPrinted>
  <dcterms:created xsi:type="dcterms:W3CDTF">2004-03-09T16:04:43Z</dcterms:created>
  <dcterms:modified xsi:type="dcterms:W3CDTF">2007-04-12T16:06:08Z</dcterms:modified>
  <cp:category/>
  <cp:version/>
  <cp:contentType/>
  <cp:contentStatus/>
</cp:coreProperties>
</file>