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IRP\Website\EDR\"/>
    </mc:Choice>
  </mc:AlternateContent>
  <bookViews>
    <workbookView xWindow="0" yWindow="0" windowWidth="19200" windowHeight="11355"/>
  </bookViews>
  <sheets>
    <sheet name="UM System" sheetId="5" r:id="rId1"/>
    <sheet name="MU" sheetId="1" r:id="rId2"/>
    <sheet name="UMKC" sheetId="2" r:id="rId3"/>
    <sheet name="S&amp;T" sheetId="3" r:id="rId4"/>
    <sheet name="UMSL" sheetId="4" r:id="rId5"/>
  </sheets>
  <definedNames>
    <definedName name="_xlnm.Print_Area" localSheetId="1">MU!$A$1:$AB$50</definedName>
    <definedName name="_xlnm.Print_Area" localSheetId="3">'S&amp;T'!$A$1:$AB$50</definedName>
    <definedName name="_xlnm.Print_Area" localSheetId="0">'UM System'!$A$1:$AB$53</definedName>
    <definedName name="_xlnm.Print_Area" localSheetId="2">UMKC!$A$1:$AB$53</definedName>
    <definedName name="_xlnm.Print_Area" localSheetId="4">UMSL!$A$1:$AB$50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M45" i="1" l="1"/>
  <c r="CR19" i="1"/>
  <c r="CM45" i="2" l="1"/>
  <c r="Y43" i="2"/>
  <c r="Y45" i="2" l="1"/>
  <c r="Y44" i="2"/>
  <c r="CR20" i="2"/>
  <c r="CQ20" i="2"/>
  <c r="CR22" i="2"/>
  <c r="CQ22" i="2"/>
  <c r="CR21" i="2"/>
  <c r="CQ21" i="2"/>
  <c r="CR19" i="2"/>
  <c r="CQ19" i="2"/>
  <c r="CR14" i="2"/>
  <c r="CQ14" i="2"/>
  <c r="Y43" i="5" l="1"/>
  <c r="CM44" i="5"/>
  <c r="CM43" i="5"/>
  <c r="Y44" i="5" l="1"/>
  <c r="Y44" i="1"/>
  <c r="Y43" i="1"/>
  <c r="CM45" i="5"/>
  <c r="Y45" i="5" s="1"/>
  <c r="Y45" i="1" l="1"/>
  <c r="CR22" i="1"/>
  <c r="CQ22" i="1"/>
  <c r="CR21" i="1"/>
  <c r="CQ21" i="1"/>
  <c r="CR20" i="1"/>
  <c r="CQ20" i="1"/>
  <c r="CQ19" i="1"/>
  <c r="Y45" i="3" l="1"/>
  <c r="Y44" i="3"/>
  <c r="Y43" i="3"/>
  <c r="CM45" i="3"/>
  <c r="CR22" i="3" l="1"/>
  <c r="CQ22" i="3"/>
  <c r="CR21" i="3"/>
  <c r="CQ21" i="3"/>
  <c r="CR20" i="3"/>
  <c r="CQ20" i="3"/>
  <c r="CR19" i="3"/>
  <c r="CQ19" i="3"/>
  <c r="AA35" i="3"/>
  <c r="AA25" i="3"/>
  <c r="CQ19" i="4"/>
  <c r="AA34" i="1" l="1"/>
  <c r="AA33" i="1"/>
  <c r="AA32" i="1"/>
  <c r="AA31" i="1"/>
  <c r="AA28" i="1"/>
  <c r="AA27" i="1"/>
  <c r="AA26" i="1"/>
  <c r="AA25" i="1"/>
  <c r="AA34" i="2"/>
  <c r="AA33" i="2"/>
  <c r="AA32" i="2"/>
  <c r="AA31" i="2"/>
  <c r="AA28" i="2"/>
  <c r="AA27" i="2"/>
  <c r="AA26" i="2"/>
  <c r="AA25" i="2"/>
  <c r="AA13" i="2"/>
  <c r="AA34" i="3"/>
  <c r="AA33" i="3"/>
  <c r="AA32" i="3"/>
  <c r="AA31" i="3"/>
  <c r="AA28" i="3"/>
  <c r="AA27" i="3"/>
  <c r="AA26" i="3"/>
  <c r="CR22" i="5"/>
  <c r="CQ22" i="5"/>
  <c r="CR21" i="5"/>
  <c r="CQ21" i="5"/>
  <c r="CR20" i="5"/>
  <c r="CQ20" i="5"/>
  <c r="CR19" i="5"/>
  <c r="CQ19" i="5"/>
  <c r="CR16" i="5"/>
  <c r="CQ16" i="5"/>
  <c r="CR15" i="5"/>
  <c r="CQ15" i="5"/>
  <c r="CR14" i="5"/>
  <c r="CQ14" i="5"/>
  <c r="CR13" i="5"/>
  <c r="CQ13" i="5"/>
  <c r="AA27" i="5" s="1"/>
  <c r="CR23" i="1"/>
  <c r="CQ23" i="1"/>
  <c r="CS22" i="1"/>
  <c r="CS21" i="1"/>
  <c r="CS20" i="1"/>
  <c r="CS19" i="1"/>
  <c r="CR17" i="1"/>
  <c r="AA35" i="1" s="1"/>
  <c r="CQ17" i="1"/>
  <c r="AA29" i="1" s="1"/>
  <c r="CS16" i="1"/>
  <c r="CS15" i="1"/>
  <c r="CS14" i="1"/>
  <c r="CS13" i="1"/>
  <c r="CR23" i="2"/>
  <c r="CQ23" i="2"/>
  <c r="CS22" i="2"/>
  <c r="AA22" i="2" s="1"/>
  <c r="CS21" i="2"/>
  <c r="CS20" i="2"/>
  <c r="CS19" i="2"/>
  <c r="CR17" i="2"/>
  <c r="AA35" i="2" s="1"/>
  <c r="CQ17" i="2"/>
  <c r="AA29" i="2" s="1"/>
  <c r="CS16" i="2"/>
  <c r="CS15" i="2"/>
  <c r="CS14" i="2"/>
  <c r="CS13" i="2"/>
  <c r="CS22" i="3"/>
  <c r="CS21" i="3"/>
  <c r="CR23" i="3"/>
  <c r="CS20" i="3"/>
  <c r="CS19" i="3"/>
  <c r="CR17" i="3"/>
  <c r="CQ17" i="3"/>
  <c r="AA29" i="3" s="1"/>
  <c r="CS16" i="3"/>
  <c r="CS15" i="3"/>
  <c r="CS14" i="3"/>
  <c r="CS13" i="3"/>
  <c r="AA16" i="1" l="1"/>
  <c r="AA14" i="1"/>
  <c r="AA21" i="2"/>
  <c r="CS23" i="2"/>
  <c r="AA23" i="2" s="1"/>
  <c r="AA19" i="2"/>
  <c r="AA20" i="2"/>
  <c r="CS17" i="2"/>
  <c r="AA17" i="2" s="1"/>
  <c r="AA14" i="2"/>
  <c r="AA15" i="2"/>
  <c r="AA16" i="2"/>
  <c r="CS23" i="1"/>
  <c r="AA23" i="1"/>
  <c r="CS20" i="5"/>
  <c r="AA20" i="1"/>
  <c r="AA21" i="1"/>
  <c r="AA22" i="1"/>
  <c r="AA19" i="1"/>
  <c r="CS17" i="1"/>
  <c r="AA17" i="1" s="1"/>
  <c r="AA15" i="1"/>
  <c r="AA13" i="1"/>
  <c r="CR17" i="5"/>
  <c r="AA35" i="5" s="1"/>
  <c r="CS15" i="5"/>
  <c r="CS19" i="5"/>
  <c r="AA19" i="5" s="1"/>
  <c r="CS22" i="5"/>
  <c r="CR23" i="5"/>
  <c r="AA21" i="3"/>
  <c r="AA19" i="3"/>
  <c r="AA22" i="3"/>
  <c r="AA20" i="3"/>
  <c r="AA17" i="3"/>
  <c r="AA14" i="3"/>
  <c r="CQ17" i="5"/>
  <c r="AA29" i="5" s="1"/>
  <c r="AA15" i="3"/>
  <c r="CS14" i="5"/>
  <c r="AA32" i="5"/>
  <c r="AA16" i="3"/>
  <c r="AA33" i="5"/>
  <c r="AA34" i="5"/>
  <c r="AA13" i="3"/>
  <c r="AA31" i="5"/>
  <c r="AA28" i="5"/>
  <c r="AA25" i="5"/>
  <c r="CS13" i="5"/>
  <c r="AA26" i="5"/>
  <c r="CS16" i="5"/>
  <c r="CS21" i="5"/>
  <c r="CQ23" i="5"/>
  <c r="CS23" i="3"/>
  <c r="AA23" i="3" s="1"/>
  <c r="CS17" i="3"/>
  <c r="CQ23" i="3"/>
  <c r="CM45" i="4"/>
  <c r="Y45" i="4" s="1"/>
  <c r="Y44" i="4"/>
  <c r="Y43" i="4"/>
  <c r="CR22" i="4"/>
  <c r="CQ22" i="4"/>
  <c r="CR21" i="4"/>
  <c r="CQ21" i="4"/>
  <c r="CR20" i="4"/>
  <c r="CQ20" i="4"/>
  <c r="CR19" i="4"/>
  <c r="CR17" i="4"/>
  <c r="AA20" i="5" l="1"/>
  <c r="CS17" i="5"/>
  <c r="AA22" i="5"/>
  <c r="CS23" i="5"/>
  <c r="AA23" i="5" s="1"/>
  <c r="AA21" i="5"/>
  <c r="AA13" i="5"/>
  <c r="AA16" i="5"/>
  <c r="AA15" i="5"/>
  <c r="AA14" i="5"/>
  <c r="AA17" i="5"/>
  <c r="AA33" i="4"/>
  <c r="AA34" i="4"/>
  <c r="AA32" i="4"/>
  <c r="AA28" i="4"/>
  <c r="AA27" i="4"/>
  <c r="AA26" i="4"/>
  <c r="AA31" i="4"/>
  <c r="AA25" i="4"/>
  <c r="Z19" i="4" l="1"/>
  <c r="CQ23" i="4"/>
  <c r="CS22" i="4"/>
  <c r="CS21" i="4"/>
  <c r="CR23" i="4"/>
  <c r="CS19" i="4"/>
  <c r="AA19" i="4" s="1"/>
  <c r="AA35" i="4"/>
  <c r="CQ17" i="4"/>
  <c r="AA29" i="4" s="1"/>
  <c r="CS16" i="4"/>
  <c r="CS15" i="4"/>
  <c r="CS14" i="4"/>
  <c r="CS13" i="4"/>
  <c r="AA13" i="4" s="1"/>
  <c r="AA16" i="4" l="1"/>
  <c r="AA21" i="4"/>
  <c r="AA22" i="4"/>
  <c r="CS17" i="4"/>
  <c r="AA17" i="4" s="1"/>
  <c r="AA14" i="4"/>
  <c r="AA15" i="4"/>
  <c r="CS20" i="4"/>
  <c r="CS23" i="4" s="1"/>
  <c r="AA23" i="4" s="1"/>
  <c r="Z35" i="4"/>
  <c r="Z34" i="4"/>
  <c r="Z32" i="4"/>
  <c r="Z31" i="4"/>
  <c r="CO19" i="4"/>
  <c r="AA20" i="4" l="1"/>
  <c r="CO22" i="5"/>
  <c r="CN22" i="5"/>
  <c r="CO21" i="5"/>
  <c r="CN21" i="5"/>
  <c r="CO20" i="5"/>
  <c r="CN20" i="5"/>
  <c r="CO19" i="5"/>
  <c r="CN19" i="5"/>
  <c r="CO16" i="5"/>
  <c r="CN16" i="5"/>
  <c r="CO15" i="5"/>
  <c r="CN15" i="5"/>
  <c r="CO14" i="5"/>
  <c r="CN14" i="5"/>
  <c r="CO13" i="5"/>
  <c r="CN13" i="5"/>
  <c r="CJ45" i="5"/>
  <c r="CJ44" i="5"/>
  <c r="CJ43" i="5"/>
  <c r="Z29" i="2"/>
  <c r="Z20" i="2"/>
  <c r="CO20" i="2"/>
  <c r="CN20" i="2"/>
  <c r="CP20" i="2" s="1"/>
  <c r="CO22" i="2"/>
  <c r="CP22" i="2" s="1"/>
  <c r="CO21" i="2"/>
  <c r="CP21" i="2" s="1"/>
  <c r="CN22" i="2"/>
  <c r="CN21" i="2"/>
  <c r="CO14" i="2"/>
  <c r="CO17" i="2" s="1"/>
  <c r="Z35" i="2" s="1"/>
  <c r="CN14" i="2"/>
  <c r="CP14" i="2"/>
  <c r="CO19" i="2"/>
  <c r="CP19" i="2" s="1"/>
  <c r="Z19" i="2" s="1"/>
  <c r="CN19" i="2"/>
  <c r="CP16" i="2"/>
  <c r="CP15" i="2"/>
  <c r="CP13" i="2"/>
  <c r="Z13" i="2" s="1"/>
  <c r="Z34" i="2"/>
  <c r="Z33" i="2"/>
  <c r="Z32" i="2"/>
  <c r="Z31" i="2"/>
  <c r="Z28" i="2"/>
  <c r="Z27" i="2"/>
  <c r="Z25" i="2"/>
  <c r="X45" i="2"/>
  <c r="X44" i="2"/>
  <c r="X43" i="2"/>
  <c r="CJ45" i="2"/>
  <c r="Z21" i="1"/>
  <c r="Z27" i="1"/>
  <c r="CO22" i="1"/>
  <c r="CO21" i="1"/>
  <c r="CO20" i="1"/>
  <c r="CN22" i="1"/>
  <c r="CN21" i="1"/>
  <c r="CN20" i="1"/>
  <c r="Z34" i="1"/>
  <c r="Z33" i="1"/>
  <c r="Z32" i="1"/>
  <c r="Z31" i="1"/>
  <c r="Z29" i="1"/>
  <c r="Z28" i="1"/>
  <c r="Z26" i="1"/>
  <c r="Z25" i="1"/>
  <c r="Z19" i="1"/>
  <c r="CO19" i="1"/>
  <c r="CN19" i="1"/>
  <c r="Z28" i="5" l="1"/>
  <c r="CN17" i="5"/>
  <c r="Z29" i="5" s="1"/>
  <c r="CP21" i="5"/>
  <c r="CP20" i="5"/>
  <c r="CP22" i="5"/>
  <c r="X45" i="5"/>
  <c r="CP19" i="5"/>
  <c r="CO23" i="5"/>
  <c r="CP16" i="5"/>
  <c r="CO17" i="5"/>
  <c r="Z35" i="5" s="1"/>
  <c r="X43" i="5"/>
  <c r="X44" i="5"/>
  <c r="Z33" i="5"/>
  <c r="Z34" i="5"/>
  <c r="Z31" i="5"/>
  <c r="Z32" i="5"/>
  <c r="Z26" i="5"/>
  <c r="Z25" i="5"/>
  <c r="Z27" i="5"/>
  <c r="CP13" i="5"/>
  <c r="CN23" i="5"/>
  <c r="CP15" i="5"/>
  <c r="CP14" i="5"/>
  <c r="CO23" i="2"/>
  <c r="Z26" i="2"/>
  <c r="CN17" i="2"/>
  <c r="Z22" i="2"/>
  <c r="Z16" i="2"/>
  <c r="Z21" i="2"/>
  <c r="Z14" i="2"/>
  <c r="Z15" i="2"/>
  <c r="CP23" i="2"/>
  <c r="Z23" i="2" s="1"/>
  <c r="CP17" i="2"/>
  <c r="Z17" i="2" s="1"/>
  <c r="CN23" i="2"/>
  <c r="CO23" i="1"/>
  <c r="CP22" i="1"/>
  <c r="Z22" i="1" s="1"/>
  <c r="CP21" i="1"/>
  <c r="CP20" i="1"/>
  <c r="Z20" i="1" s="1"/>
  <c r="CN23" i="1"/>
  <c r="CP19" i="1"/>
  <c r="CO17" i="1"/>
  <c r="Z35" i="1" s="1"/>
  <c r="CN17" i="1"/>
  <c r="CP16" i="1"/>
  <c r="CP15" i="1"/>
  <c r="CP14" i="1"/>
  <c r="CP13" i="1"/>
  <c r="X45" i="1"/>
  <c r="X44" i="1"/>
  <c r="X43" i="1"/>
  <c r="CJ45" i="1"/>
  <c r="W45" i="3"/>
  <c r="W43" i="3"/>
  <c r="CN19" i="3"/>
  <c r="Z35" i="3"/>
  <c r="Z34" i="3"/>
  <c r="Z33" i="3"/>
  <c r="Z25" i="3"/>
  <c r="Z32" i="3"/>
  <c r="Z31" i="3"/>
  <c r="Z29" i="3"/>
  <c r="Z28" i="3"/>
  <c r="Z27" i="3"/>
  <c r="Z26" i="3"/>
  <c r="Z17" i="3"/>
  <c r="Z16" i="3"/>
  <c r="Z15" i="3"/>
  <c r="Z14" i="3"/>
  <c r="Z13" i="3"/>
  <c r="CO22" i="3"/>
  <c r="CO21" i="3"/>
  <c r="CO20" i="3"/>
  <c r="CN22" i="3"/>
  <c r="CN21" i="3"/>
  <c r="CN20" i="3"/>
  <c r="CO19" i="3"/>
  <c r="CP22" i="3"/>
  <c r="CO17" i="3"/>
  <c r="CN17" i="3"/>
  <c r="CP16" i="3"/>
  <c r="CP15" i="3"/>
  <c r="CP14" i="3"/>
  <c r="CP13" i="3"/>
  <c r="X44" i="3"/>
  <c r="X43" i="3"/>
  <c r="CP17" i="5" l="1"/>
  <c r="Z17" i="5" s="1"/>
  <c r="Z21" i="5"/>
  <c r="Z19" i="5"/>
  <c r="Z20" i="5"/>
  <c r="Z22" i="5"/>
  <c r="CP23" i="5"/>
  <c r="Z23" i="5" s="1"/>
  <c r="Z16" i="1"/>
  <c r="Z13" i="1"/>
  <c r="Z15" i="1"/>
  <c r="Z14" i="1"/>
  <c r="Z16" i="5"/>
  <c r="Z15" i="5"/>
  <c r="Z13" i="5"/>
  <c r="Z14" i="5"/>
  <c r="CP23" i="1"/>
  <c r="Z23" i="1" s="1"/>
  <c r="CP17" i="1"/>
  <c r="Z17" i="1" s="1"/>
  <c r="CO23" i="3"/>
  <c r="CP19" i="3"/>
  <c r="CP21" i="3"/>
  <c r="CP20" i="3"/>
  <c r="CP23" i="3" s="1"/>
  <c r="CN23" i="3"/>
  <c r="CP17" i="3"/>
  <c r="Z33" i="4"/>
  <c r="Z29" i="4"/>
  <c r="Z28" i="4"/>
  <c r="Z27" i="4"/>
  <c r="Z26" i="4"/>
  <c r="Y20" i="4"/>
  <c r="Z25" i="4"/>
  <c r="CO22" i="4"/>
  <c r="CN22" i="4"/>
  <c r="CP22" i="4" s="1"/>
  <c r="CO21" i="4"/>
  <c r="CN21" i="4"/>
  <c r="CP21" i="4" s="1"/>
  <c r="CO20" i="4"/>
  <c r="CN20" i="4"/>
  <c r="CP20" i="4" s="1"/>
  <c r="CN19" i="4"/>
  <c r="X45" i="4"/>
  <c r="X44" i="4"/>
  <c r="W44" i="4"/>
  <c r="X43" i="4"/>
  <c r="CO17" i="4"/>
  <c r="CN17" i="4"/>
  <c r="CP16" i="4"/>
  <c r="CP15" i="4"/>
  <c r="CP14" i="4"/>
  <c r="CP13" i="4"/>
  <c r="Z15" i="4" s="1"/>
  <c r="CJ45" i="4"/>
  <c r="Z14" i="4" l="1"/>
  <c r="Z16" i="4"/>
  <c r="Z17" i="4"/>
  <c r="Z13" i="4"/>
  <c r="Z19" i="3"/>
  <c r="Z20" i="3"/>
  <c r="Z23" i="3"/>
  <c r="Z21" i="3"/>
  <c r="Z22" i="3"/>
  <c r="CO23" i="4"/>
  <c r="CN23" i="4"/>
  <c r="CP19" i="4"/>
  <c r="CP23" i="4"/>
  <c r="CP17" i="4"/>
  <c r="W43" i="4"/>
  <c r="W44" i="3"/>
  <c r="W45" i="2"/>
  <c r="W44" i="2"/>
  <c r="W43" i="2"/>
  <c r="CG45" i="2"/>
  <c r="W45" i="1"/>
  <c r="W44" i="1"/>
  <c r="W43" i="1"/>
  <c r="Z22" i="4" l="1"/>
  <c r="Z21" i="4"/>
  <c r="Z20" i="4"/>
  <c r="Z23" i="4"/>
  <c r="CG44" i="5"/>
  <c r="CG43" i="5"/>
  <c r="W43" i="5" s="1"/>
  <c r="CL16" i="5"/>
  <c r="CK16" i="5"/>
  <c r="CL15" i="5"/>
  <c r="CK15" i="5"/>
  <c r="CL14" i="5"/>
  <c r="CK14" i="5"/>
  <c r="CL13" i="5"/>
  <c r="CK13" i="5"/>
  <c r="Y25" i="5" s="1"/>
  <c r="Y23" i="2"/>
  <c r="Y22" i="2"/>
  <c r="Y21" i="2"/>
  <c r="Y20" i="2"/>
  <c r="Y19" i="2"/>
  <c r="Y35" i="2"/>
  <c r="Y34" i="2"/>
  <c r="Y33" i="2"/>
  <c r="Y32" i="2"/>
  <c r="Y31" i="2"/>
  <c r="Y29" i="2"/>
  <c r="Y28" i="2"/>
  <c r="Y27" i="2"/>
  <c r="Y26" i="2"/>
  <c r="Y25" i="2"/>
  <c r="CL20" i="2"/>
  <c r="CK20" i="2"/>
  <c r="CI20" i="2"/>
  <c r="CH20" i="2"/>
  <c r="Y17" i="2"/>
  <c r="Y16" i="2"/>
  <c r="Y15" i="2"/>
  <c r="Y14" i="2"/>
  <c r="Y13" i="2"/>
  <c r="CL14" i="2"/>
  <c r="CK14" i="2"/>
  <c r="CL22" i="2"/>
  <c r="CL23" i="2" s="1"/>
  <c r="CL21" i="2"/>
  <c r="CK22" i="2"/>
  <c r="CK21" i="2"/>
  <c r="CL19" i="2"/>
  <c r="CK19" i="2"/>
  <c r="Y23" i="1"/>
  <c r="Y22" i="1"/>
  <c r="Y21" i="1"/>
  <c r="Y20" i="1"/>
  <c r="Y19" i="1"/>
  <c r="CL22" i="1"/>
  <c r="CL23" i="1" s="1"/>
  <c r="CL21" i="1"/>
  <c r="CL20" i="1"/>
  <c r="CM20" i="1" s="1"/>
  <c r="Y35" i="1"/>
  <c r="Y34" i="1"/>
  <c r="Y33" i="1"/>
  <c r="Y32" i="1"/>
  <c r="Y31" i="1"/>
  <c r="Y29" i="1"/>
  <c r="Y28" i="1"/>
  <c r="Y27" i="1"/>
  <c r="Y26" i="1"/>
  <c r="Y25" i="1"/>
  <c r="Y14" i="1"/>
  <c r="CK22" i="1"/>
  <c r="CK21" i="1"/>
  <c r="CK20" i="1"/>
  <c r="Y17" i="1"/>
  <c r="Y16" i="1"/>
  <c r="Y15" i="1"/>
  <c r="CL19" i="1"/>
  <c r="CM19" i="1" s="1"/>
  <c r="CK19" i="1"/>
  <c r="CM22" i="1"/>
  <c r="CL17" i="1"/>
  <c r="CK17" i="1"/>
  <c r="CM16" i="1"/>
  <c r="CM15" i="1"/>
  <c r="CM14" i="1"/>
  <c r="CM13" i="1"/>
  <c r="Y13" i="1" s="1"/>
  <c r="CG45" i="1"/>
  <c r="CM19" i="2"/>
  <c r="CM16" i="2"/>
  <c r="CM15" i="2"/>
  <c r="CL17" i="2"/>
  <c r="CM14" i="2"/>
  <c r="CM13" i="2"/>
  <c r="W45" i="4"/>
  <c r="Y23" i="4"/>
  <c r="Y22" i="4"/>
  <c r="Y21" i="4"/>
  <c r="Y19" i="4"/>
  <c r="CL20" i="4"/>
  <c r="CM20" i="4" s="1"/>
  <c r="CL22" i="4"/>
  <c r="CM22" i="4" s="1"/>
  <c r="CL21" i="4"/>
  <c r="CM21" i="4" s="1"/>
  <c r="CK22" i="4"/>
  <c r="CK21" i="4"/>
  <c r="CK20" i="4"/>
  <c r="CL19" i="4"/>
  <c r="CK19" i="4"/>
  <c r="Y35" i="4"/>
  <c r="Y34" i="4"/>
  <c r="Y33" i="4"/>
  <c r="Y32" i="4"/>
  <c r="Y31" i="4"/>
  <c r="Y29" i="4"/>
  <c r="Y28" i="4"/>
  <c r="Y27" i="4"/>
  <c r="Y26" i="4"/>
  <c r="Y25" i="4"/>
  <c r="Y17" i="4"/>
  <c r="Y16" i="4"/>
  <c r="Y15" i="4"/>
  <c r="Y14" i="4"/>
  <c r="Y13" i="4"/>
  <c r="CM15" i="4"/>
  <c r="CM16" i="4"/>
  <c r="CK17" i="4"/>
  <c r="CJ20" i="4"/>
  <c r="CG45" i="4"/>
  <c r="CK23" i="4"/>
  <c r="CM19" i="4"/>
  <c r="CL17" i="4"/>
  <c r="CM14" i="4"/>
  <c r="CM13" i="4"/>
  <c r="CM14" i="5" l="1"/>
  <c r="CM16" i="5"/>
  <c r="Y27" i="5"/>
  <c r="CL17" i="5"/>
  <c r="Y35" i="5" s="1"/>
  <c r="W44" i="5"/>
  <c r="Y34" i="5"/>
  <c r="Y28" i="5"/>
  <c r="Y26" i="5"/>
  <c r="Y32" i="5"/>
  <c r="Y31" i="5"/>
  <c r="Y33" i="5"/>
  <c r="CM13" i="5"/>
  <c r="CK17" i="5"/>
  <c r="Y29" i="5" s="1"/>
  <c r="CM15" i="5"/>
  <c r="CM22" i="2"/>
  <c r="CM21" i="2"/>
  <c r="CK23" i="2"/>
  <c r="CM17" i="2"/>
  <c r="CK23" i="1"/>
  <c r="CM21" i="1"/>
  <c r="CM23" i="1" s="1"/>
  <c r="CM17" i="1"/>
  <c r="CK17" i="2"/>
  <c r="CM20" i="2"/>
  <c r="CM23" i="2" s="1"/>
  <c r="CL23" i="4"/>
  <c r="CM23" i="4"/>
  <c r="CM17" i="4"/>
  <c r="CL22" i="3"/>
  <c r="CL21" i="3"/>
  <c r="CL20" i="3"/>
  <c r="CK22" i="3"/>
  <c r="CK21" i="3"/>
  <c r="CK21" i="5" s="1"/>
  <c r="CK20" i="3"/>
  <c r="CK20" i="5" s="1"/>
  <c r="Y34" i="3"/>
  <c r="Y33" i="3"/>
  <c r="Y32" i="3"/>
  <c r="Y31" i="3"/>
  <c r="Y28" i="3"/>
  <c r="Y27" i="3"/>
  <c r="Y25" i="3"/>
  <c r="Y26" i="3"/>
  <c r="CL19" i="3"/>
  <c r="CK19" i="3"/>
  <c r="CK19" i="5" s="1"/>
  <c r="CM16" i="3"/>
  <c r="CM15" i="3"/>
  <c r="CM14" i="3"/>
  <c r="CM13" i="3"/>
  <c r="CL17" i="3"/>
  <c r="CK17" i="3"/>
  <c r="Y29" i="3" s="1"/>
  <c r="CM17" i="3"/>
  <c r="CL21" i="5" l="1"/>
  <c r="CM21" i="5" s="1"/>
  <c r="CL19" i="5"/>
  <c r="CM19" i="5" s="1"/>
  <c r="Y19" i="5" s="1"/>
  <c r="CL22" i="5"/>
  <c r="Y19" i="3"/>
  <c r="Y22" i="3"/>
  <c r="CK22" i="5"/>
  <c r="Y14" i="3"/>
  <c r="Y13" i="3"/>
  <c r="CM19" i="3"/>
  <c r="Y35" i="3"/>
  <c r="CL20" i="5"/>
  <c r="CM17" i="5"/>
  <c r="Y17" i="5" s="1"/>
  <c r="Y15" i="3"/>
  <c r="Y17" i="3"/>
  <c r="Y16" i="3"/>
  <c r="Y14" i="5"/>
  <c r="Y13" i="5"/>
  <c r="Y15" i="5"/>
  <c r="Y16" i="5"/>
  <c r="CM20" i="3"/>
  <c r="CL23" i="3"/>
  <c r="CM22" i="3"/>
  <c r="CK23" i="3"/>
  <c r="Y23" i="3" s="1"/>
  <c r="Y20" i="3"/>
  <c r="CM21" i="3"/>
  <c r="Y21" i="3"/>
  <c r="CD45" i="2"/>
  <c r="CI22" i="2"/>
  <c r="CI21" i="2"/>
  <c r="CH22" i="2"/>
  <c r="CH21" i="2"/>
  <c r="CI19" i="2"/>
  <c r="CH19" i="2"/>
  <c r="CH19" i="3"/>
  <c r="CI14" i="2"/>
  <c r="CH14" i="2"/>
  <c r="CI22" i="3"/>
  <c r="CI21" i="3"/>
  <c r="CI20" i="3"/>
  <c r="CH22" i="3"/>
  <c r="CH21" i="3"/>
  <c r="CH20" i="3"/>
  <c r="CI19" i="3"/>
  <c r="X27" i="3"/>
  <c r="X21" i="4"/>
  <c r="CI22" i="4"/>
  <c r="CI21" i="4"/>
  <c r="CI20" i="4"/>
  <c r="CH22" i="4"/>
  <c r="CH21" i="4"/>
  <c r="CH20" i="4"/>
  <c r="CI19" i="4"/>
  <c r="CH19" i="4"/>
  <c r="CM22" i="5" l="1"/>
  <c r="Y22" i="5" s="1"/>
  <c r="Y21" i="5"/>
  <c r="CK23" i="5"/>
  <c r="CL23" i="5"/>
  <c r="CM20" i="5"/>
  <c r="CM23" i="3"/>
  <c r="V44" i="4"/>
  <c r="V43" i="4"/>
  <c r="V44" i="3"/>
  <c r="V43" i="3"/>
  <c r="V44" i="2"/>
  <c r="V43" i="2"/>
  <c r="V44" i="1"/>
  <c r="CD44" i="5"/>
  <c r="CD43" i="5"/>
  <c r="CI22" i="5"/>
  <c r="CH22" i="5"/>
  <c r="CI21" i="5"/>
  <c r="CH21" i="5"/>
  <c r="CI20" i="5"/>
  <c r="CH20" i="5"/>
  <c r="CI19" i="5"/>
  <c r="CH19" i="5"/>
  <c r="CI16" i="5"/>
  <c r="CH16" i="5"/>
  <c r="CI15" i="5"/>
  <c r="CH15" i="5"/>
  <c r="CI14" i="5"/>
  <c r="CH14" i="5"/>
  <c r="CI13" i="5"/>
  <c r="CH13" i="5"/>
  <c r="X25" i="5" s="1"/>
  <c r="CH23" i="4"/>
  <c r="CJ22" i="4"/>
  <c r="CJ21" i="4"/>
  <c r="CI23" i="4"/>
  <c r="CJ19" i="4"/>
  <c r="X19" i="4" s="1"/>
  <c r="CI17" i="4"/>
  <c r="X35" i="4" s="1"/>
  <c r="CH17" i="4"/>
  <c r="CJ16" i="4"/>
  <c r="CJ15" i="4"/>
  <c r="CJ14" i="4"/>
  <c r="CJ13" i="4"/>
  <c r="X15" i="4" s="1"/>
  <c r="CD45" i="4"/>
  <c r="V45" i="4" s="1"/>
  <c r="CI23" i="3"/>
  <c r="CJ22" i="3"/>
  <c r="CJ21" i="3"/>
  <c r="CJ20" i="3"/>
  <c r="CH23" i="3"/>
  <c r="CJ19" i="3"/>
  <c r="X19" i="3" s="1"/>
  <c r="CI17" i="3"/>
  <c r="X35" i="3" s="1"/>
  <c r="CH17" i="3"/>
  <c r="X29" i="3" s="1"/>
  <c r="CJ16" i="3"/>
  <c r="CJ15" i="3"/>
  <c r="CJ14" i="3"/>
  <c r="CJ13" i="3"/>
  <c r="CA45" i="2"/>
  <c r="V45" i="2"/>
  <c r="CI23" i="2"/>
  <c r="CJ22" i="2"/>
  <c r="CJ21" i="2"/>
  <c r="CJ20" i="2"/>
  <c r="CH23" i="2"/>
  <c r="CJ19" i="2"/>
  <c r="X19" i="2" s="1"/>
  <c r="CI17" i="2"/>
  <c r="X35" i="2" s="1"/>
  <c r="CH17" i="2"/>
  <c r="X29" i="2" s="1"/>
  <c r="CJ16" i="2"/>
  <c r="X16" i="2" s="1"/>
  <c r="CJ15" i="2"/>
  <c r="CJ14" i="2"/>
  <c r="CJ13" i="2"/>
  <c r="X34" i="4"/>
  <c r="X33" i="4"/>
  <c r="X32" i="4"/>
  <c r="X31" i="4"/>
  <c r="X29" i="4"/>
  <c r="X28" i="4"/>
  <c r="X27" i="4"/>
  <c r="X26" i="4"/>
  <c r="X25" i="4"/>
  <c r="X34" i="3"/>
  <c r="X33" i="3"/>
  <c r="X32" i="3"/>
  <c r="X31" i="3"/>
  <c r="X28" i="3"/>
  <c r="X26" i="3"/>
  <c r="X25" i="3"/>
  <c r="X34" i="2"/>
  <c r="X33" i="2"/>
  <c r="X32" i="2"/>
  <c r="X31" i="2"/>
  <c r="X28" i="2"/>
  <c r="X27" i="2"/>
  <c r="X26" i="2"/>
  <c r="X25" i="2"/>
  <c r="CI22" i="1"/>
  <c r="CI23" i="1" s="1"/>
  <c r="CI21" i="1"/>
  <c r="CI20" i="1"/>
  <c r="CH22" i="1"/>
  <c r="CH21" i="1"/>
  <c r="CH20" i="1"/>
  <c r="CI19" i="1"/>
  <c r="CH19" i="1"/>
  <c r="CJ19" i="1" s="1"/>
  <c r="CA45" i="1"/>
  <c r="V43" i="1"/>
  <c r="U43" i="1"/>
  <c r="X35" i="1"/>
  <c r="X34" i="1"/>
  <c r="X33" i="1"/>
  <c r="X32" i="1"/>
  <c r="X28" i="1"/>
  <c r="X27" i="1"/>
  <c r="X26" i="1"/>
  <c r="W25" i="1"/>
  <c r="W19" i="1"/>
  <c r="W14" i="1"/>
  <c r="X31" i="1"/>
  <c r="X25" i="1"/>
  <c r="W13" i="1"/>
  <c r="CD45" i="1"/>
  <c r="V45" i="1" s="1"/>
  <c r="CJ22" i="1"/>
  <c r="CJ21" i="1"/>
  <c r="CI17" i="1"/>
  <c r="CH17" i="1"/>
  <c r="X29" i="1" s="1"/>
  <c r="CJ16" i="1"/>
  <c r="CJ15" i="1"/>
  <c r="CJ14" i="1"/>
  <c r="CJ13" i="1"/>
  <c r="X14" i="1" s="1"/>
  <c r="Y20" i="5" l="1"/>
  <c r="CM23" i="5"/>
  <c r="Y23" i="5" s="1"/>
  <c r="CJ20" i="5"/>
  <c r="X15" i="2"/>
  <c r="X13" i="2"/>
  <c r="CJ14" i="5"/>
  <c r="CJ16" i="5"/>
  <c r="CJ15" i="5"/>
  <c r="X14" i="3"/>
  <c r="CJ13" i="5"/>
  <c r="X13" i="5" s="1"/>
  <c r="X13" i="3"/>
  <c r="X27" i="5"/>
  <c r="X28" i="5"/>
  <c r="V43" i="5"/>
  <c r="V44" i="5"/>
  <c r="CI23" i="5"/>
  <c r="CJ22" i="5"/>
  <c r="CJ21" i="5"/>
  <c r="CH23" i="5"/>
  <c r="CJ19" i="5"/>
  <c r="X19" i="5" s="1"/>
  <c r="CI17" i="5"/>
  <c r="X35" i="5" s="1"/>
  <c r="X14" i="4"/>
  <c r="X33" i="5"/>
  <c r="X32" i="5"/>
  <c r="X34" i="5"/>
  <c r="X31" i="5"/>
  <c r="X13" i="4"/>
  <c r="X16" i="4"/>
  <c r="X26" i="5"/>
  <c r="CH17" i="5"/>
  <c r="X29" i="5" s="1"/>
  <c r="CJ17" i="4"/>
  <c r="X17" i="4" s="1"/>
  <c r="X22" i="4"/>
  <c r="X20" i="3"/>
  <c r="X21" i="3"/>
  <c r="X22" i="3"/>
  <c r="CJ23" i="3"/>
  <c r="X23" i="3" s="1"/>
  <c r="X15" i="3"/>
  <c r="X16" i="3"/>
  <c r="CJ17" i="3"/>
  <c r="CJ23" i="2"/>
  <c r="X23" i="2" s="1"/>
  <c r="X21" i="2"/>
  <c r="X14" i="2"/>
  <c r="X22" i="2"/>
  <c r="X20" i="2"/>
  <c r="CJ17" i="2"/>
  <c r="X17" i="2" s="1"/>
  <c r="CJ20" i="1"/>
  <c r="CJ23" i="1"/>
  <c r="X23" i="1" s="1"/>
  <c r="CH23" i="1"/>
  <c r="X19" i="1"/>
  <c r="X20" i="1"/>
  <c r="X22" i="1"/>
  <c r="X21" i="1"/>
  <c r="CJ17" i="1"/>
  <c r="X17" i="1" s="1"/>
  <c r="X15" i="1"/>
  <c r="X16" i="1"/>
  <c r="X13" i="1"/>
  <c r="CF22" i="4"/>
  <c r="CF21" i="4"/>
  <c r="CF20" i="4"/>
  <c r="CF19" i="4"/>
  <c r="CE22" i="4"/>
  <c r="CE21" i="4"/>
  <c r="CE20" i="4"/>
  <c r="CE19" i="4"/>
  <c r="CC22" i="4"/>
  <c r="CC21" i="4"/>
  <c r="CC20" i="4"/>
  <c r="CC19" i="4"/>
  <c r="CB22" i="4"/>
  <c r="CB21" i="4"/>
  <c r="CB20" i="4"/>
  <c r="CB19" i="4"/>
  <c r="BZ22" i="4"/>
  <c r="BZ21" i="4"/>
  <c r="BZ20" i="4"/>
  <c r="BZ19" i="4"/>
  <c r="BY22" i="4"/>
  <c r="BY21" i="4"/>
  <c r="BY20" i="4"/>
  <c r="BY19" i="4"/>
  <c r="BW22" i="4"/>
  <c r="BW21" i="4"/>
  <c r="BW20" i="4"/>
  <c r="BW19" i="4"/>
  <c r="BV22" i="4"/>
  <c r="BV21" i="4"/>
  <c r="BV20" i="4"/>
  <c r="BV19" i="4"/>
  <c r="CF22" i="3"/>
  <c r="CF21" i="3"/>
  <c r="CF20" i="3"/>
  <c r="CF19" i="3"/>
  <c r="CE22" i="3"/>
  <c r="CE21" i="3"/>
  <c r="CE20" i="3"/>
  <c r="CE19" i="3"/>
  <c r="CC22" i="3"/>
  <c r="CC21" i="3"/>
  <c r="CC20" i="3"/>
  <c r="CC19" i="3"/>
  <c r="CB22" i="3"/>
  <c r="CB21" i="3"/>
  <c r="CB20" i="3"/>
  <c r="CB19" i="3"/>
  <c r="BZ22" i="3"/>
  <c r="BZ21" i="3"/>
  <c r="BZ20" i="3"/>
  <c r="BZ19" i="3"/>
  <c r="BY22" i="3"/>
  <c r="BY21" i="3"/>
  <c r="BY20" i="3"/>
  <c r="BY19" i="3"/>
  <c r="BW22" i="3"/>
  <c r="BW21" i="3"/>
  <c r="BW20" i="3"/>
  <c r="BW19" i="3"/>
  <c r="BV22" i="3"/>
  <c r="BV21" i="3"/>
  <c r="BV20" i="3"/>
  <c r="BV19" i="3"/>
  <c r="CF22" i="2"/>
  <c r="CF21" i="2"/>
  <c r="CF20" i="2"/>
  <c r="CF19" i="2"/>
  <c r="CE22" i="2"/>
  <c r="CE21" i="2"/>
  <c r="CE20" i="2"/>
  <c r="CE19" i="2"/>
  <c r="CC22" i="2"/>
  <c r="CC21" i="2"/>
  <c r="CC20" i="2"/>
  <c r="CC19" i="2"/>
  <c r="CB22" i="2"/>
  <c r="CB21" i="2"/>
  <c r="CB20" i="2"/>
  <c r="CB19" i="2"/>
  <c r="BZ22" i="2"/>
  <c r="BZ21" i="2"/>
  <c r="BZ20" i="2"/>
  <c r="BZ19" i="2"/>
  <c r="BY22" i="2"/>
  <c r="BY21" i="2"/>
  <c r="BY20" i="2"/>
  <c r="BY19" i="2"/>
  <c r="BW22" i="2"/>
  <c r="BW21" i="2"/>
  <c r="BW20" i="2"/>
  <c r="BW19" i="2"/>
  <c r="BV22" i="2"/>
  <c r="BV21" i="2"/>
  <c r="BV20" i="2"/>
  <c r="BV19" i="2"/>
  <c r="CF22" i="1"/>
  <c r="CF21" i="1"/>
  <c r="CF20" i="1"/>
  <c r="CF19" i="1"/>
  <c r="CE22" i="1"/>
  <c r="CE23" i="1" s="1"/>
  <c r="CE21" i="1"/>
  <c r="CE20" i="1"/>
  <c r="CE19" i="1"/>
  <c r="CC22" i="1"/>
  <c r="CC21" i="1"/>
  <c r="CC20" i="1"/>
  <c r="CC19" i="1"/>
  <c r="CB22" i="1"/>
  <c r="CB21" i="1"/>
  <c r="CB20" i="1"/>
  <c r="CB19" i="1"/>
  <c r="BZ22" i="1"/>
  <c r="BZ21" i="1"/>
  <c r="BZ20" i="1"/>
  <c r="BZ19" i="1"/>
  <c r="BV19" i="1"/>
  <c r="BW19" i="1"/>
  <c r="BY22" i="1"/>
  <c r="BY21" i="1"/>
  <c r="BY20" i="1"/>
  <c r="BY19" i="1"/>
  <c r="BW22" i="1"/>
  <c r="BW21" i="1"/>
  <c r="BW20" i="1"/>
  <c r="BV22" i="1"/>
  <c r="BV21" i="1"/>
  <c r="BV20" i="1"/>
  <c r="X17" i="3" l="1"/>
  <c r="CJ45" i="3"/>
  <c r="X45" i="3" s="1"/>
  <c r="X14" i="5"/>
  <c r="CJ23" i="5"/>
  <c r="X23" i="5" s="1"/>
  <c r="X21" i="5"/>
  <c r="X20" i="5"/>
  <c r="CJ17" i="5"/>
  <c r="X17" i="5" s="1"/>
  <c r="X15" i="5"/>
  <c r="X16" i="5"/>
  <c r="X22" i="5"/>
  <c r="X20" i="4"/>
  <c r="CJ23" i="4"/>
  <c r="X23" i="4" s="1"/>
  <c r="CF14" i="2"/>
  <c r="CE14" i="2" l="1"/>
  <c r="W27" i="2"/>
  <c r="CA44" i="5" l="1"/>
  <c r="CA43" i="5"/>
  <c r="BX44" i="5"/>
  <c r="BX43" i="5"/>
  <c r="BU44" i="5"/>
  <c r="BU43" i="5"/>
  <c r="BR44" i="5"/>
  <c r="BR43" i="5"/>
  <c r="BO44" i="5"/>
  <c r="BO43" i="5"/>
  <c r="BL44" i="5"/>
  <c r="BL43" i="5"/>
  <c r="BI44" i="5"/>
  <c r="BI43" i="5"/>
  <c r="CF22" i="5"/>
  <c r="CF21" i="5"/>
  <c r="CF20" i="5"/>
  <c r="CF19" i="5"/>
  <c r="CE22" i="5"/>
  <c r="CG22" i="5" s="1"/>
  <c r="CE21" i="5"/>
  <c r="CE20" i="5"/>
  <c r="CE19" i="5"/>
  <c r="CC22" i="5"/>
  <c r="CC21" i="5"/>
  <c r="CC20" i="5"/>
  <c r="CC19" i="5"/>
  <c r="CB22" i="5"/>
  <c r="CB21" i="5"/>
  <c r="CB20" i="5"/>
  <c r="CB19" i="5"/>
  <c r="BZ22" i="5"/>
  <c r="BZ21" i="5"/>
  <c r="BZ20" i="5"/>
  <c r="BZ19" i="5"/>
  <c r="BY22" i="5"/>
  <c r="BY21" i="5"/>
  <c r="BY20" i="5"/>
  <c r="BY19" i="5"/>
  <c r="BW22" i="5"/>
  <c r="BW21" i="5"/>
  <c r="BW20" i="5"/>
  <c r="BW19" i="5"/>
  <c r="BV22" i="5"/>
  <c r="BV21" i="5"/>
  <c r="BV20" i="5"/>
  <c r="BV19" i="5"/>
  <c r="AM22" i="5"/>
  <c r="AM21" i="5"/>
  <c r="AM20" i="5"/>
  <c r="AM19" i="5"/>
  <c r="AL22" i="5"/>
  <c r="AL21" i="5"/>
  <c r="AL20" i="5"/>
  <c r="AL19" i="5"/>
  <c r="AJ22" i="5"/>
  <c r="AJ21" i="5"/>
  <c r="AJ20" i="5"/>
  <c r="AJ19" i="5"/>
  <c r="AI22" i="5"/>
  <c r="AI21" i="5"/>
  <c r="AI20" i="5"/>
  <c r="AI19" i="5"/>
  <c r="AG22" i="5"/>
  <c r="AG21" i="5"/>
  <c r="AG20" i="5"/>
  <c r="AG19" i="5"/>
  <c r="AF22" i="5"/>
  <c r="AF21" i="5"/>
  <c r="AF20" i="5"/>
  <c r="AF19" i="5"/>
  <c r="CF16" i="5"/>
  <c r="CF15" i="5"/>
  <c r="CF14" i="5"/>
  <c r="CF13" i="5"/>
  <c r="CE16" i="5"/>
  <c r="CE15" i="5"/>
  <c r="CE14" i="5"/>
  <c r="CE13" i="5"/>
  <c r="CC16" i="5"/>
  <c r="CC15" i="5"/>
  <c r="CC14" i="5"/>
  <c r="CC13" i="5"/>
  <c r="CB16" i="5"/>
  <c r="CB15" i="5"/>
  <c r="CB14" i="5"/>
  <c r="CB13" i="5"/>
  <c r="BZ16" i="5"/>
  <c r="BZ15" i="5"/>
  <c r="BZ14" i="5"/>
  <c r="BZ13" i="5"/>
  <c r="BY16" i="5"/>
  <c r="BY15" i="5"/>
  <c r="BY14" i="5"/>
  <c r="BY13" i="5"/>
  <c r="BW16" i="5"/>
  <c r="BW15" i="5"/>
  <c r="BW14" i="5"/>
  <c r="BW13" i="5"/>
  <c r="BV16" i="5"/>
  <c r="BV15" i="5"/>
  <c r="BV14" i="5"/>
  <c r="BV13" i="5"/>
  <c r="BT16" i="5"/>
  <c r="BT15" i="5"/>
  <c r="BT14" i="5"/>
  <c r="BT13" i="5"/>
  <c r="BS16" i="5"/>
  <c r="BS15" i="5"/>
  <c r="BS14" i="5"/>
  <c r="BS13" i="5"/>
  <c r="BQ16" i="5"/>
  <c r="BQ15" i="5"/>
  <c r="BQ14" i="5"/>
  <c r="BQ13" i="5"/>
  <c r="BP16" i="5"/>
  <c r="BP15" i="5"/>
  <c r="BP14" i="5"/>
  <c r="BP13" i="5"/>
  <c r="BN16" i="5"/>
  <c r="BN15" i="5"/>
  <c r="BN14" i="5"/>
  <c r="BN13" i="5"/>
  <c r="BM16" i="5"/>
  <c r="BM15" i="5"/>
  <c r="BM14" i="5"/>
  <c r="BM13" i="5"/>
  <c r="BK16" i="5"/>
  <c r="BK15" i="5"/>
  <c r="BK14" i="5"/>
  <c r="BK13" i="5"/>
  <c r="BJ16" i="5"/>
  <c r="BJ15" i="5"/>
  <c r="BJ14" i="5"/>
  <c r="BJ13" i="5"/>
  <c r="BH16" i="5"/>
  <c r="BH15" i="5"/>
  <c r="BH14" i="5"/>
  <c r="BH13" i="5"/>
  <c r="BG16" i="5"/>
  <c r="BG15" i="5"/>
  <c r="BG14" i="5"/>
  <c r="BG13" i="5"/>
  <c r="BE16" i="5"/>
  <c r="BE15" i="5"/>
  <c r="BE14" i="5"/>
  <c r="BE13" i="5"/>
  <c r="BD16" i="5"/>
  <c r="BD15" i="5"/>
  <c r="BD14" i="5"/>
  <c r="BD13" i="5"/>
  <c r="BB16" i="5"/>
  <c r="BB15" i="5"/>
  <c r="BB14" i="5"/>
  <c r="BB13" i="5"/>
  <c r="BA16" i="5"/>
  <c r="BA15" i="5"/>
  <c r="BA14" i="5"/>
  <c r="BA13" i="5"/>
  <c r="AY16" i="5"/>
  <c r="AY15" i="5"/>
  <c r="AY14" i="5"/>
  <c r="AY13" i="5"/>
  <c r="AX16" i="5"/>
  <c r="AX15" i="5"/>
  <c r="AX14" i="5"/>
  <c r="AX13" i="5"/>
  <c r="AV16" i="5"/>
  <c r="AV15" i="5"/>
  <c r="AV14" i="5"/>
  <c r="AU16" i="5"/>
  <c r="AU15" i="5"/>
  <c r="AU14" i="5"/>
  <c r="AS16" i="5"/>
  <c r="AS15" i="5"/>
  <c r="AS14" i="5"/>
  <c r="AR16" i="5"/>
  <c r="AR15" i="5"/>
  <c r="AR14" i="5"/>
  <c r="AP16" i="5"/>
  <c r="AP15" i="5"/>
  <c r="AP14" i="5"/>
  <c r="AP13" i="5"/>
  <c r="AO16" i="5"/>
  <c r="AO15" i="5"/>
  <c r="AO14" i="5"/>
  <c r="AO13" i="5"/>
  <c r="AM16" i="5"/>
  <c r="AM15" i="5"/>
  <c r="AM14" i="5"/>
  <c r="AM13" i="5"/>
  <c r="AL16" i="5"/>
  <c r="AL15" i="5"/>
  <c r="AL14" i="5"/>
  <c r="AL13" i="5"/>
  <c r="AJ16" i="5"/>
  <c r="AJ15" i="5"/>
  <c r="AJ14" i="5"/>
  <c r="AJ13" i="5"/>
  <c r="AI16" i="5"/>
  <c r="AI15" i="5"/>
  <c r="AI14" i="5"/>
  <c r="AI13" i="5"/>
  <c r="AG16" i="5"/>
  <c r="AG15" i="5"/>
  <c r="AG14" i="5"/>
  <c r="AG13" i="5"/>
  <c r="AF16" i="5"/>
  <c r="AF15" i="5"/>
  <c r="AF14" i="5"/>
  <c r="AF13" i="5"/>
  <c r="AL17" i="5" l="1"/>
  <c r="H29" i="5" s="1"/>
  <c r="AM17" i="5"/>
  <c r="H35" i="5" s="1"/>
  <c r="U44" i="5"/>
  <c r="T44" i="5"/>
  <c r="S44" i="5"/>
  <c r="R44" i="5"/>
  <c r="Q44" i="5"/>
  <c r="P44" i="5"/>
  <c r="O44" i="5"/>
  <c r="U43" i="5"/>
  <c r="T43" i="5"/>
  <c r="S43" i="5"/>
  <c r="R43" i="5"/>
  <c r="Q43" i="5"/>
  <c r="P43" i="5"/>
  <c r="O43" i="5"/>
  <c r="W34" i="5"/>
  <c r="V34" i="5"/>
  <c r="U34" i="5"/>
  <c r="T34" i="5"/>
  <c r="S34" i="5"/>
  <c r="R34" i="5"/>
  <c r="Q34" i="5"/>
  <c r="P34" i="5"/>
  <c r="O34" i="5"/>
  <c r="N34" i="5"/>
  <c r="M34" i="5"/>
  <c r="L34" i="5"/>
  <c r="I34" i="5"/>
  <c r="H34" i="5"/>
  <c r="G34" i="5"/>
  <c r="F34" i="5"/>
  <c r="W33" i="5"/>
  <c r="V33" i="5"/>
  <c r="U33" i="5"/>
  <c r="T33" i="5"/>
  <c r="S33" i="5"/>
  <c r="R33" i="5"/>
  <c r="Q33" i="5"/>
  <c r="P33" i="5"/>
  <c r="O33" i="5"/>
  <c r="N33" i="5"/>
  <c r="M33" i="5"/>
  <c r="L33" i="5"/>
  <c r="I33" i="5"/>
  <c r="H33" i="5"/>
  <c r="G33" i="5"/>
  <c r="F33" i="5"/>
  <c r="W32" i="5"/>
  <c r="P32" i="5"/>
  <c r="O32" i="5"/>
  <c r="N32" i="5"/>
  <c r="M32" i="5"/>
  <c r="L32" i="5"/>
  <c r="I32" i="5"/>
  <c r="H32" i="5"/>
  <c r="G32" i="5"/>
  <c r="F32" i="5"/>
  <c r="W31" i="5"/>
  <c r="V31" i="5"/>
  <c r="U31" i="5"/>
  <c r="T31" i="5"/>
  <c r="S31" i="5"/>
  <c r="R31" i="5"/>
  <c r="Q31" i="5"/>
  <c r="P31" i="5"/>
  <c r="O31" i="5"/>
  <c r="N31" i="5"/>
  <c r="M31" i="5"/>
  <c r="L31" i="5"/>
  <c r="I31" i="5"/>
  <c r="H31" i="5"/>
  <c r="G31" i="5"/>
  <c r="F31" i="5"/>
  <c r="W28" i="5"/>
  <c r="V28" i="5"/>
  <c r="U28" i="5"/>
  <c r="T28" i="5"/>
  <c r="S28" i="5"/>
  <c r="R28" i="5"/>
  <c r="Q28" i="5"/>
  <c r="P28" i="5"/>
  <c r="O28" i="5"/>
  <c r="N28" i="5"/>
  <c r="M28" i="5"/>
  <c r="L28" i="5"/>
  <c r="I28" i="5"/>
  <c r="H28" i="5"/>
  <c r="G28" i="5"/>
  <c r="F28" i="5"/>
  <c r="W27" i="5"/>
  <c r="V27" i="5"/>
  <c r="U27" i="5"/>
  <c r="T27" i="5"/>
  <c r="S27" i="5"/>
  <c r="R27" i="5"/>
  <c r="Q27" i="5"/>
  <c r="P27" i="5"/>
  <c r="O27" i="5"/>
  <c r="N27" i="5"/>
  <c r="M27" i="5"/>
  <c r="L27" i="5"/>
  <c r="I27" i="5"/>
  <c r="H27" i="5"/>
  <c r="G27" i="5"/>
  <c r="F27" i="5"/>
  <c r="W26" i="5"/>
  <c r="P26" i="5"/>
  <c r="O26" i="5"/>
  <c r="N26" i="5"/>
  <c r="M26" i="5"/>
  <c r="L26" i="5"/>
  <c r="I26" i="5"/>
  <c r="H26" i="5"/>
  <c r="G26" i="5"/>
  <c r="F26" i="5"/>
  <c r="W25" i="5"/>
  <c r="V25" i="5"/>
  <c r="U25" i="5"/>
  <c r="T25" i="5"/>
  <c r="S25" i="5"/>
  <c r="R25" i="5"/>
  <c r="Q25" i="5"/>
  <c r="P25" i="5"/>
  <c r="O25" i="5"/>
  <c r="N25" i="5"/>
  <c r="M25" i="5"/>
  <c r="L25" i="5"/>
  <c r="I25" i="5"/>
  <c r="H25" i="5"/>
  <c r="G25" i="5"/>
  <c r="F25" i="5"/>
  <c r="CF23" i="5"/>
  <c r="CE23" i="5"/>
  <c r="AM23" i="5"/>
  <c r="AL23" i="5"/>
  <c r="AJ23" i="5"/>
  <c r="AI23" i="5"/>
  <c r="AG23" i="5"/>
  <c r="AF23" i="5"/>
  <c r="CD22" i="5"/>
  <c r="CA22" i="5"/>
  <c r="BX22" i="5"/>
  <c r="AN22" i="5"/>
  <c r="AK22" i="5"/>
  <c r="AH22" i="5"/>
  <c r="CG21" i="5"/>
  <c r="CD21" i="5"/>
  <c r="CA21" i="5"/>
  <c r="BX21" i="5"/>
  <c r="AN21" i="5"/>
  <c r="AK21" i="5"/>
  <c r="AH21" i="5"/>
  <c r="CG20" i="5"/>
  <c r="CC23" i="5"/>
  <c r="CB23" i="5"/>
  <c r="BZ23" i="5"/>
  <c r="BY23" i="5"/>
  <c r="BW23" i="5"/>
  <c r="BV23" i="5"/>
  <c r="AN20" i="5"/>
  <c r="AK20" i="5"/>
  <c r="AH20" i="5"/>
  <c r="CG19" i="5"/>
  <c r="W22" i="5" s="1"/>
  <c r="CD19" i="5"/>
  <c r="CA19" i="5"/>
  <c r="BX19" i="5"/>
  <c r="AN19" i="5"/>
  <c r="H19" i="5" s="1"/>
  <c r="AK19" i="5"/>
  <c r="G19" i="5" s="1"/>
  <c r="AH19" i="5"/>
  <c r="F19" i="5" s="1"/>
  <c r="CF17" i="5"/>
  <c r="W35" i="5" s="1"/>
  <c r="CE17" i="5"/>
  <c r="W29" i="5" s="1"/>
  <c r="BK17" i="5"/>
  <c r="P35" i="5" s="1"/>
  <c r="BJ17" i="5"/>
  <c r="P29" i="5" s="1"/>
  <c r="BH17" i="5"/>
  <c r="O35" i="5" s="1"/>
  <c r="BG17" i="5"/>
  <c r="O29" i="5" s="1"/>
  <c r="BE17" i="5"/>
  <c r="N35" i="5" s="1"/>
  <c r="BD17" i="5"/>
  <c r="N29" i="5" s="1"/>
  <c r="BB17" i="5"/>
  <c r="M35" i="5" s="1"/>
  <c r="BA17" i="5"/>
  <c r="M29" i="5" s="1"/>
  <c r="AY17" i="5"/>
  <c r="L35" i="5" s="1"/>
  <c r="AX17" i="5"/>
  <c r="L29" i="5" s="1"/>
  <c r="AV17" i="5"/>
  <c r="AU17" i="5"/>
  <c r="AS17" i="5"/>
  <c r="AR17" i="5"/>
  <c r="AP17" i="5"/>
  <c r="I35" i="5" s="1"/>
  <c r="AO17" i="5"/>
  <c r="I29" i="5" s="1"/>
  <c r="AJ17" i="5"/>
  <c r="G35" i="5" s="1"/>
  <c r="AI17" i="5"/>
  <c r="G29" i="5" s="1"/>
  <c r="AG17" i="5"/>
  <c r="F35" i="5" s="1"/>
  <c r="AF17" i="5"/>
  <c r="F29" i="5" s="1"/>
  <c r="CG16" i="5"/>
  <c r="CD16" i="5"/>
  <c r="CA16" i="5"/>
  <c r="BX16" i="5"/>
  <c r="BU16" i="5"/>
  <c r="BR16" i="5"/>
  <c r="BO16" i="5"/>
  <c r="BL16" i="5"/>
  <c r="BI16" i="5"/>
  <c r="BF16" i="5"/>
  <c r="BC16" i="5"/>
  <c r="AZ16" i="5"/>
  <c r="AW16" i="5"/>
  <c r="AT16" i="5"/>
  <c r="AQ16" i="5"/>
  <c r="AN16" i="5"/>
  <c r="AK16" i="5"/>
  <c r="AH16" i="5"/>
  <c r="CG15" i="5"/>
  <c r="CD15" i="5"/>
  <c r="CA15" i="5"/>
  <c r="BX15" i="5"/>
  <c r="BU15" i="5"/>
  <c r="BR15" i="5"/>
  <c r="BO15" i="5"/>
  <c r="BL15" i="5"/>
  <c r="BI15" i="5"/>
  <c r="BF15" i="5"/>
  <c r="BC15" i="5"/>
  <c r="AZ15" i="5"/>
  <c r="AW15" i="5"/>
  <c r="AT15" i="5"/>
  <c r="AQ15" i="5"/>
  <c r="AN15" i="5"/>
  <c r="AK15" i="5"/>
  <c r="AH15" i="5"/>
  <c r="CG14" i="5"/>
  <c r="BL14" i="5"/>
  <c r="BI14" i="5"/>
  <c r="BF14" i="5"/>
  <c r="BC14" i="5"/>
  <c r="AZ14" i="5"/>
  <c r="AW14" i="5"/>
  <c r="AT14" i="5"/>
  <c r="AQ14" i="5"/>
  <c r="AN14" i="5"/>
  <c r="AK14" i="5"/>
  <c r="AH14" i="5"/>
  <c r="CG13" i="5"/>
  <c r="W16" i="5" s="1"/>
  <c r="CD13" i="5"/>
  <c r="V13" i="5" s="1"/>
  <c r="CA13" i="5"/>
  <c r="U13" i="5" s="1"/>
  <c r="BX13" i="5"/>
  <c r="T13" i="5" s="1"/>
  <c r="BU13" i="5"/>
  <c r="BR13" i="5"/>
  <c r="R13" i="5" s="1"/>
  <c r="BO13" i="5"/>
  <c r="Q13" i="5" s="1"/>
  <c r="BL13" i="5"/>
  <c r="P13" i="5" s="1"/>
  <c r="BI13" i="5"/>
  <c r="O13" i="5" s="1"/>
  <c r="BF13" i="5"/>
  <c r="N13" i="5" s="1"/>
  <c r="BC13" i="5"/>
  <c r="AZ13" i="5"/>
  <c r="L13" i="5" s="1"/>
  <c r="AQ13" i="5"/>
  <c r="AN13" i="5"/>
  <c r="H13" i="5" s="1"/>
  <c r="AK13" i="5"/>
  <c r="G13" i="5" s="1"/>
  <c r="AH13" i="5"/>
  <c r="F13" i="5" s="1"/>
  <c r="U44" i="4"/>
  <c r="U43" i="4"/>
  <c r="U44" i="3"/>
  <c r="U43" i="3"/>
  <c r="U45" i="2"/>
  <c r="U44" i="2"/>
  <c r="U43" i="2"/>
  <c r="W34" i="4"/>
  <c r="W33" i="4"/>
  <c r="W32" i="4"/>
  <c r="W31" i="4"/>
  <c r="W28" i="4"/>
  <c r="W27" i="4"/>
  <c r="W26" i="4"/>
  <c r="W25" i="4"/>
  <c r="W34" i="3"/>
  <c r="W33" i="3"/>
  <c r="W32" i="3"/>
  <c r="W31" i="3"/>
  <c r="W28" i="3"/>
  <c r="W27" i="3"/>
  <c r="W26" i="3"/>
  <c r="W25" i="3"/>
  <c r="W34" i="2"/>
  <c r="W33" i="2"/>
  <c r="W32" i="2"/>
  <c r="W31" i="2"/>
  <c r="W28" i="2"/>
  <c r="W26" i="2"/>
  <c r="W25" i="2"/>
  <c r="CF23" i="4"/>
  <c r="CE23" i="4"/>
  <c r="CG22" i="4"/>
  <c r="CG21" i="4"/>
  <c r="CG20" i="4"/>
  <c r="CG19" i="4"/>
  <c r="W19" i="4" s="1"/>
  <c r="CF17" i="4"/>
  <c r="W35" i="4" s="1"/>
  <c r="CE17" i="4"/>
  <c r="W29" i="4" s="1"/>
  <c r="CG16" i="4"/>
  <c r="CG15" i="4"/>
  <c r="CG14" i="4"/>
  <c r="CG13" i="4"/>
  <c r="W13" i="4" s="1"/>
  <c r="CF23" i="3"/>
  <c r="CE23" i="3"/>
  <c r="CG22" i="3"/>
  <c r="CG21" i="3"/>
  <c r="CG20" i="3"/>
  <c r="CG19" i="3"/>
  <c r="CF17" i="3"/>
  <c r="W35" i="3" s="1"/>
  <c r="CE17" i="3"/>
  <c r="W29" i="3" s="1"/>
  <c r="CG16" i="3"/>
  <c r="CG15" i="3"/>
  <c r="CG14" i="3"/>
  <c r="CG13" i="3"/>
  <c r="CF23" i="2"/>
  <c r="CE23" i="2"/>
  <c r="CG22" i="2"/>
  <c r="CG21" i="2"/>
  <c r="CG20" i="2"/>
  <c r="CG19" i="2"/>
  <c r="W19" i="2" s="1"/>
  <c r="CF17" i="2"/>
  <c r="W35" i="2" s="1"/>
  <c r="CE17" i="2"/>
  <c r="W29" i="2" s="1"/>
  <c r="CG16" i="2"/>
  <c r="CG15" i="2"/>
  <c r="CG14" i="2"/>
  <c r="CG13" i="2"/>
  <c r="U44" i="1"/>
  <c r="W34" i="1"/>
  <c r="W33" i="1"/>
  <c r="W32" i="1"/>
  <c r="W28" i="1"/>
  <c r="W27" i="1"/>
  <c r="W26" i="1"/>
  <c r="W31" i="1"/>
  <c r="W15" i="3" l="1"/>
  <c r="AN23" i="5"/>
  <c r="AH23" i="5"/>
  <c r="F23" i="5" s="1"/>
  <c r="AK17" i="5"/>
  <c r="AW17" i="5"/>
  <c r="BI17" i="5"/>
  <c r="O17" i="5" s="1"/>
  <c r="AN17" i="5"/>
  <c r="H17" i="5" s="1"/>
  <c r="AZ17" i="5"/>
  <c r="L17" i="5" s="1"/>
  <c r="BL17" i="5"/>
  <c r="BL45" i="5" s="1"/>
  <c r="P45" i="5" s="1"/>
  <c r="W19" i="5"/>
  <c r="S15" i="5"/>
  <c r="S13" i="5"/>
  <c r="AQ17" i="5"/>
  <c r="I17" i="5" s="1"/>
  <c r="BC17" i="5"/>
  <c r="M17" i="5" s="1"/>
  <c r="CG17" i="5"/>
  <c r="W17" i="5" s="1"/>
  <c r="AK23" i="5"/>
  <c r="G23" i="5" s="1"/>
  <c r="AH17" i="5"/>
  <c r="F17" i="5" s="1"/>
  <c r="AT17" i="5"/>
  <c r="BF17" i="5"/>
  <c r="N17" i="5" s="1"/>
  <c r="CG23" i="5"/>
  <c r="W23" i="5" s="1"/>
  <c r="W19" i="3"/>
  <c r="W22" i="3"/>
  <c r="CG23" i="2"/>
  <c r="W21" i="2"/>
  <c r="W23" i="2"/>
  <c r="W22" i="2"/>
  <c r="W16" i="2"/>
  <c r="W21" i="4"/>
  <c r="CG23" i="3"/>
  <c r="W23" i="3" s="1"/>
  <c r="W21" i="3"/>
  <c r="W14" i="3"/>
  <c r="W16" i="3"/>
  <c r="W13" i="3"/>
  <c r="W13" i="5"/>
  <c r="M13" i="5"/>
  <c r="G17" i="5"/>
  <c r="I13" i="5"/>
  <c r="F16" i="5"/>
  <c r="H16" i="5"/>
  <c r="L16" i="5"/>
  <c r="N16" i="5"/>
  <c r="P16" i="5"/>
  <c r="R16" i="5"/>
  <c r="R15" i="5"/>
  <c r="T16" i="5"/>
  <c r="T15" i="5"/>
  <c r="V16" i="5"/>
  <c r="V15" i="5"/>
  <c r="F14" i="5"/>
  <c r="H14" i="5"/>
  <c r="L14" i="5"/>
  <c r="N14" i="5"/>
  <c r="P14" i="5"/>
  <c r="Q32" i="5"/>
  <c r="BN17" i="5"/>
  <c r="Q35" i="5" s="1"/>
  <c r="R26" i="5"/>
  <c r="BP17" i="5"/>
  <c r="R29" i="5" s="1"/>
  <c r="BR14" i="5"/>
  <c r="BR17" i="5" s="1"/>
  <c r="BR45" i="5" s="1"/>
  <c r="R45" i="5" s="1"/>
  <c r="S32" i="5"/>
  <c r="BT17" i="5"/>
  <c r="S35" i="5" s="1"/>
  <c r="T26" i="5"/>
  <c r="BV17" i="5"/>
  <c r="T29" i="5" s="1"/>
  <c r="BX14" i="5"/>
  <c r="BX17" i="5" s="1"/>
  <c r="BX45" i="5" s="1"/>
  <c r="T45" i="5" s="1"/>
  <c r="U32" i="5"/>
  <c r="BZ17" i="5"/>
  <c r="U35" i="5" s="1"/>
  <c r="V26" i="5"/>
  <c r="CB17" i="5"/>
  <c r="V29" i="5" s="1"/>
  <c r="CD14" i="5"/>
  <c r="CD17" i="5" s="1"/>
  <c r="V17" i="5" s="1"/>
  <c r="F15" i="5"/>
  <c r="H15" i="5"/>
  <c r="L15" i="5"/>
  <c r="N15" i="5"/>
  <c r="P15" i="5"/>
  <c r="W15" i="5"/>
  <c r="I16" i="5"/>
  <c r="M16" i="5"/>
  <c r="T22" i="5"/>
  <c r="T21" i="5"/>
  <c r="T19" i="5"/>
  <c r="U22" i="5"/>
  <c r="U19" i="5"/>
  <c r="U21" i="5"/>
  <c r="V22" i="5"/>
  <c r="V21" i="5"/>
  <c r="V19" i="5"/>
  <c r="O16" i="5"/>
  <c r="Q16" i="5"/>
  <c r="S16" i="5"/>
  <c r="U16" i="5"/>
  <c r="G14" i="5"/>
  <c r="I14" i="5"/>
  <c r="M14" i="5"/>
  <c r="O14" i="5"/>
  <c r="W14" i="5"/>
  <c r="Q26" i="5"/>
  <c r="BM17" i="5"/>
  <c r="Q29" i="5" s="1"/>
  <c r="BO14" i="5"/>
  <c r="BO17" i="5" s="1"/>
  <c r="BO45" i="5" s="1"/>
  <c r="Q45" i="5" s="1"/>
  <c r="R32" i="5"/>
  <c r="BQ17" i="5"/>
  <c r="R35" i="5" s="1"/>
  <c r="S26" i="5"/>
  <c r="BS17" i="5"/>
  <c r="S29" i="5" s="1"/>
  <c r="BU14" i="5"/>
  <c r="BU17" i="5" s="1"/>
  <c r="BU45" i="5" s="1"/>
  <c r="S45" i="5" s="1"/>
  <c r="T32" i="5"/>
  <c r="BW17" i="5"/>
  <c r="T35" i="5" s="1"/>
  <c r="U26" i="5"/>
  <c r="BY17" i="5"/>
  <c r="U29" i="5" s="1"/>
  <c r="CA14" i="5"/>
  <c r="CA17" i="5" s="1"/>
  <c r="V32" i="5"/>
  <c r="CC17" i="5"/>
  <c r="V35" i="5" s="1"/>
  <c r="G15" i="5"/>
  <c r="I15" i="5"/>
  <c r="M15" i="5"/>
  <c r="O15" i="5"/>
  <c r="Q15" i="5"/>
  <c r="U15" i="5"/>
  <c r="G16" i="5"/>
  <c r="F22" i="5"/>
  <c r="H23" i="5"/>
  <c r="H22" i="5"/>
  <c r="F20" i="5"/>
  <c r="H20" i="5"/>
  <c r="CA20" i="5"/>
  <c r="CA23" i="5" s="1"/>
  <c r="U23" i="5" s="1"/>
  <c r="G21" i="5"/>
  <c r="W21" i="5"/>
  <c r="G22" i="5"/>
  <c r="G20" i="5"/>
  <c r="W20" i="5"/>
  <c r="BX20" i="5"/>
  <c r="BX23" i="5" s="1"/>
  <c r="T23" i="5" s="1"/>
  <c r="CD20" i="5"/>
  <c r="CD23" i="5" s="1"/>
  <c r="V23" i="5" s="1"/>
  <c r="F21" i="5"/>
  <c r="H21" i="5"/>
  <c r="CG23" i="4"/>
  <c r="W23" i="4" s="1"/>
  <c r="W22" i="4"/>
  <c r="W15" i="4"/>
  <c r="W16" i="4"/>
  <c r="W14" i="4"/>
  <c r="W20" i="3"/>
  <c r="CG17" i="3"/>
  <c r="W20" i="2"/>
  <c r="CG17" i="2"/>
  <c r="W17" i="2" s="1"/>
  <c r="W13" i="2"/>
  <c r="W15" i="2"/>
  <c r="W14" i="2"/>
  <c r="CG17" i="4"/>
  <c r="W17" i="4" s="1"/>
  <c r="W20" i="4"/>
  <c r="CG22" i="1"/>
  <c r="CF23" i="1"/>
  <c r="CG21" i="1"/>
  <c r="CG19" i="1"/>
  <c r="CF17" i="1"/>
  <c r="W35" i="1" s="1"/>
  <c r="CE17" i="1"/>
  <c r="W29" i="1" s="1"/>
  <c r="CG16" i="1"/>
  <c r="CG15" i="1"/>
  <c r="CG14" i="1"/>
  <c r="CG13" i="1"/>
  <c r="W17" i="3" l="1"/>
  <c r="CG45" i="3"/>
  <c r="BI45" i="5"/>
  <c r="O45" i="5" s="1"/>
  <c r="P17" i="5"/>
  <c r="U20" i="5"/>
  <c r="T20" i="5"/>
  <c r="W16" i="1"/>
  <c r="S17" i="5"/>
  <c r="T14" i="5"/>
  <c r="R17" i="5"/>
  <c r="U14" i="5"/>
  <c r="Q14" i="5"/>
  <c r="U17" i="5"/>
  <c r="Q17" i="5"/>
  <c r="V20" i="5"/>
  <c r="S14" i="5"/>
  <c r="V14" i="5"/>
  <c r="R14" i="5"/>
  <c r="T17" i="5"/>
  <c r="W15" i="1"/>
  <c r="W21" i="1"/>
  <c r="W22" i="1"/>
  <c r="CG17" i="1"/>
  <c r="W17" i="1" s="1"/>
  <c r="CG20" i="1"/>
  <c r="V33" i="4"/>
  <c r="CG45" i="5" l="1"/>
  <c r="W45" i="5" s="1"/>
  <c r="CG23" i="1"/>
  <c r="W23" i="1" s="1"/>
  <c r="W20" i="1"/>
  <c r="CD22" i="4"/>
  <c r="CD21" i="4"/>
  <c r="CD20" i="4"/>
  <c r="CD19" i="4"/>
  <c r="CA22" i="4"/>
  <c r="CA21" i="4"/>
  <c r="CA20" i="4"/>
  <c r="CA19" i="4"/>
  <c r="BX22" i="4"/>
  <c r="BX21" i="4"/>
  <c r="BX20" i="4"/>
  <c r="BX19" i="4"/>
  <c r="AW22" i="4"/>
  <c r="AW20" i="4"/>
  <c r="AN22" i="4"/>
  <c r="AN21" i="4"/>
  <c r="AN20" i="4"/>
  <c r="AN19" i="4"/>
  <c r="AK22" i="4"/>
  <c r="AK21" i="4"/>
  <c r="AK20" i="4"/>
  <c r="AK19" i="4"/>
  <c r="AH22" i="4"/>
  <c r="AH21" i="4"/>
  <c r="AH20" i="4"/>
  <c r="AH19" i="4"/>
  <c r="CD16" i="4"/>
  <c r="CD15" i="4"/>
  <c r="CD14" i="4"/>
  <c r="CD13" i="4"/>
  <c r="CA16" i="4"/>
  <c r="CA15" i="4"/>
  <c r="CA14" i="4"/>
  <c r="CA13" i="4"/>
  <c r="BX16" i="4"/>
  <c r="BX15" i="4"/>
  <c r="BX14" i="4"/>
  <c r="BX13" i="4"/>
  <c r="BU16" i="4"/>
  <c r="BU15" i="4"/>
  <c r="BU14" i="4"/>
  <c r="BU13" i="4"/>
  <c r="BR16" i="4"/>
  <c r="BR15" i="4"/>
  <c r="BR14" i="4"/>
  <c r="BR13" i="4"/>
  <c r="BO16" i="4"/>
  <c r="BO15" i="4"/>
  <c r="BO14" i="4"/>
  <c r="BO13" i="4"/>
  <c r="BL16" i="4"/>
  <c r="BL15" i="4"/>
  <c r="BL14" i="4"/>
  <c r="BL13" i="4"/>
  <c r="BI16" i="4"/>
  <c r="BI15" i="4"/>
  <c r="BI14" i="4"/>
  <c r="BI13" i="4"/>
  <c r="BF16" i="4"/>
  <c r="BF15" i="4"/>
  <c r="BF14" i="4"/>
  <c r="BF13" i="4"/>
  <c r="BC16" i="4"/>
  <c r="BC15" i="4"/>
  <c r="BC14" i="4"/>
  <c r="BC13" i="4"/>
  <c r="AZ16" i="4"/>
  <c r="AZ15" i="4"/>
  <c r="AZ14" i="4"/>
  <c r="AZ13" i="4"/>
  <c r="AW16" i="4"/>
  <c r="AW15" i="4"/>
  <c r="AW14" i="4"/>
  <c r="AW13" i="4"/>
  <c r="AT16" i="4"/>
  <c r="AT15" i="4"/>
  <c r="AT14" i="4"/>
  <c r="AT13" i="4"/>
  <c r="AQ16" i="4"/>
  <c r="AQ15" i="4"/>
  <c r="AQ14" i="4"/>
  <c r="AQ13" i="4"/>
  <c r="AN16" i="4"/>
  <c r="AN15" i="4"/>
  <c r="AN14" i="4"/>
  <c r="AN13" i="4"/>
  <c r="AK16" i="4"/>
  <c r="AK15" i="4"/>
  <c r="AK14" i="4"/>
  <c r="AK13" i="4"/>
  <c r="AH16" i="4"/>
  <c r="AH15" i="4"/>
  <c r="AH14" i="4"/>
  <c r="AH13" i="4"/>
  <c r="V34" i="4" l="1"/>
  <c r="L25" i="4"/>
  <c r="V34" i="3" l="1"/>
  <c r="T44" i="4"/>
  <c r="S44" i="4"/>
  <c r="R44" i="4"/>
  <c r="Q44" i="4"/>
  <c r="P44" i="4"/>
  <c r="O44" i="4"/>
  <c r="T43" i="4"/>
  <c r="S43" i="4"/>
  <c r="R43" i="4"/>
  <c r="Q43" i="4"/>
  <c r="P43" i="4"/>
  <c r="O43" i="4"/>
  <c r="AV23" i="4"/>
  <c r="AM23" i="4"/>
  <c r="AL23" i="4"/>
  <c r="AJ23" i="4"/>
  <c r="AI23" i="4"/>
  <c r="AG23" i="4"/>
  <c r="AF23" i="4"/>
  <c r="BT22" i="4"/>
  <c r="BS22" i="4"/>
  <c r="BU22" i="4" s="1"/>
  <c r="BQ22" i="4"/>
  <c r="BP22" i="4"/>
  <c r="BN22" i="4"/>
  <c r="BM22" i="4"/>
  <c r="BO22" i="4" s="1"/>
  <c r="BK22" i="4"/>
  <c r="BJ22" i="4"/>
  <c r="BH22" i="4"/>
  <c r="BG22" i="4"/>
  <c r="BI22" i="4" s="1"/>
  <c r="BE22" i="4"/>
  <c r="BD22" i="4"/>
  <c r="BB22" i="4"/>
  <c r="BA22" i="4"/>
  <c r="BC22" i="4" s="1"/>
  <c r="AY22" i="4"/>
  <c r="AX22" i="4"/>
  <c r="AS22" i="4"/>
  <c r="AR22" i="4"/>
  <c r="AT22" i="4" s="1"/>
  <c r="AP22" i="4"/>
  <c r="AO22" i="4"/>
  <c r="BT21" i="4"/>
  <c r="BS21" i="4"/>
  <c r="BU21" i="4" s="1"/>
  <c r="BQ21" i="4"/>
  <c r="BP21" i="4"/>
  <c r="BN21" i="4"/>
  <c r="BM21" i="4"/>
  <c r="BO21" i="4" s="1"/>
  <c r="BK21" i="4"/>
  <c r="BJ21" i="4"/>
  <c r="BH21" i="4"/>
  <c r="BG21" i="4"/>
  <c r="BI21" i="4" s="1"/>
  <c r="BE21" i="4"/>
  <c r="BD21" i="4"/>
  <c r="BB21" i="4"/>
  <c r="BA21" i="4"/>
  <c r="BC21" i="4" s="1"/>
  <c r="AY21" i="4"/>
  <c r="AX21" i="4"/>
  <c r="AU21" i="4"/>
  <c r="AS21" i="4"/>
  <c r="AR21" i="4"/>
  <c r="AP21" i="4"/>
  <c r="AO21" i="4"/>
  <c r="AQ21" i="4" s="1"/>
  <c r="BT20" i="4"/>
  <c r="BS20" i="4"/>
  <c r="BQ20" i="4"/>
  <c r="BP20" i="4"/>
  <c r="BR20" i="4" s="1"/>
  <c r="BN20" i="4"/>
  <c r="BM20" i="4"/>
  <c r="BK20" i="4"/>
  <c r="BJ20" i="4"/>
  <c r="BL20" i="4" s="1"/>
  <c r="BH20" i="4"/>
  <c r="BG20" i="4"/>
  <c r="BE20" i="4"/>
  <c r="BD20" i="4"/>
  <c r="BF20" i="4" s="1"/>
  <c r="BB20" i="4"/>
  <c r="BA20" i="4"/>
  <c r="AY20" i="4"/>
  <c r="AX20" i="4"/>
  <c r="AZ20" i="4" s="1"/>
  <c r="AS20" i="4"/>
  <c r="AR20" i="4"/>
  <c r="AP20" i="4"/>
  <c r="AO20" i="4"/>
  <c r="AQ20" i="4" s="1"/>
  <c r="BT19" i="4"/>
  <c r="BS19" i="4"/>
  <c r="BQ19" i="4"/>
  <c r="BP19" i="4"/>
  <c r="BR19" i="4" s="1"/>
  <c r="BN19" i="4"/>
  <c r="BM19" i="4"/>
  <c r="BK19" i="4"/>
  <c r="BJ19" i="4"/>
  <c r="BL19" i="4" s="1"/>
  <c r="BH19" i="4"/>
  <c r="BG19" i="4"/>
  <c r="BE19" i="4"/>
  <c r="BD19" i="4"/>
  <c r="BF19" i="4" s="1"/>
  <c r="BB19" i="4"/>
  <c r="BA19" i="4"/>
  <c r="AY19" i="4"/>
  <c r="AX19" i="4"/>
  <c r="AZ19" i="4" s="1"/>
  <c r="AV19" i="4"/>
  <c r="AU19" i="4"/>
  <c r="AS19" i="4"/>
  <c r="AR19" i="4"/>
  <c r="AT19" i="4" s="1"/>
  <c r="AP19" i="4"/>
  <c r="AO19" i="4"/>
  <c r="H19" i="4"/>
  <c r="F19" i="4"/>
  <c r="CC17" i="4"/>
  <c r="V35" i="4" s="1"/>
  <c r="CB17" i="4"/>
  <c r="V29" i="4" s="1"/>
  <c r="BZ17" i="4"/>
  <c r="BY17" i="4"/>
  <c r="U29" i="4" s="1"/>
  <c r="BW17" i="4"/>
  <c r="T35" i="4" s="1"/>
  <c r="BV17" i="4"/>
  <c r="BT17" i="4"/>
  <c r="BS17" i="4"/>
  <c r="S29" i="4" s="1"/>
  <c r="BQ17" i="4"/>
  <c r="R35" i="4" s="1"/>
  <c r="BP17" i="4"/>
  <c r="R29" i="4" s="1"/>
  <c r="BN17" i="4"/>
  <c r="BM17" i="4"/>
  <c r="Q29" i="4" s="1"/>
  <c r="BK17" i="4"/>
  <c r="P35" i="4" s="1"/>
  <c r="BJ17" i="4"/>
  <c r="BH17" i="4"/>
  <c r="BG17" i="4"/>
  <c r="O29" i="4" s="1"/>
  <c r="BE17" i="4"/>
  <c r="N35" i="4" s="1"/>
  <c r="BD17" i="4"/>
  <c r="N29" i="4" s="1"/>
  <c r="BB17" i="4"/>
  <c r="BA17" i="4"/>
  <c r="M29" i="4" s="1"/>
  <c r="AY17" i="4"/>
  <c r="L35" i="4" s="1"/>
  <c r="AX17" i="4"/>
  <c r="AV17" i="4"/>
  <c r="AU17" i="4"/>
  <c r="K29" i="4" s="1"/>
  <c r="AS17" i="4"/>
  <c r="J35" i="4" s="1"/>
  <c r="AR17" i="4"/>
  <c r="J29" i="4" s="1"/>
  <c r="AP17" i="4"/>
  <c r="AO17" i="4"/>
  <c r="I29" i="4" s="1"/>
  <c r="AM17" i="4"/>
  <c r="H35" i="4" s="1"/>
  <c r="AL17" i="4"/>
  <c r="AJ17" i="4"/>
  <c r="AI17" i="4"/>
  <c r="G29" i="4" s="1"/>
  <c r="AG17" i="4"/>
  <c r="F35" i="4" s="1"/>
  <c r="AF17" i="4"/>
  <c r="F29" i="4" s="1"/>
  <c r="U35" i="4"/>
  <c r="T29" i="4"/>
  <c r="S35" i="4"/>
  <c r="Q35" i="4"/>
  <c r="P29" i="4"/>
  <c r="O35" i="4"/>
  <c r="M35" i="4"/>
  <c r="L29" i="4"/>
  <c r="K35" i="4"/>
  <c r="I35" i="4"/>
  <c r="H29" i="4"/>
  <c r="G35" i="4"/>
  <c r="V28" i="4"/>
  <c r="U34" i="4"/>
  <c r="U28" i="4"/>
  <c r="T34" i="4"/>
  <c r="T28" i="4"/>
  <c r="S34" i="4"/>
  <c r="S28" i="4"/>
  <c r="R34" i="4"/>
  <c r="R28" i="4"/>
  <c r="Q34" i="4"/>
  <c r="Q28" i="4"/>
  <c r="P34" i="4"/>
  <c r="P28" i="4"/>
  <c r="O34" i="4"/>
  <c r="O28" i="4"/>
  <c r="N34" i="4"/>
  <c r="N28" i="4"/>
  <c r="M34" i="4"/>
  <c r="M28" i="4"/>
  <c r="L34" i="4"/>
  <c r="L28" i="4"/>
  <c r="K34" i="4"/>
  <c r="K28" i="4"/>
  <c r="J34" i="4"/>
  <c r="J28" i="4"/>
  <c r="I34" i="4"/>
  <c r="I28" i="4"/>
  <c r="H34" i="4"/>
  <c r="H28" i="4"/>
  <c r="G34" i="4"/>
  <c r="G28" i="4"/>
  <c r="F34" i="4"/>
  <c r="F28" i="4"/>
  <c r="V27" i="4"/>
  <c r="U33" i="4"/>
  <c r="U27" i="4"/>
  <c r="T33" i="4"/>
  <c r="T27" i="4"/>
  <c r="S33" i="4"/>
  <c r="S27" i="4"/>
  <c r="R33" i="4"/>
  <c r="R27" i="4"/>
  <c r="Q33" i="4"/>
  <c r="Q27" i="4"/>
  <c r="P33" i="4"/>
  <c r="P27" i="4"/>
  <c r="O33" i="4"/>
  <c r="O27" i="4"/>
  <c r="N33" i="4"/>
  <c r="N27" i="4"/>
  <c r="M33" i="4"/>
  <c r="M27" i="4"/>
  <c r="L33" i="4"/>
  <c r="L27" i="4"/>
  <c r="K33" i="4"/>
  <c r="K27" i="4"/>
  <c r="J33" i="4"/>
  <c r="J27" i="4"/>
  <c r="I33" i="4"/>
  <c r="I27" i="4"/>
  <c r="H33" i="4"/>
  <c r="H27" i="4"/>
  <c r="G33" i="4"/>
  <c r="G27" i="4"/>
  <c r="F33" i="4"/>
  <c r="F27" i="4"/>
  <c r="V32" i="4"/>
  <c r="V26" i="4"/>
  <c r="U32" i="4"/>
  <c r="U26" i="4"/>
  <c r="T32" i="4"/>
  <c r="T26" i="4"/>
  <c r="S32" i="4"/>
  <c r="S26" i="4"/>
  <c r="R32" i="4"/>
  <c r="R26" i="4"/>
  <c r="Q32" i="4"/>
  <c r="Q26" i="4"/>
  <c r="P32" i="4"/>
  <c r="P26" i="4"/>
  <c r="O32" i="4"/>
  <c r="O26" i="4"/>
  <c r="N32" i="4"/>
  <c r="N26" i="4"/>
  <c r="M32" i="4"/>
  <c r="M26" i="4"/>
  <c r="L32" i="4"/>
  <c r="L26" i="4"/>
  <c r="K32" i="4"/>
  <c r="K26" i="4"/>
  <c r="J32" i="4"/>
  <c r="J26" i="4"/>
  <c r="I32" i="4"/>
  <c r="I26" i="4"/>
  <c r="H32" i="4"/>
  <c r="H26" i="4"/>
  <c r="G32" i="4"/>
  <c r="G26" i="4"/>
  <c r="F32" i="4"/>
  <c r="F26" i="4"/>
  <c r="V16" i="4"/>
  <c r="S13" i="4"/>
  <c r="Q13" i="4"/>
  <c r="O13" i="4"/>
  <c r="M13" i="4"/>
  <c r="K13" i="4"/>
  <c r="I13" i="4"/>
  <c r="V31" i="4"/>
  <c r="V25" i="4"/>
  <c r="U13" i="4"/>
  <c r="U31" i="4"/>
  <c r="U25" i="4"/>
  <c r="T31" i="4"/>
  <c r="T25" i="4"/>
  <c r="S31" i="4"/>
  <c r="S25" i="4"/>
  <c r="R31" i="4"/>
  <c r="R25" i="4"/>
  <c r="Q31" i="4"/>
  <c r="Q25" i="4"/>
  <c r="P31" i="4"/>
  <c r="P25" i="4"/>
  <c r="O31" i="4"/>
  <c r="O25" i="4"/>
  <c r="N31" i="4"/>
  <c r="N25" i="4"/>
  <c r="M31" i="4"/>
  <c r="M25" i="4"/>
  <c r="L31" i="4"/>
  <c r="K31" i="4"/>
  <c r="K25" i="4"/>
  <c r="J31" i="4"/>
  <c r="J25" i="4"/>
  <c r="I31" i="4"/>
  <c r="I25" i="4"/>
  <c r="H31" i="4"/>
  <c r="H25" i="4"/>
  <c r="G31" i="4"/>
  <c r="G25" i="4"/>
  <c r="F31" i="4"/>
  <c r="F25" i="4"/>
  <c r="CD22" i="3"/>
  <c r="CD21" i="3"/>
  <c r="CD20" i="3"/>
  <c r="CA21" i="3"/>
  <c r="CA20" i="3"/>
  <c r="CA19" i="3"/>
  <c r="BX21" i="3"/>
  <c r="BX19" i="3"/>
  <c r="CA22" i="3"/>
  <c r="BX22" i="3"/>
  <c r="BX20" i="3"/>
  <c r="AN22" i="3"/>
  <c r="AN21" i="3"/>
  <c r="AN20" i="3"/>
  <c r="AN19" i="3"/>
  <c r="AK22" i="3"/>
  <c r="AK21" i="3"/>
  <c r="AK20" i="3"/>
  <c r="AK19" i="3"/>
  <c r="AH22" i="3"/>
  <c r="AH21" i="3"/>
  <c r="AH20" i="3"/>
  <c r="AH19" i="3"/>
  <c r="BU16" i="3"/>
  <c r="CD16" i="3"/>
  <c r="CD15" i="3"/>
  <c r="CD14" i="3"/>
  <c r="CD13" i="3"/>
  <c r="CA16" i="3"/>
  <c r="CA15" i="3"/>
  <c r="CA14" i="3"/>
  <c r="CA13" i="3"/>
  <c r="BX16" i="3"/>
  <c r="BX15" i="3"/>
  <c r="BX14" i="3"/>
  <c r="BX13" i="3"/>
  <c r="BU15" i="3"/>
  <c r="BU14" i="3"/>
  <c r="BU13" i="3"/>
  <c r="BR16" i="3"/>
  <c r="BR15" i="3"/>
  <c r="BR14" i="3"/>
  <c r="BR13" i="3"/>
  <c r="BO16" i="3"/>
  <c r="BO15" i="3"/>
  <c r="BO14" i="3"/>
  <c r="BO13" i="3"/>
  <c r="BL16" i="3"/>
  <c r="BL15" i="3"/>
  <c r="BL14" i="3"/>
  <c r="BL13" i="3"/>
  <c r="BI16" i="3"/>
  <c r="BI15" i="3"/>
  <c r="BI14" i="3"/>
  <c r="BI13" i="3"/>
  <c r="BF16" i="3"/>
  <c r="BF15" i="3"/>
  <c r="BF14" i="3"/>
  <c r="BF13" i="3"/>
  <c r="BC16" i="3"/>
  <c r="BC15" i="3"/>
  <c r="BC14" i="3"/>
  <c r="BC13" i="3"/>
  <c r="AZ16" i="3"/>
  <c r="AZ15" i="3"/>
  <c r="AZ14" i="3"/>
  <c r="AZ13" i="3"/>
  <c r="AW16" i="3"/>
  <c r="AW15" i="3"/>
  <c r="AW14" i="3"/>
  <c r="AT16" i="3"/>
  <c r="AT15" i="3"/>
  <c r="AT14" i="3"/>
  <c r="AT13" i="3"/>
  <c r="AQ16" i="3"/>
  <c r="AQ15" i="3"/>
  <c r="AQ14" i="3"/>
  <c r="AQ13" i="3"/>
  <c r="AN16" i="3"/>
  <c r="AN15" i="3"/>
  <c r="AN14" i="3"/>
  <c r="AN13" i="3"/>
  <c r="AK16" i="3"/>
  <c r="AK15" i="3"/>
  <c r="AK14" i="3"/>
  <c r="AK13" i="3"/>
  <c r="AZ21" i="4" l="1"/>
  <c r="BF21" i="4"/>
  <c r="BL21" i="4"/>
  <c r="BR21" i="4"/>
  <c r="AQ22" i="4"/>
  <c r="AZ22" i="4"/>
  <c r="BF22" i="4"/>
  <c r="BL22" i="4"/>
  <c r="BR22" i="4"/>
  <c r="AU23" i="4"/>
  <c r="AW21" i="4"/>
  <c r="AQ19" i="4"/>
  <c r="AW19" i="4"/>
  <c r="BC19" i="4"/>
  <c r="BI19" i="4"/>
  <c r="BO19" i="4"/>
  <c r="BU19" i="4"/>
  <c r="AT20" i="4"/>
  <c r="BC20" i="4"/>
  <c r="BI20" i="4"/>
  <c r="BO20" i="4"/>
  <c r="BU20" i="4"/>
  <c r="AT21" i="4"/>
  <c r="G14" i="4"/>
  <c r="AH17" i="4"/>
  <c r="F17" i="4" s="1"/>
  <c r="AN17" i="4"/>
  <c r="H17" i="4" s="1"/>
  <c r="AT17" i="4"/>
  <c r="AZ17" i="4"/>
  <c r="L17" i="4" s="1"/>
  <c r="BF17" i="4"/>
  <c r="N17" i="4" s="1"/>
  <c r="BL17" i="4"/>
  <c r="P17" i="4" s="1"/>
  <c r="BR17" i="4"/>
  <c r="R17" i="4" s="1"/>
  <c r="BX17" i="4"/>
  <c r="T17" i="4" s="1"/>
  <c r="CD17" i="4"/>
  <c r="V17" i="4" s="1"/>
  <c r="AH23" i="4"/>
  <c r="F23" i="4" s="1"/>
  <c r="AN23" i="4"/>
  <c r="AP23" i="4"/>
  <c r="AS23" i="4"/>
  <c r="AX23" i="4"/>
  <c r="BA23" i="4"/>
  <c r="BD23" i="4"/>
  <c r="BG23" i="4"/>
  <c r="BJ23" i="4"/>
  <c r="BM23" i="4"/>
  <c r="BP23" i="4"/>
  <c r="BS23" i="4"/>
  <c r="BV23" i="4"/>
  <c r="BY23" i="4"/>
  <c r="CB23" i="4"/>
  <c r="AW23" i="4"/>
  <c r="G13" i="4"/>
  <c r="J17" i="4"/>
  <c r="G19" i="4"/>
  <c r="F13" i="4"/>
  <c r="H13" i="4"/>
  <c r="J13" i="4"/>
  <c r="L13" i="4"/>
  <c r="N13" i="4"/>
  <c r="AK17" i="4"/>
  <c r="G17" i="4" s="1"/>
  <c r="AQ17" i="4"/>
  <c r="I17" i="4" s="1"/>
  <c r="AW17" i="4"/>
  <c r="K17" i="4" s="1"/>
  <c r="BC17" i="4"/>
  <c r="M17" i="4" s="1"/>
  <c r="BI17" i="4"/>
  <c r="BI45" i="4" s="1"/>
  <c r="O45" i="4" s="1"/>
  <c r="BO17" i="4"/>
  <c r="BO45" i="4" s="1"/>
  <c r="Q45" i="4" s="1"/>
  <c r="BU17" i="4"/>
  <c r="BU45" i="4" s="1"/>
  <c r="S45" i="4" s="1"/>
  <c r="CA17" i="4"/>
  <c r="AO23" i="4"/>
  <c r="AR23" i="4"/>
  <c r="AY23" i="4"/>
  <c r="BB23" i="4"/>
  <c r="BE23" i="4"/>
  <c r="BH23" i="4"/>
  <c r="BK23" i="4"/>
  <c r="BN23" i="4"/>
  <c r="BQ23" i="4"/>
  <c r="BT23" i="4"/>
  <c r="BW23" i="4"/>
  <c r="BZ23" i="4"/>
  <c r="CC23" i="4"/>
  <c r="AK23" i="4"/>
  <c r="P13" i="4"/>
  <c r="R13" i="4"/>
  <c r="T13" i="4"/>
  <c r="V13" i="4"/>
  <c r="F14" i="4"/>
  <c r="H14" i="4"/>
  <c r="J14" i="4"/>
  <c r="L14" i="4"/>
  <c r="N14" i="4"/>
  <c r="P14" i="4"/>
  <c r="R14" i="4"/>
  <c r="T14" i="4"/>
  <c r="V14" i="4"/>
  <c r="F15" i="4"/>
  <c r="H15" i="4"/>
  <c r="J15" i="4"/>
  <c r="L15" i="4"/>
  <c r="N15" i="4"/>
  <c r="P15" i="4"/>
  <c r="R15" i="4"/>
  <c r="T15" i="4"/>
  <c r="V15" i="4"/>
  <c r="F16" i="4"/>
  <c r="H16" i="4"/>
  <c r="J16" i="4"/>
  <c r="L16" i="4"/>
  <c r="N16" i="4"/>
  <c r="P16" i="4"/>
  <c r="R16" i="4"/>
  <c r="T16" i="4"/>
  <c r="I14" i="4"/>
  <c r="K14" i="4"/>
  <c r="M14" i="4"/>
  <c r="O14" i="4"/>
  <c r="Q14" i="4"/>
  <c r="S14" i="4"/>
  <c r="U14" i="4"/>
  <c r="G15" i="4"/>
  <c r="I15" i="4"/>
  <c r="K15" i="4"/>
  <c r="M15" i="4"/>
  <c r="O15" i="4"/>
  <c r="Q15" i="4"/>
  <c r="S15" i="4"/>
  <c r="U15" i="4"/>
  <c r="G16" i="4"/>
  <c r="I16" i="4"/>
  <c r="K16" i="4"/>
  <c r="M16" i="4"/>
  <c r="O16" i="4"/>
  <c r="Q16" i="4"/>
  <c r="S16" i="4"/>
  <c r="U16" i="4"/>
  <c r="F22" i="4"/>
  <c r="F21" i="4"/>
  <c r="F20" i="4"/>
  <c r="H22" i="4"/>
  <c r="H21" i="4"/>
  <c r="H20" i="4"/>
  <c r="G20" i="4"/>
  <c r="G21" i="4"/>
  <c r="G22" i="4"/>
  <c r="CD19" i="3"/>
  <c r="AH16" i="3"/>
  <c r="AH15" i="3"/>
  <c r="AH14" i="3"/>
  <c r="AH13" i="3"/>
  <c r="V34" i="2"/>
  <c r="BL45" i="4" l="1"/>
  <c r="P45" i="4" s="1"/>
  <c r="U17" i="4"/>
  <c r="CA45" i="4"/>
  <c r="U45" i="4" s="1"/>
  <c r="Q17" i="4"/>
  <c r="BR45" i="4"/>
  <c r="R45" i="4" s="1"/>
  <c r="AQ23" i="4"/>
  <c r="I23" i="4" s="1"/>
  <c r="BX45" i="4"/>
  <c r="T45" i="4" s="1"/>
  <c r="CD23" i="4"/>
  <c r="V23" i="4" s="1"/>
  <c r="BR23" i="4"/>
  <c r="R23" i="4" s="1"/>
  <c r="BF23" i="4"/>
  <c r="N23" i="4" s="1"/>
  <c r="AT23" i="4"/>
  <c r="J23" i="4" s="1"/>
  <c r="H23" i="4"/>
  <c r="G23" i="4"/>
  <c r="BU23" i="4"/>
  <c r="BI23" i="4"/>
  <c r="O23" i="4" s="1"/>
  <c r="S17" i="4"/>
  <c r="O17" i="4"/>
  <c r="CA23" i="4"/>
  <c r="BO23" i="4"/>
  <c r="Q23" i="4" s="1"/>
  <c r="BC23" i="4"/>
  <c r="BX23" i="4"/>
  <c r="BL23" i="4"/>
  <c r="AZ23" i="4"/>
  <c r="L23" i="4" s="1"/>
  <c r="T22" i="4"/>
  <c r="T21" i="4"/>
  <c r="T20" i="4"/>
  <c r="T19" i="4"/>
  <c r="P22" i="4"/>
  <c r="P21" i="4"/>
  <c r="P20" i="4"/>
  <c r="P19" i="4"/>
  <c r="L22" i="4"/>
  <c r="L21" i="4"/>
  <c r="L20" i="4"/>
  <c r="L19" i="4"/>
  <c r="S22" i="4"/>
  <c r="S21" i="4"/>
  <c r="S20" i="4"/>
  <c r="S19" i="4"/>
  <c r="O22" i="4"/>
  <c r="O21" i="4"/>
  <c r="O20" i="4"/>
  <c r="O19" i="4"/>
  <c r="K23" i="4"/>
  <c r="K22" i="4"/>
  <c r="K21" i="4"/>
  <c r="K20" i="4"/>
  <c r="K19" i="4"/>
  <c r="V22" i="4"/>
  <c r="V21" i="4"/>
  <c r="V20" i="4"/>
  <c r="V19" i="4"/>
  <c r="R22" i="4"/>
  <c r="R21" i="4"/>
  <c r="R20" i="4"/>
  <c r="R19" i="4"/>
  <c r="N22" i="4"/>
  <c r="N21" i="4"/>
  <c r="N20" i="4"/>
  <c r="N19" i="4"/>
  <c r="U22" i="4"/>
  <c r="U21" i="4"/>
  <c r="U20" i="4"/>
  <c r="U19" i="4"/>
  <c r="Q22" i="4"/>
  <c r="Q21" i="4"/>
  <c r="Q20" i="4"/>
  <c r="Q19" i="4"/>
  <c r="M22" i="4"/>
  <c r="M21" i="4"/>
  <c r="M20" i="4"/>
  <c r="M19" i="4"/>
  <c r="I22" i="4"/>
  <c r="I21" i="4"/>
  <c r="I20" i="4"/>
  <c r="I19" i="4"/>
  <c r="J22" i="4"/>
  <c r="J21" i="4"/>
  <c r="J20" i="4"/>
  <c r="J19" i="4"/>
  <c r="T44" i="3"/>
  <c r="S44" i="3"/>
  <c r="R44" i="3"/>
  <c r="Q44" i="3"/>
  <c r="P44" i="3"/>
  <c r="O44" i="3"/>
  <c r="T43" i="3"/>
  <c r="S43" i="3"/>
  <c r="R43" i="3"/>
  <c r="Q43" i="3"/>
  <c r="P43" i="3"/>
  <c r="O43" i="3"/>
  <c r="AV23" i="3"/>
  <c r="AM23" i="3"/>
  <c r="AL23" i="3"/>
  <c r="AJ23" i="3"/>
  <c r="AI23" i="3"/>
  <c r="AG23" i="3"/>
  <c r="AF23" i="3"/>
  <c r="BT22" i="3"/>
  <c r="BS22" i="3"/>
  <c r="BQ22" i="3"/>
  <c r="BP22" i="3"/>
  <c r="BN22" i="3"/>
  <c r="BM22" i="3"/>
  <c r="BK22" i="3"/>
  <c r="BJ22" i="3"/>
  <c r="BH22" i="3"/>
  <c r="BG22" i="3"/>
  <c r="BE22" i="3"/>
  <c r="BD22" i="3"/>
  <c r="BB22" i="3"/>
  <c r="BA22" i="3"/>
  <c r="AY22" i="3"/>
  <c r="AX22" i="3"/>
  <c r="AU22" i="3"/>
  <c r="AW22" i="3" s="1"/>
  <c r="AS22" i="3"/>
  <c r="AR22" i="3"/>
  <c r="AP22" i="3"/>
  <c r="AO22" i="3"/>
  <c r="AQ22" i="3" s="1"/>
  <c r="BT21" i="3"/>
  <c r="BS21" i="3"/>
  <c r="BU21" i="3" s="1"/>
  <c r="BQ21" i="3"/>
  <c r="BP21" i="3"/>
  <c r="BR21" i="3" s="1"/>
  <c r="BN21" i="3"/>
  <c r="BM21" i="3"/>
  <c r="BO21" i="3" s="1"/>
  <c r="BK21" i="3"/>
  <c r="BJ21" i="3"/>
  <c r="BL21" i="3" s="1"/>
  <c r="BH21" i="3"/>
  <c r="BG21" i="3"/>
  <c r="BI21" i="3" s="1"/>
  <c r="BE21" i="3"/>
  <c r="BD21" i="3"/>
  <c r="BF21" i="3" s="1"/>
  <c r="BB21" i="3"/>
  <c r="BA21" i="3"/>
  <c r="BC21" i="3" s="1"/>
  <c r="AY21" i="3"/>
  <c r="AX21" i="3"/>
  <c r="AZ21" i="3" s="1"/>
  <c r="AU21" i="3"/>
  <c r="AW21" i="3" s="1"/>
  <c r="AS21" i="3"/>
  <c r="AR21" i="3"/>
  <c r="AP21" i="3"/>
  <c r="AO21" i="3"/>
  <c r="BT20" i="3"/>
  <c r="BS20" i="3"/>
  <c r="BQ20" i="3"/>
  <c r="BP20" i="3"/>
  <c r="BN20" i="3"/>
  <c r="BM20" i="3"/>
  <c r="BK20" i="3"/>
  <c r="BJ20" i="3"/>
  <c r="BH20" i="3"/>
  <c r="BG20" i="3"/>
  <c r="BE20" i="3"/>
  <c r="BD20" i="3"/>
  <c r="BB20" i="3"/>
  <c r="BA20" i="3"/>
  <c r="AY20" i="3"/>
  <c r="AX20" i="3"/>
  <c r="AU20" i="3"/>
  <c r="AW20" i="3" s="1"/>
  <c r="AS20" i="3"/>
  <c r="AR20" i="3"/>
  <c r="AP20" i="3"/>
  <c r="AO20" i="3"/>
  <c r="BT19" i="3"/>
  <c r="BS19" i="3"/>
  <c r="BQ19" i="3"/>
  <c r="BP19" i="3"/>
  <c r="BR19" i="3" s="1"/>
  <c r="BN19" i="3"/>
  <c r="BM19" i="3"/>
  <c r="BO19" i="3" s="1"/>
  <c r="BK19" i="3"/>
  <c r="BJ19" i="3"/>
  <c r="BL19" i="3" s="1"/>
  <c r="BH19" i="3"/>
  <c r="BG19" i="3"/>
  <c r="BI19" i="3" s="1"/>
  <c r="BE19" i="3"/>
  <c r="BD19" i="3"/>
  <c r="BF19" i="3" s="1"/>
  <c r="BB19" i="3"/>
  <c r="BA19" i="3"/>
  <c r="BC19" i="3" s="1"/>
  <c r="AY19" i="3"/>
  <c r="AX19" i="3"/>
  <c r="AZ19" i="3" s="1"/>
  <c r="AV19" i="3"/>
  <c r="AU19" i="3"/>
  <c r="AW19" i="3" s="1"/>
  <c r="AS19" i="3"/>
  <c r="AR19" i="3"/>
  <c r="AT19" i="3" s="1"/>
  <c r="AP19" i="3"/>
  <c r="AO19" i="3"/>
  <c r="AQ19" i="3" s="1"/>
  <c r="H19" i="3"/>
  <c r="G19" i="3"/>
  <c r="F19" i="3"/>
  <c r="CC17" i="3"/>
  <c r="V35" i="3" s="1"/>
  <c r="CB17" i="3"/>
  <c r="V29" i="3" s="1"/>
  <c r="BZ17" i="3"/>
  <c r="BY17" i="3"/>
  <c r="BW17" i="3"/>
  <c r="T35" i="3" s="1"/>
  <c r="BV17" i="3"/>
  <c r="T29" i="3" s="1"/>
  <c r="BT17" i="3"/>
  <c r="BS17" i="3"/>
  <c r="BQ17" i="3"/>
  <c r="R35" i="3" s="1"/>
  <c r="BP17" i="3"/>
  <c r="R29" i="3" s="1"/>
  <c r="BN17" i="3"/>
  <c r="BM17" i="3"/>
  <c r="BK17" i="3"/>
  <c r="P35" i="3" s="1"/>
  <c r="BJ17" i="3"/>
  <c r="P29" i="3" s="1"/>
  <c r="BH17" i="3"/>
  <c r="BG17" i="3"/>
  <c r="BE17" i="3"/>
  <c r="N35" i="3" s="1"/>
  <c r="BD17" i="3"/>
  <c r="N29" i="3" s="1"/>
  <c r="BB17" i="3"/>
  <c r="BA17" i="3"/>
  <c r="AY17" i="3"/>
  <c r="L35" i="3" s="1"/>
  <c r="AX17" i="3"/>
  <c r="L29" i="3" s="1"/>
  <c r="AV17" i="3"/>
  <c r="AU17" i="3"/>
  <c r="AS17" i="3"/>
  <c r="AR17" i="3"/>
  <c r="AP17" i="3"/>
  <c r="AO17" i="3"/>
  <c r="AM17" i="3"/>
  <c r="AL17" i="3"/>
  <c r="H29" i="3" s="1"/>
  <c r="AJ17" i="3"/>
  <c r="AI17" i="3"/>
  <c r="AG17" i="3"/>
  <c r="AF17" i="3"/>
  <c r="F29" i="3" s="1"/>
  <c r="U35" i="3"/>
  <c r="U29" i="3"/>
  <c r="S35" i="3"/>
  <c r="S29" i="3"/>
  <c r="Q35" i="3"/>
  <c r="Q29" i="3"/>
  <c r="O35" i="3"/>
  <c r="O29" i="3"/>
  <c r="M35" i="3"/>
  <c r="M29" i="3"/>
  <c r="K35" i="3"/>
  <c r="J29" i="3"/>
  <c r="V28" i="3"/>
  <c r="U34" i="3"/>
  <c r="U28" i="3"/>
  <c r="T34" i="3"/>
  <c r="T28" i="3"/>
  <c r="S34" i="3"/>
  <c r="S28" i="3"/>
  <c r="R34" i="3"/>
  <c r="R28" i="3"/>
  <c r="Q34" i="3"/>
  <c r="Q28" i="3"/>
  <c r="P34" i="3"/>
  <c r="P28" i="3"/>
  <c r="O34" i="3"/>
  <c r="O28" i="3"/>
  <c r="N34" i="3"/>
  <c r="N28" i="3"/>
  <c r="M34" i="3"/>
  <c r="M28" i="3"/>
  <c r="L34" i="3"/>
  <c r="L28" i="3"/>
  <c r="K34" i="3"/>
  <c r="J34" i="3"/>
  <c r="J28" i="3"/>
  <c r="I34" i="3"/>
  <c r="I28" i="3"/>
  <c r="H34" i="3"/>
  <c r="H28" i="3"/>
  <c r="G34" i="3"/>
  <c r="G28" i="3"/>
  <c r="F34" i="3"/>
  <c r="F28" i="3"/>
  <c r="V33" i="3"/>
  <c r="V27" i="3"/>
  <c r="U33" i="3"/>
  <c r="U27" i="3"/>
  <c r="T33" i="3"/>
  <c r="T27" i="3"/>
  <c r="S33" i="3"/>
  <c r="S27" i="3"/>
  <c r="R33" i="3"/>
  <c r="R27" i="3"/>
  <c r="Q33" i="3"/>
  <c r="Q27" i="3"/>
  <c r="P33" i="3"/>
  <c r="P27" i="3"/>
  <c r="O33" i="3"/>
  <c r="O27" i="3"/>
  <c r="N33" i="3"/>
  <c r="N27" i="3"/>
  <c r="M33" i="3"/>
  <c r="M27" i="3"/>
  <c r="L33" i="3"/>
  <c r="L27" i="3"/>
  <c r="K33" i="3"/>
  <c r="J33" i="3"/>
  <c r="J27" i="3"/>
  <c r="I33" i="3"/>
  <c r="I27" i="3"/>
  <c r="H33" i="3"/>
  <c r="H27" i="3"/>
  <c r="G33" i="3"/>
  <c r="G27" i="3"/>
  <c r="F33" i="3"/>
  <c r="F27" i="3"/>
  <c r="CD17" i="3"/>
  <c r="CD45" i="3" s="1"/>
  <c r="CA17" i="3"/>
  <c r="CA45" i="3" s="1"/>
  <c r="U45" i="3" s="1"/>
  <c r="BX17" i="3"/>
  <c r="BU17" i="3"/>
  <c r="BR17" i="3"/>
  <c r="BO17" i="3"/>
  <c r="BL17" i="3"/>
  <c r="BI17" i="3"/>
  <c r="BF17" i="3"/>
  <c r="BC17" i="3"/>
  <c r="AZ17" i="3"/>
  <c r="AW17" i="3"/>
  <c r="AT17" i="3"/>
  <c r="AQ17" i="3"/>
  <c r="AN17" i="3"/>
  <c r="AK17" i="3"/>
  <c r="AH17" i="3"/>
  <c r="V32" i="3"/>
  <c r="V26" i="3"/>
  <c r="U32" i="3"/>
  <c r="U26" i="3"/>
  <c r="T32" i="3"/>
  <c r="T26" i="3"/>
  <c r="S32" i="3"/>
  <c r="S26" i="3"/>
  <c r="R32" i="3"/>
  <c r="R26" i="3"/>
  <c r="Q32" i="3"/>
  <c r="Q26" i="3"/>
  <c r="P32" i="3"/>
  <c r="P26" i="3"/>
  <c r="O32" i="3"/>
  <c r="O26" i="3"/>
  <c r="N32" i="3"/>
  <c r="N26" i="3"/>
  <c r="M32" i="3"/>
  <c r="M26" i="3"/>
  <c r="L32" i="3"/>
  <c r="L26" i="3"/>
  <c r="K32" i="3"/>
  <c r="J32" i="3"/>
  <c r="J26" i="3"/>
  <c r="I32" i="3"/>
  <c r="I26" i="3"/>
  <c r="H32" i="3"/>
  <c r="H26" i="3"/>
  <c r="G32" i="3"/>
  <c r="G26" i="3"/>
  <c r="F32" i="3"/>
  <c r="F26" i="3"/>
  <c r="V13" i="3"/>
  <c r="T13" i="3"/>
  <c r="S13" i="3"/>
  <c r="R13" i="3"/>
  <c r="Q14" i="3"/>
  <c r="P13" i="3"/>
  <c r="O13" i="3"/>
  <c r="N13" i="3"/>
  <c r="M14" i="3"/>
  <c r="L13" i="3"/>
  <c r="AU13" i="3"/>
  <c r="AW13" i="3" s="1"/>
  <c r="J13" i="3"/>
  <c r="H13" i="3"/>
  <c r="F13" i="3"/>
  <c r="V31" i="3"/>
  <c r="V25" i="3"/>
  <c r="U13" i="3"/>
  <c r="U31" i="3"/>
  <c r="U25" i="3"/>
  <c r="T31" i="3"/>
  <c r="T25" i="3"/>
  <c r="S31" i="3"/>
  <c r="S25" i="3"/>
  <c r="R31" i="3"/>
  <c r="R25" i="3"/>
  <c r="Q31" i="3"/>
  <c r="Q25" i="3"/>
  <c r="P31" i="3"/>
  <c r="P25" i="3"/>
  <c r="O31" i="3"/>
  <c r="O25" i="3"/>
  <c r="N31" i="3"/>
  <c r="N25" i="3"/>
  <c r="M31" i="3"/>
  <c r="M25" i="3"/>
  <c r="L31" i="3"/>
  <c r="L25" i="3"/>
  <c r="K31" i="3"/>
  <c r="J31" i="3"/>
  <c r="J25" i="3"/>
  <c r="I31" i="3"/>
  <c r="I25" i="3"/>
  <c r="H31" i="3"/>
  <c r="H25" i="3"/>
  <c r="G31" i="3"/>
  <c r="G25" i="3"/>
  <c r="F31" i="3"/>
  <c r="F25" i="3"/>
  <c r="CD22" i="2"/>
  <c r="CA22" i="2"/>
  <c r="BX21" i="2"/>
  <c r="CD20" i="2"/>
  <c r="CA19" i="2"/>
  <c r="BX19" i="2"/>
  <c r="CD21" i="2"/>
  <c r="CD19" i="2"/>
  <c r="BX20" i="2"/>
  <c r="AN22" i="2"/>
  <c r="AN21" i="2"/>
  <c r="AN20" i="2"/>
  <c r="AN19" i="2"/>
  <c r="AK22" i="2"/>
  <c r="AK21" i="2"/>
  <c r="AK20" i="2"/>
  <c r="AK19" i="2"/>
  <c r="AH22" i="2"/>
  <c r="AH21" i="2"/>
  <c r="AH20" i="2"/>
  <c r="AH19" i="2"/>
  <c r="V45" i="3" l="1"/>
  <c r="CD45" i="5"/>
  <c r="V45" i="5" s="1"/>
  <c r="V20" i="2"/>
  <c r="V22" i="2"/>
  <c r="V19" i="2"/>
  <c r="CA20" i="2"/>
  <c r="CA21" i="2"/>
  <c r="BX22" i="2"/>
  <c r="S23" i="4"/>
  <c r="T23" i="4"/>
  <c r="M23" i="4"/>
  <c r="U23" i="4"/>
  <c r="P23" i="4"/>
  <c r="AZ20" i="3"/>
  <c r="BC20" i="3"/>
  <c r="BF20" i="3"/>
  <c r="BI20" i="3"/>
  <c r="BL20" i="3"/>
  <c r="AZ22" i="3"/>
  <c r="BC22" i="3"/>
  <c r="BF22" i="3"/>
  <c r="BI22" i="3"/>
  <c r="BL22" i="3"/>
  <c r="BO22" i="3"/>
  <c r="BR22" i="3"/>
  <c r="BU22" i="3"/>
  <c r="BU19" i="3"/>
  <c r="AQ20" i="3"/>
  <c r="AT20" i="3"/>
  <c r="AT22" i="3"/>
  <c r="BO20" i="3"/>
  <c r="BR20" i="3"/>
  <c r="BU20" i="3"/>
  <c r="AQ21" i="3"/>
  <c r="AT21" i="3"/>
  <c r="AH23" i="3"/>
  <c r="F23" i="3" s="1"/>
  <c r="AN23" i="3"/>
  <c r="H23" i="3" s="1"/>
  <c r="AP23" i="3"/>
  <c r="AS23" i="3"/>
  <c r="AX23" i="3"/>
  <c r="BD23" i="3"/>
  <c r="BG23" i="3"/>
  <c r="BJ23" i="3"/>
  <c r="BP23" i="3"/>
  <c r="BS23" i="3"/>
  <c r="BV23" i="3"/>
  <c r="CB23" i="3"/>
  <c r="AK23" i="3"/>
  <c r="G23" i="3" s="1"/>
  <c r="AO23" i="3"/>
  <c r="AR23" i="3"/>
  <c r="AW23" i="3"/>
  <c r="AY23" i="3"/>
  <c r="BB23" i="3"/>
  <c r="BE23" i="3"/>
  <c r="BH23" i="3"/>
  <c r="BK23" i="3"/>
  <c r="BN23" i="3"/>
  <c r="BQ23" i="3"/>
  <c r="BT23" i="3"/>
  <c r="BW23" i="3"/>
  <c r="BZ23" i="3"/>
  <c r="CC23" i="3"/>
  <c r="M13" i="3"/>
  <c r="Q13" i="3"/>
  <c r="G29" i="3"/>
  <c r="I29" i="3"/>
  <c r="M17" i="3"/>
  <c r="O17" i="3"/>
  <c r="Q17" i="3"/>
  <c r="S17" i="3"/>
  <c r="U17" i="3"/>
  <c r="O14" i="3"/>
  <c r="F35" i="3"/>
  <c r="G35" i="3"/>
  <c r="H35" i="3"/>
  <c r="I35" i="3"/>
  <c r="J35" i="3"/>
  <c r="G14" i="3"/>
  <c r="I14" i="3"/>
  <c r="K26" i="3"/>
  <c r="S14" i="3"/>
  <c r="U14" i="3"/>
  <c r="BL45" i="3"/>
  <c r="P45" i="3" s="1"/>
  <c r="BR45" i="3"/>
  <c r="R45" i="3" s="1"/>
  <c r="BX45" i="3"/>
  <c r="T45" i="3" s="1"/>
  <c r="G15" i="3"/>
  <c r="I15" i="3"/>
  <c r="K27" i="3"/>
  <c r="M15" i="3"/>
  <c r="O15" i="3"/>
  <c r="Q15" i="3"/>
  <c r="S15" i="3"/>
  <c r="U15" i="3"/>
  <c r="G16" i="3"/>
  <c r="I16" i="3"/>
  <c r="K28" i="3"/>
  <c r="M16" i="3"/>
  <c r="O16" i="3"/>
  <c r="Q16" i="3"/>
  <c r="S16" i="3"/>
  <c r="U16" i="3"/>
  <c r="G17" i="3"/>
  <c r="I17" i="3"/>
  <c r="K29" i="3"/>
  <c r="G13" i="3"/>
  <c r="I13" i="3"/>
  <c r="K25" i="3"/>
  <c r="F14" i="3"/>
  <c r="H14" i="3"/>
  <c r="J14" i="3"/>
  <c r="L14" i="3"/>
  <c r="N14" i="3"/>
  <c r="P14" i="3"/>
  <c r="R14" i="3"/>
  <c r="T14" i="3"/>
  <c r="V14" i="3"/>
  <c r="BI45" i="3"/>
  <c r="O45" i="3" s="1"/>
  <c r="BO45" i="3"/>
  <c r="Q45" i="3" s="1"/>
  <c r="BU45" i="3"/>
  <c r="S45" i="3" s="1"/>
  <c r="F15" i="3"/>
  <c r="H15" i="3"/>
  <c r="J15" i="3"/>
  <c r="L15" i="3"/>
  <c r="N15" i="3"/>
  <c r="P15" i="3"/>
  <c r="R15" i="3"/>
  <c r="T15" i="3"/>
  <c r="V15" i="3"/>
  <c r="F16" i="3"/>
  <c r="H16" i="3"/>
  <c r="J16" i="3"/>
  <c r="L16" i="3"/>
  <c r="N16" i="3"/>
  <c r="P16" i="3"/>
  <c r="R16" i="3"/>
  <c r="T16" i="3"/>
  <c r="V16" i="3"/>
  <c r="F17" i="3"/>
  <c r="H17" i="3"/>
  <c r="J17" i="3"/>
  <c r="L17" i="3"/>
  <c r="N17" i="3"/>
  <c r="P17" i="3"/>
  <c r="R17" i="3"/>
  <c r="T17" i="3"/>
  <c r="V17" i="3"/>
  <c r="F22" i="3"/>
  <c r="F21" i="3"/>
  <c r="F20" i="3"/>
  <c r="H22" i="3"/>
  <c r="H21" i="3"/>
  <c r="H20" i="3"/>
  <c r="G21" i="3"/>
  <c r="G22" i="3"/>
  <c r="AU23" i="3"/>
  <c r="BA23" i="3"/>
  <c r="BM23" i="3"/>
  <c r="BY23" i="3"/>
  <c r="G20" i="3"/>
  <c r="CD23" i="2"/>
  <c r="CD16" i="2"/>
  <c r="CD15" i="2"/>
  <c r="CD13" i="2"/>
  <c r="CA16" i="2"/>
  <c r="CA15" i="2"/>
  <c r="CA13" i="2"/>
  <c r="BX16" i="2"/>
  <c r="BX15" i="2"/>
  <c r="BX13" i="2"/>
  <c r="BU16" i="2"/>
  <c r="BU15" i="2"/>
  <c r="BU13" i="2"/>
  <c r="BR16" i="2"/>
  <c r="BR15" i="2"/>
  <c r="BR13" i="2"/>
  <c r="BO16" i="2"/>
  <c r="BO15" i="2"/>
  <c r="BO13" i="2"/>
  <c r="BL16" i="2"/>
  <c r="BL15" i="2"/>
  <c r="BL14" i="2"/>
  <c r="BL13" i="2"/>
  <c r="BI16" i="2"/>
  <c r="BI15" i="2"/>
  <c r="BI14" i="2"/>
  <c r="BI13" i="2"/>
  <c r="BF16" i="2"/>
  <c r="BF15" i="2"/>
  <c r="BF14" i="2"/>
  <c r="BF13" i="2"/>
  <c r="BC16" i="2"/>
  <c r="BC15" i="2"/>
  <c r="BC14" i="2"/>
  <c r="BC13" i="2"/>
  <c r="AZ16" i="2"/>
  <c r="AZ15" i="2"/>
  <c r="AZ14" i="2"/>
  <c r="AZ13" i="2"/>
  <c r="AW16" i="2"/>
  <c r="AW15" i="2"/>
  <c r="AW14" i="2"/>
  <c r="AT16" i="2"/>
  <c r="AT15" i="2"/>
  <c r="AT14" i="2"/>
  <c r="AT13" i="2"/>
  <c r="AQ16" i="2"/>
  <c r="AQ15" i="2"/>
  <c r="AQ14" i="2"/>
  <c r="AQ13" i="2"/>
  <c r="AN16" i="2"/>
  <c r="AN15" i="2"/>
  <c r="AN14" i="2"/>
  <c r="AN13" i="2"/>
  <c r="AK16" i="2"/>
  <c r="AK15" i="2"/>
  <c r="AK14" i="2"/>
  <c r="AK13" i="2"/>
  <c r="AH16" i="2"/>
  <c r="AH15" i="2"/>
  <c r="AH14" i="2"/>
  <c r="AH13" i="2"/>
  <c r="AF23" i="2"/>
  <c r="AF17" i="2"/>
  <c r="AQ23" i="3" l="1"/>
  <c r="I23" i="3" s="1"/>
  <c r="AT23" i="3"/>
  <c r="J23" i="3" s="1"/>
  <c r="BI23" i="3"/>
  <c r="O23" i="3" s="1"/>
  <c r="CD23" i="3"/>
  <c r="V23" i="3" s="1"/>
  <c r="BR23" i="3"/>
  <c r="R23" i="3" s="1"/>
  <c r="BF23" i="3"/>
  <c r="CA23" i="3"/>
  <c r="U23" i="3" s="1"/>
  <c r="BC23" i="3"/>
  <c r="BU23" i="3"/>
  <c r="S23" i="3" s="1"/>
  <c r="BX23" i="3"/>
  <c r="BL23" i="3"/>
  <c r="P23" i="3" s="1"/>
  <c r="AZ23" i="3"/>
  <c r="BO23" i="3"/>
  <c r="Q23" i="3" s="1"/>
  <c r="S20" i="3"/>
  <c r="S19" i="3"/>
  <c r="S22" i="3"/>
  <c r="S21" i="3"/>
  <c r="O20" i="3"/>
  <c r="O19" i="3"/>
  <c r="O22" i="3"/>
  <c r="O21" i="3"/>
  <c r="K20" i="3"/>
  <c r="K19" i="3"/>
  <c r="K23" i="3"/>
  <c r="K22" i="3"/>
  <c r="K21" i="3"/>
  <c r="T22" i="3"/>
  <c r="T21" i="3"/>
  <c r="T20" i="3"/>
  <c r="T19" i="3"/>
  <c r="P22" i="3"/>
  <c r="P21" i="3"/>
  <c r="P20" i="3"/>
  <c r="P19" i="3"/>
  <c r="J22" i="3"/>
  <c r="J21" i="3"/>
  <c r="J20" i="3"/>
  <c r="J19" i="3"/>
  <c r="K13" i="3"/>
  <c r="K17" i="3"/>
  <c r="K16" i="3"/>
  <c r="K15" i="3"/>
  <c r="K14" i="3"/>
  <c r="U20" i="3"/>
  <c r="U19" i="3"/>
  <c r="U22" i="3"/>
  <c r="U21" i="3"/>
  <c r="Q20" i="3"/>
  <c r="Q19" i="3"/>
  <c r="Q22" i="3"/>
  <c r="Q21" i="3"/>
  <c r="M20" i="3"/>
  <c r="M19" i="3"/>
  <c r="M22" i="3"/>
  <c r="M21" i="3"/>
  <c r="I20" i="3"/>
  <c r="I19" i="3"/>
  <c r="I22" i="3"/>
  <c r="I21" i="3"/>
  <c r="V22" i="3"/>
  <c r="V21" i="3"/>
  <c r="V20" i="3"/>
  <c r="V19" i="3"/>
  <c r="R22" i="3"/>
  <c r="R21" i="3"/>
  <c r="R20" i="3"/>
  <c r="R19" i="3"/>
  <c r="N22" i="3"/>
  <c r="N21" i="3"/>
  <c r="N20" i="3"/>
  <c r="N19" i="3"/>
  <c r="L22" i="3"/>
  <c r="L21" i="3"/>
  <c r="L20" i="3"/>
  <c r="L19" i="3"/>
  <c r="M25" i="2"/>
  <c r="M31" i="2"/>
  <c r="M26" i="2"/>
  <c r="M32" i="2"/>
  <c r="M27" i="2"/>
  <c r="M33" i="2"/>
  <c r="M28" i="2"/>
  <c r="M34" i="2"/>
  <c r="Q33" i="1"/>
  <c r="Q26" i="1"/>
  <c r="Q25" i="1"/>
  <c r="L23" i="3" l="1"/>
  <c r="N23" i="3"/>
  <c r="M23" i="3"/>
  <c r="T23" i="3"/>
  <c r="T44" i="2"/>
  <c r="S44" i="2"/>
  <c r="R44" i="2"/>
  <c r="Q44" i="2"/>
  <c r="P44" i="2"/>
  <c r="O44" i="2"/>
  <c r="T43" i="2"/>
  <c r="S43" i="2"/>
  <c r="R43" i="2"/>
  <c r="Q43" i="2"/>
  <c r="P43" i="2"/>
  <c r="O43" i="2"/>
  <c r="AM23" i="2"/>
  <c r="AL23" i="2"/>
  <c r="AJ23" i="2"/>
  <c r="AI23" i="2"/>
  <c r="AG23" i="2"/>
  <c r="BT22" i="2"/>
  <c r="BS22" i="2"/>
  <c r="BU22" i="2" s="1"/>
  <c r="BQ22" i="2"/>
  <c r="BP22" i="2"/>
  <c r="BR22" i="2" s="1"/>
  <c r="BN22" i="2"/>
  <c r="BM22" i="2"/>
  <c r="BO22" i="2" s="1"/>
  <c r="BK22" i="2"/>
  <c r="BJ22" i="2"/>
  <c r="BL22" i="2" s="1"/>
  <c r="BH22" i="2"/>
  <c r="BG22" i="2"/>
  <c r="BI22" i="2" s="1"/>
  <c r="BE22" i="2"/>
  <c r="BD22" i="2"/>
  <c r="BF22" i="2" s="1"/>
  <c r="BB22" i="2"/>
  <c r="BA22" i="2"/>
  <c r="BC22" i="2" s="1"/>
  <c r="AY22" i="2"/>
  <c r="AX22" i="2"/>
  <c r="AZ22" i="2" s="1"/>
  <c r="AV22" i="2"/>
  <c r="AU22" i="2"/>
  <c r="AS22" i="2"/>
  <c r="AR22" i="2"/>
  <c r="AT22" i="2" s="1"/>
  <c r="AP22" i="2"/>
  <c r="AO22" i="2"/>
  <c r="AQ22" i="2" s="1"/>
  <c r="BT21" i="2"/>
  <c r="BS21" i="2"/>
  <c r="BU21" i="2" s="1"/>
  <c r="BQ21" i="2"/>
  <c r="BP21" i="2"/>
  <c r="BR21" i="2" s="1"/>
  <c r="BN21" i="2"/>
  <c r="BM21" i="2"/>
  <c r="BO21" i="2" s="1"/>
  <c r="BK21" i="2"/>
  <c r="BJ21" i="2"/>
  <c r="BL21" i="2" s="1"/>
  <c r="BH21" i="2"/>
  <c r="BG21" i="2"/>
  <c r="BI21" i="2" s="1"/>
  <c r="BE21" i="2"/>
  <c r="BD21" i="2"/>
  <c r="BF21" i="2" s="1"/>
  <c r="BB21" i="2"/>
  <c r="BA21" i="2"/>
  <c r="BC21" i="2" s="1"/>
  <c r="AY21" i="2"/>
  <c r="AX21" i="2"/>
  <c r="AZ21" i="2" s="1"/>
  <c r="AV21" i="2"/>
  <c r="AW21" i="2" s="1"/>
  <c r="AS21" i="2"/>
  <c r="AR21" i="2"/>
  <c r="AP21" i="2"/>
  <c r="AO21" i="2"/>
  <c r="BT20" i="2"/>
  <c r="BS20" i="2"/>
  <c r="BQ20" i="2"/>
  <c r="BP20" i="2"/>
  <c r="BN20" i="2"/>
  <c r="BM20" i="2"/>
  <c r="BK20" i="2"/>
  <c r="BJ20" i="2"/>
  <c r="BH20" i="2"/>
  <c r="BG20" i="2"/>
  <c r="BE20" i="2"/>
  <c r="BD20" i="2"/>
  <c r="BB20" i="2"/>
  <c r="BA20" i="2"/>
  <c r="AY20" i="2"/>
  <c r="AX20" i="2"/>
  <c r="AV20" i="2"/>
  <c r="AW20" i="2" s="1"/>
  <c r="AS20" i="2"/>
  <c r="AR20" i="2"/>
  <c r="AT20" i="2" s="1"/>
  <c r="AP20" i="2"/>
  <c r="AO20" i="2"/>
  <c r="AQ20" i="2" s="1"/>
  <c r="BT19" i="2"/>
  <c r="BS19" i="2"/>
  <c r="BU19" i="2" s="1"/>
  <c r="BQ19" i="2"/>
  <c r="BP19" i="2"/>
  <c r="BR19" i="2" s="1"/>
  <c r="BN19" i="2"/>
  <c r="BM19" i="2"/>
  <c r="BO19" i="2" s="1"/>
  <c r="BK19" i="2"/>
  <c r="BJ19" i="2"/>
  <c r="BL19" i="2" s="1"/>
  <c r="BH19" i="2"/>
  <c r="BG19" i="2"/>
  <c r="BI19" i="2" s="1"/>
  <c r="BE19" i="2"/>
  <c r="BD19" i="2"/>
  <c r="BF19" i="2" s="1"/>
  <c r="BB19" i="2"/>
  <c r="BA19" i="2"/>
  <c r="BC19" i="2" s="1"/>
  <c r="AY19" i="2"/>
  <c r="AX19" i="2"/>
  <c r="AZ19" i="2" s="1"/>
  <c r="AV19" i="2"/>
  <c r="AU19" i="2"/>
  <c r="AW19" i="2" s="1"/>
  <c r="AS19" i="2"/>
  <c r="AR19" i="2"/>
  <c r="AT19" i="2" s="1"/>
  <c r="AP19" i="2"/>
  <c r="AO19" i="2"/>
  <c r="AQ19" i="2" s="1"/>
  <c r="H19" i="2"/>
  <c r="F19" i="2"/>
  <c r="BK17" i="2"/>
  <c r="P35" i="2" s="1"/>
  <c r="BJ17" i="2"/>
  <c r="BH17" i="2"/>
  <c r="BG17" i="2"/>
  <c r="O29" i="2" s="1"/>
  <c r="BE17" i="2"/>
  <c r="N35" i="2" s="1"/>
  <c r="BD17" i="2"/>
  <c r="N29" i="2" s="1"/>
  <c r="BB17" i="2"/>
  <c r="M35" i="2" s="1"/>
  <c r="BA17" i="2"/>
  <c r="M29" i="2" s="1"/>
  <c r="AY17" i="2"/>
  <c r="L35" i="2" s="1"/>
  <c r="AX17" i="2"/>
  <c r="AV17" i="2"/>
  <c r="AU17" i="2"/>
  <c r="AS17" i="2"/>
  <c r="J35" i="2" s="1"/>
  <c r="AR17" i="2"/>
  <c r="J29" i="2" s="1"/>
  <c r="AP17" i="2"/>
  <c r="AO17" i="2"/>
  <c r="I29" i="2" s="1"/>
  <c r="AM17" i="2"/>
  <c r="H35" i="2" s="1"/>
  <c r="AL17" i="2"/>
  <c r="AJ17" i="2"/>
  <c r="AI17" i="2"/>
  <c r="G29" i="2" s="1"/>
  <c r="AG17" i="2"/>
  <c r="F35" i="2" s="1"/>
  <c r="F29" i="2"/>
  <c r="V28" i="2"/>
  <c r="U34" i="2"/>
  <c r="U28" i="2"/>
  <c r="T34" i="2"/>
  <c r="T28" i="2"/>
  <c r="S34" i="2"/>
  <c r="S28" i="2"/>
  <c r="R34" i="2"/>
  <c r="R28" i="2"/>
  <c r="Q34" i="2"/>
  <c r="Q28" i="2"/>
  <c r="P34" i="2"/>
  <c r="P28" i="2"/>
  <c r="O34" i="2"/>
  <c r="O28" i="2"/>
  <c r="N34" i="2"/>
  <c r="N28" i="2"/>
  <c r="L34" i="2"/>
  <c r="L28" i="2"/>
  <c r="J34" i="2"/>
  <c r="J28" i="2"/>
  <c r="I34" i="2"/>
  <c r="I28" i="2"/>
  <c r="H34" i="2"/>
  <c r="H28" i="2"/>
  <c r="G34" i="2"/>
  <c r="G28" i="2"/>
  <c r="F34" i="2"/>
  <c r="F28" i="2"/>
  <c r="V33" i="2"/>
  <c r="V27" i="2"/>
  <c r="U33" i="2"/>
  <c r="U27" i="2"/>
  <c r="T33" i="2"/>
  <c r="T27" i="2"/>
  <c r="S33" i="2"/>
  <c r="S27" i="2"/>
  <c r="R33" i="2"/>
  <c r="R27" i="2"/>
  <c r="Q33" i="2"/>
  <c r="Q27" i="2"/>
  <c r="P33" i="2"/>
  <c r="P27" i="2"/>
  <c r="O33" i="2"/>
  <c r="O27" i="2"/>
  <c r="N33" i="2"/>
  <c r="N27" i="2"/>
  <c r="L33" i="2"/>
  <c r="L27" i="2"/>
  <c r="J33" i="2"/>
  <c r="J27" i="2"/>
  <c r="I33" i="2"/>
  <c r="I27" i="2"/>
  <c r="H33" i="2"/>
  <c r="H27" i="2"/>
  <c r="G33" i="2"/>
  <c r="G27" i="2"/>
  <c r="F33" i="2"/>
  <c r="F27" i="2"/>
  <c r="CC14" i="2"/>
  <c r="V32" i="2" s="1"/>
  <c r="CB14" i="2"/>
  <c r="BZ14" i="2"/>
  <c r="BZ17" i="2" s="1"/>
  <c r="BY14" i="2"/>
  <c r="BW14" i="2"/>
  <c r="T32" i="2" s="1"/>
  <c r="BV14" i="2"/>
  <c r="BT14" i="2"/>
  <c r="BT17" i="2" s="1"/>
  <c r="BS14" i="2"/>
  <c r="BQ14" i="2"/>
  <c r="R32" i="2" s="1"/>
  <c r="BP14" i="2"/>
  <c r="BN14" i="2"/>
  <c r="BN17" i="2" s="1"/>
  <c r="BM14" i="2"/>
  <c r="V26" i="2"/>
  <c r="T26" i="2"/>
  <c r="R26" i="2"/>
  <c r="P32" i="2"/>
  <c r="P26" i="2"/>
  <c r="O32" i="2"/>
  <c r="O26" i="2"/>
  <c r="N32" i="2"/>
  <c r="N26" i="2"/>
  <c r="L32" i="2"/>
  <c r="L26" i="2"/>
  <c r="J32" i="2"/>
  <c r="J26" i="2"/>
  <c r="I32" i="2"/>
  <c r="I26" i="2"/>
  <c r="H32" i="2"/>
  <c r="H26" i="2"/>
  <c r="G32" i="2"/>
  <c r="G26" i="2"/>
  <c r="F32" i="2"/>
  <c r="F26" i="2"/>
  <c r="V15" i="2"/>
  <c r="R15" i="2"/>
  <c r="N15" i="2"/>
  <c r="AV13" i="2"/>
  <c r="K31" i="2" s="1"/>
  <c r="AU13" i="2"/>
  <c r="AW13" i="2" s="1"/>
  <c r="F13" i="2"/>
  <c r="V13" i="2"/>
  <c r="V31" i="2"/>
  <c r="V25" i="2"/>
  <c r="U31" i="2"/>
  <c r="U25" i="2"/>
  <c r="T31" i="2"/>
  <c r="T25" i="2"/>
  <c r="S31" i="2"/>
  <c r="S25" i="2"/>
  <c r="R31" i="2"/>
  <c r="R25" i="2"/>
  <c r="Q31" i="2"/>
  <c r="Q25" i="2"/>
  <c r="P31" i="2"/>
  <c r="P25" i="2"/>
  <c r="O31" i="2"/>
  <c r="O25" i="2"/>
  <c r="N31" i="2"/>
  <c r="N25" i="2"/>
  <c r="L31" i="2"/>
  <c r="L25" i="2"/>
  <c r="J31" i="2"/>
  <c r="J25" i="2"/>
  <c r="I31" i="2"/>
  <c r="I25" i="2"/>
  <c r="H31" i="2"/>
  <c r="H25" i="2"/>
  <c r="G31" i="2"/>
  <c r="G25" i="2"/>
  <c r="F31" i="2"/>
  <c r="F25" i="2"/>
  <c r="AU23" i="2" l="1"/>
  <c r="AW22" i="2"/>
  <c r="Q32" i="2"/>
  <c r="S32" i="2"/>
  <c r="U32" i="2"/>
  <c r="Q26" i="2"/>
  <c r="BO14" i="2"/>
  <c r="BP17" i="2"/>
  <c r="BR14" i="2"/>
  <c r="S26" i="2"/>
  <c r="BU14" i="2"/>
  <c r="BU17" i="2" s="1"/>
  <c r="S17" i="2" s="1"/>
  <c r="BV17" i="2"/>
  <c r="BX14" i="2"/>
  <c r="U26" i="2"/>
  <c r="CA14" i="2"/>
  <c r="CB17" i="2"/>
  <c r="CD14" i="2"/>
  <c r="CD17" i="2" s="1"/>
  <c r="AZ20" i="2"/>
  <c r="BC20" i="2"/>
  <c r="BF20" i="2"/>
  <c r="BI20" i="2"/>
  <c r="BL20" i="2"/>
  <c r="BO20" i="2"/>
  <c r="BR20" i="2"/>
  <c r="BU20" i="2"/>
  <c r="AQ21" i="2"/>
  <c r="AT21" i="2"/>
  <c r="N13" i="2"/>
  <c r="AP23" i="2"/>
  <c r="R13" i="2"/>
  <c r="AH17" i="2"/>
  <c r="F17" i="2" s="1"/>
  <c r="AN17" i="2"/>
  <c r="H17" i="2" s="1"/>
  <c r="F20" i="2"/>
  <c r="AK23" i="2"/>
  <c r="G23" i="2" s="1"/>
  <c r="AO23" i="2"/>
  <c r="AR23" i="2"/>
  <c r="AY23" i="2"/>
  <c r="BB23" i="2"/>
  <c r="BE23" i="2"/>
  <c r="BH23" i="2"/>
  <c r="BK23" i="2"/>
  <c r="BN23" i="2"/>
  <c r="BQ23" i="2"/>
  <c r="BT23" i="2"/>
  <c r="BW23" i="2"/>
  <c r="BZ23" i="2"/>
  <c r="CC23" i="2"/>
  <c r="H29" i="2"/>
  <c r="L29" i="2"/>
  <c r="P29" i="2"/>
  <c r="H15" i="2"/>
  <c r="H16" i="2"/>
  <c r="J15" i="2"/>
  <c r="J13" i="2"/>
  <c r="K34" i="2"/>
  <c r="K32" i="2"/>
  <c r="H14" i="2"/>
  <c r="K33" i="2"/>
  <c r="H13" i="2"/>
  <c r="AS23" i="2"/>
  <c r="AX23" i="2"/>
  <c r="BD23" i="2"/>
  <c r="BG23" i="2"/>
  <c r="BJ23" i="2"/>
  <c r="BP23" i="2"/>
  <c r="BS23" i="2"/>
  <c r="BV23" i="2"/>
  <c r="AN23" i="2"/>
  <c r="H23" i="2" s="1"/>
  <c r="L16" i="2"/>
  <c r="P16" i="2"/>
  <c r="T16" i="2"/>
  <c r="N14" i="2"/>
  <c r="L15" i="2"/>
  <c r="T15" i="2"/>
  <c r="N16" i="2"/>
  <c r="V16" i="2"/>
  <c r="G19" i="2"/>
  <c r="G21" i="2"/>
  <c r="G22" i="2"/>
  <c r="L13" i="2"/>
  <c r="P13" i="2"/>
  <c r="T13" i="2"/>
  <c r="F16" i="2"/>
  <c r="J16" i="2"/>
  <c r="F14" i="2"/>
  <c r="J14" i="2"/>
  <c r="L14" i="2"/>
  <c r="P14" i="2"/>
  <c r="AK17" i="2"/>
  <c r="G17" i="2" s="1"/>
  <c r="AQ17" i="2"/>
  <c r="I17" i="2" s="1"/>
  <c r="AW17" i="2"/>
  <c r="BC17" i="2"/>
  <c r="M17" i="2" s="1"/>
  <c r="BI17" i="2"/>
  <c r="BI45" i="2" s="1"/>
  <c r="O45" i="2" s="1"/>
  <c r="F15" i="2"/>
  <c r="P15" i="2"/>
  <c r="R16" i="2"/>
  <c r="G35" i="2"/>
  <c r="I35" i="2"/>
  <c r="K35" i="2"/>
  <c r="O35" i="2"/>
  <c r="AH23" i="2"/>
  <c r="AT17" i="2"/>
  <c r="J17" i="2" s="1"/>
  <c r="AZ17" i="2"/>
  <c r="L17" i="2" s="1"/>
  <c r="BF17" i="2"/>
  <c r="N17" i="2" s="1"/>
  <c r="BL17" i="2"/>
  <c r="BL45" i="2" s="1"/>
  <c r="P45" i="2" s="1"/>
  <c r="R29" i="2"/>
  <c r="T29" i="2"/>
  <c r="V29" i="2"/>
  <c r="Q35" i="2"/>
  <c r="S35" i="2"/>
  <c r="U35" i="2"/>
  <c r="K13" i="2"/>
  <c r="BO17" i="2"/>
  <c r="Q17" i="2" s="1"/>
  <c r="CA17" i="2"/>
  <c r="U17" i="2" s="1"/>
  <c r="BM17" i="2"/>
  <c r="BQ17" i="2"/>
  <c r="BS17" i="2"/>
  <c r="BW17" i="2"/>
  <c r="BY17" i="2"/>
  <c r="CC17" i="2"/>
  <c r="V35" i="2" s="1"/>
  <c r="G13" i="2"/>
  <c r="I13" i="2"/>
  <c r="K25" i="2"/>
  <c r="M13" i="2"/>
  <c r="O13" i="2"/>
  <c r="Q13" i="2"/>
  <c r="S13" i="2"/>
  <c r="U13" i="2"/>
  <c r="G14" i="2"/>
  <c r="I14" i="2"/>
  <c r="K26" i="2"/>
  <c r="M14" i="2"/>
  <c r="O14" i="2"/>
  <c r="G15" i="2"/>
  <c r="I15" i="2"/>
  <c r="K27" i="2"/>
  <c r="M15" i="2"/>
  <c r="O15" i="2"/>
  <c r="Q15" i="2"/>
  <c r="S15" i="2"/>
  <c r="U15" i="2"/>
  <c r="G16" i="2"/>
  <c r="I16" i="2"/>
  <c r="K28" i="2"/>
  <c r="M16" i="2"/>
  <c r="O16" i="2"/>
  <c r="Q16" i="2"/>
  <c r="S16" i="2"/>
  <c r="U16" i="2"/>
  <c r="K29" i="2"/>
  <c r="F22" i="2"/>
  <c r="F21" i="2"/>
  <c r="H22" i="2"/>
  <c r="H21" i="2"/>
  <c r="H20" i="2"/>
  <c r="BA23" i="2"/>
  <c r="BM23" i="2"/>
  <c r="BY23" i="2"/>
  <c r="CB23" i="2"/>
  <c r="AW23" i="2"/>
  <c r="AV23" i="2"/>
  <c r="G20" i="2"/>
  <c r="BX23" i="2" l="1"/>
  <c r="T23" i="2" s="1"/>
  <c r="AZ23" i="2"/>
  <c r="L23" i="2" s="1"/>
  <c r="CA23" i="2"/>
  <c r="U23" i="2" s="1"/>
  <c r="BC23" i="2"/>
  <c r="M23" i="2" s="1"/>
  <c r="P17" i="2"/>
  <c r="BL23" i="2"/>
  <c r="P23" i="2" s="1"/>
  <c r="O17" i="2"/>
  <c r="BO23" i="2"/>
  <c r="Q23" i="2" s="1"/>
  <c r="Q14" i="2"/>
  <c r="F23" i="2"/>
  <c r="BU23" i="2"/>
  <c r="S23" i="2" s="1"/>
  <c r="BR23" i="2"/>
  <c r="R23" i="2" s="1"/>
  <c r="U14" i="2"/>
  <c r="U20" i="2"/>
  <c r="U19" i="2"/>
  <c r="U21" i="2"/>
  <c r="U22" i="2"/>
  <c r="Q20" i="2"/>
  <c r="Q19" i="2"/>
  <c r="Q21" i="2"/>
  <c r="Q22" i="2"/>
  <c r="M20" i="2"/>
  <c r="M19" i="2"/>
  <c r="M21" i="2"/>
  <c r="M22" i="2"/>
  <c r="I20" i="2"/>
  <c r="I19" i="2"/>
  <c r="I21" i="2"/>
  <c r="I22" i="2"/>
  <c r="BF23" i="2"/>
  <c r="T22" i="2"/>
  <c r="T21" i="2"/>
  <c r="T20" i="2"/>
  <c r="T19" i="2"/>
  <c r="L22" i="2"/>
  <c r="L21" i="2"/>
  <c r="L20" i="2"/>
  <c r="L19" i="2"/>
  <c r="BX17" i="2"/>
  <c r="T14" i="2"/>
  <c r="V21" i="2"/>
  <c r="N22" i="2"/>
  <c r="N21" i="2"/>
  <c r="N19" i="2"/>
  <c r="N20" i="2"/>
  <c r="U29" i="2"/>
  <c r="S29" i="2"/>
  <c r="Q29" i="2"/>
  <c r="BU45" i="2"/>
  <c r="S45" i="2" s="1"/>
  <c r="K17" i="2"/>
  <c r="K16" i="2"/>
  <c r="K15" i="2"/>
  <c r="K14" i="2"/>
  <c r="BI23" i="2"/>
  <c r="S20" i="2"/>
  <c r="S19" i="2"/>
  <c r="S22" i="2"/>
  <c r="S21" i="2"/>
  <c r="O20" i="2"/>
  <c r="O19" i="2"/>
  <c r="O22" i="2"/>
  <c r="O21" i="2"/>
  <c r="K23" i="2"/>
  <c r="K20" i="2"/>
  <c r="K19" i="2"/>
  <c r="K22" i="2"/>
  <c r="K21" i="2"/>
  <c r="AT23" i="2"/>
  <c r="J23" i="2" s="1"/>
  <c r="P22" i="2"/>
  <c r="P21" i="2"/>
  <c r="P20" i="2"/>
  <c r="P19" i="2"/>
  <c r="V14" i="2"/>
  <c r="BR17" i="2"/>
  <c r="R14" i="2"/>
  <c r="S14" i="2"/>
  <c r="AQ23" i="2"/>
  <c r="R22" i="2"/>
  <c r="R21" i="2"/>
  <c r="R19" i="2"/>
  <c r="R20" i="2"/>
  <c r="J22" i="2"/>
  <c r="J21" i="2"/>
  <c r="J19" i="2"/>
  <c r="J20" i="2"/>
  <c r="T35" i="2"/>
  <c r="R35" i="2"/>
  <c r="BO45" i="2"/>
  <c r="Q45" i="2" s="1"/>
  <c r="CD22" i="1"/>
  <c r="O44" i="1"/>
  <c r="AH13" i="1"/>
  <c r="F25" i="1"/>
  <c r="N23" i="2" l="1"/>
  <c r="I23" i="2"/>
  <c r="BR45" i="2"/>
  <c r="R45" i="2" s="1"/>
  <c r="R17" i="2"/>
  <c r="V17" i="2"/>
  <c r="O23" i="2"/>
  <c r="V23" i="2"/>
  <c r="BX45" i="2"/>
  <c r="T45" i="2" s="1"/>
  <c r="T17" i="2"/>
  <c r="AN22" i="1" l="1"/>
  <c r="AN21" i="1"/>
  <c r="AN20" i="1"/>
  <c r="AN19" i="1"/>
  <c r="H19" i="1" s="1"/>
  <c r="AK19" i="1"/>
  <c r="AK20" i="1"/>
  <c r="AK21" i="1"/>
  <c r="AK22" i="1"/>
  <c r="AX19" i="1"/>
  <c r="AX19" i="5" s="1"/>
  <c r="AX20" i="1"/>
  <c r="AX20" i="5" s="1"/>
  <c r="AX21" i="1"/>
  <c r="AX21" i="5" s="1"/>
  <c r="AX22" i="1"/>
  <c r="AX22" i="5" s="1"/>
  <c r="AH22" i="1"/>
  <c r="AH21" i="1"/>
  <c r="AH20" i="1"/>
  <c r="AH19" i="1"/>
  <c r="CD16" i="1"/>
  <c r="CD15" i="1"/>
  <c r="CD14" i="1"/>
  <c r="CD13" i="1"/>
  <c r="CA16" i="1"/>
  <c r="CA15" i="1"/>
  <c r="CA14" i="1"/>
  <c r="CA13" i="1"/>
  <c r="BX16" i="1"/>
  <c r="BX15" i="1"/>
  <c r="BX14" i="1"/>
  <c r="BX13" i="1"/>
  <c r="BU16" i="1"/>
  <c r="BU15" i="1"/>
  <c r="BU14" i="1"/>
  <c r="BU13" i="1"/>
  <c r="BR16" i="1"/>
  <c r="BR15" i="1"/>
  <c r="BR14" i="1"/>
  <c r="BR13" i="1"/>
  <c r="BO16" i="1"/>
  <c r="BO15" i="1"/>
  <c r="BO14" i="1"/>
  <c r="BO13" i="1"/>
  <c r="BL16" i="1"/>
  <c r="BL15" i="1"/>
  <c r="BL14" i="1"/>
  <c r="BL13" i="1"/>
  <c r="BI16" i="1"/>
  <c r="BI15" i="1"/>
  <c r="BI14" i="1"/>
  <c r="BI13" i="1"/>
  <c r="BF16" i="1"/>
  <c r="BF15" i="1"/>
  <c r="BF14" i="1"/>
  <c r="BF13" i="1"/>
  <c r="BC16" i="1"/>
  <c r="BC15" i="1"/>
  <c r="BC14" i="1"/>
  <c r="BC13" i="1"/>
  <c r="AZ16" i="1"/>
  <c r="AZ15" i="1"/>
  <c r="AZ14" i="1"/>
  <c r="AZ13" i="1"/>
  <c r="AW16" i="1"/>
  <c r="AW15" i="1"/>
  <c r="AW14" i="1"/>
  <c r="AT16" i="1"/>
  <c r="AT15" i="1"/>
  <c r="AT14" i="1"/>
  <c r="AQ16" i="1"/>
  <c r="AQ15" i="1"/>
  <c r="AQ14" i="1"/>
  <c r="AQ13" i="1"/>
  <c r="AN16" i="1"/>
  <c r="AN15" i="1"/>
  <c r="AN14" i="1"/>
  <c r="AN13" i="1"/>
  <c r="AK16" i="1"/>
  <c r="AK15" i="1"/>
  <c r="AK14" i="1"/>
  <c r="AK13" i="1"/>
  <c r="AH16" i="1"/>
  <c r="AH15" i="1"/>
  <c r="AH14" i="1"/>
  <c r="F14" i="1" s="1"/>
  <c r="AX23" i="5" l="1"/>
  <c r="V14" i="1"/>
  <c r="V16" i="1"/>
  <c r="V15" i="1"/>
  <c r="AH17" i="1"/>
  <c r="AH23" i="1"/>
  <c r="AI17" i="1" l="1"/>
  <c r="AS17" i="1"/>
  <c r="AR17" i="1"/>
  <c r="AP17" i="1"/>
  <c r="AO17" i="1"/>
  <c r="AM17" i="1"/>
  <c r="AL17" i="1"/>
  <c r="AJ17" i="1"/>
  <c r="AG17" i="1"/>
  <c r="AF17" i="1"/>
  <c r="V34" i="1" l="1"/>
  <c r="T44" i="1" l="1"/>
  <c r="S44" i="1"/>
  <c r="R44" i="1"/>
  <c r="Q44" i="1"/>
  <c r="P44" i="1"/>
  <c r="T43" i="1"/>
  <c r="S43" i="1"/>
  <c r="R43" i="1"/>
  <c r="Q43" i="1"/>
  <c r="P43" i="1"/>
  <c r="O43" i="1"/>
  <c r="AM23" i="1"/>
  <c r="AL23" i="1"/>
  <c r="AJ23" i="1"/>
  <c r="AI23" i="1"/>
  <c r="AG23" i="1"/>
  <c r="AF23" i="1"/>
  <c r="BT22" i="1"/>
  <c r="BT22" i="5" s="1"/>
  <c r="BS22" i="1"/>
  <c r="BS22" i="5" s="1"/>
  <c r="BQ22" i="1"/>
  <c r="BQ22" i="5" s="1"/>
  <c r="BP22" i="1"/>
  <c r="BP22" i="5" s="1"/>
  <c r="BN22" i="1"/>
  <c r="BN22" i="5" s="1"/>
  <c r="BM22" i="1"/>
  <c r="BM22" i="5" s="1"/>
  <c r="BK22" i="1"/>
  <c r="BK22" i="5" s="1"/>
  <c r="BJ22" i="1"/>
  <c r="BJ22" i="5" s="1"/>
  <c r="BH22" i="1"/>
  <c r="BH22" i="5" s="1"/>
  <c r="BG22" i="1"/>
  <c r="BG22" i="5" s="1"/>
  <c r="BE22" i="1"/>
  <c r="BE22" i="5" s="1"/>
  <c r="BD22" i="1"/>
  <c r="BD22" i="5" s="1"/>
  <c r="BB22" i="1"/>
  <c r="BB22" i="5" s="1"/>
  <c r="BA22" i="1"/>
  <c r="BA22" i="5" s="1"/>
  <c r="AY22" i="1"/>
  <c r="AV22" i="1"/>
  <c r="AV22" i="5" s="1"/>
  <c r="AU22" i="1"/>
  <c r="AU22" i="5" s="1"/>
  <c r="AS22" i="1"/>
  <c r="AS22" i="5" s="1"/>
  <c r="AR22" i="1"/>
  <c r="AR22" i="5" s="1"/>
  <c r="AP22" i="1"/>
  <c r="AP22" i="5" s="1"/>
  <c r="AO22" i="1"/>
  <c r="AO22" i="5" s="1"/>
  <c r="BT21" i="1"/>
  <c r="BT21" i="5" s="1"/>
  <c r="BS21" i="1"/>
  <c r="BS21" i="5" s="1"/>
  <c r="BQ21" i="1"/>
  <c r="BQ21" i="5" s="1"/>
  <c r="BP21" i="1"/>
  <c r="BP21" i="5" s="1"/>
  <c r="BN21" i="1"/>
  <c r="BN21" i="5" s="1"/>
  <c r="BM21" i="1"/>
  <c r="BM21" i="5" s="1"/>
  <c r="BK21" i="1"/>
  <c r="BK21" i="5" s="1"/>
  <c r="BJ21" i="1"/>
  <c r="BJ21" i="5" s="1"/>
  <c r="BH21" i="1"/>
  <c r="BH21" i="5" s="1"/>
  <c r="BG21" i="1"/>
  <c r="BG21" i="5" s="1"/>
  <c r="BE21" i="1"/>
  <c r="BE21" i="5" s="1"/>
  <c r="BD21" i="1"/>
  <c r="BD21" i="5" s="1"/>
  <c r="BB21" i="1"/>
  <c r="BB21" i="5" s="1"/>
  <c r="BA21" i="1"/>
  <c r="BA21" i="5" s="1"/>
  <c r="AY21" i="1"/>
  <c r="AV21" i="1"/>
  <c r="AV21" i="5" s="1"/>
  <c r="AU21" i="1"/>
  <c r="AU21" i="5" s="1"/>
  <c r="AS21" i="1"/>
  <c r="AS21" i="5" s="1"/>
  <c r="AR21" i="1"/>
  <c r="AR21" i="5" s="1"/>
  <c r="AP21" i="1"/>
  <c r="AP21" i="5" s="1"/>
  <c r="AO21" i="1"/>
  <c r="AO21" i="5" s="1"/>
  <c r="BT20" i="1"/>
  <c r="BT20" i="5" s="1"/>
  <c r="BS20" i="1"/>
  <c r="BS20" i="5" s="1"/>
  <c r="BQ20" i="1"/>
  <c r="BQ20" i="5" s="1"/>
  <c r="BP20" i="1"/>
  <c r="BP20" i="5" s="1"/>
  <c r="BN20" i="1"/>
  <c r="BN20" i="5" s="1"/>
  <c r="BM20" i="1"/>
  <c r="BM20" i="5" s="1"/>
  <c r="BK20" i="1"/>
  <c r="BK20" i="5" s="1"/>
  <c r="BJ20" i="1"/>
  <c r="BJ20" i="5" s="1"/>
  <c r="BH20" i="1"/>
  <c r="BH20" i="5" s="1"/>
  <c r="BG20" i="1"/>
  <c r="BG20" i="5" s="1"/>
  <c r="BE20" i="1"/>
  <c r="BE20" i="5" s="1"/>
  <c r="BD20" i="1"/>
  <c r="BD20" i="5" s="1"/>
  <c r="BB20" i="1"/>
  <c r="BB20" i="5" s="1"/>
  <c r="BA20" i="1"/>
  <c r="BA20" i="5" s="1"/>
  <c r="AY20" i="1"/>
  <c r="AV20" i="1"/>
  <c r="AV20" i="5" s="1"/>
  <c r="AU20" i="1"/>
  <c r="AU20" i="5" s="1"/>
  <c r="AS20" i="1"/>
  <c r="AS20" i="5" s="1"/>
  <c r="AR20" i="1"/>
  <c r="AR20" i="5" s="1"/>
  <c r="AP20" i="1"/>
  <c r="AP20" i="5" s="1"/>
  <c r="AO20" i="1"/>
  <c r="AO20" i="5" s="1"/>
  <c r="BT19" i="1"/>
  <c r="BT19" i="5" s="1"/>
  <c r="BS19" i="1"/>
  <c r="BS19" i="5" s="1"/>
  <c r="BQ19" i="1"/>
  <c r="BQ19" i="5" s="1"/>
  <c r="BP19" i="1"/>
  <c r="BP19" i="5" s="1"/>
  <c r="BN19" i="1"/>
  <c r="BN19" i="5" s="1"/>
  <c r="BM19" i="1"/>
  <c r="BM19" i="5" s="1"/>
  <c r="BK19" i="1"/>
  <c r="BK19" i="5" s="1"/>
  <c r="BJ19" i="1"/>
  <c r="BJ19" i="5" s="1"/>
  <c r="BH19" i="1"/>
  <c r="BH19" i="5" s="1"/>
  <c r="BG19" i="1"/>
  <c r="BG19" i="5" s="1"/>
  <c r="BE19" i="1"/>
  <c r="BE19" i="5" s="1"/>
  <c r="BD19" i="1"/>
  <c r="BD19" i="5" s="1"/>
  <c r="BB19" i="1"/>
  <c r="BB19" i="5" s="1"/>
  <c r="BA19" i="1"/>
  <c r="BA19" i="5" s="1"/>
  <c r="AY19" i="1"/>
  <c r="AV19" i="1"/>
  <c r="AV19" i="5" s="1"/>
  <c r="AU19" i="1"/>
  <c r="AU19" i="5" s="1"/>
  <c r="AS19" i="1"/>
  <c r="AS19" i="5" s="1"/>
  <c r="AR19" i="1"/>
  <c r="AR19" i="5" s="1"/>
  <c r="AP19" i="1"/>
  <c r="AP19" i="5" s="1"/>
  <c r="AO19" i="1"/>
  <c r="AO19" i="5" s="1"/>
  <c r="F19" i="1"/>
  <c r="CC17" i="1"/>
  <c r="CB17" i="1"/>
  <c r="V29" i="1" s="1"/>
  <c r="BZ17" i="1"/>
  <c r="U35" i="1" s="1"/>
  <c r="BY17" i="1"/>
  <c r="BW17" i="1"/>
  <c r="BV17" i="1"/>
  <c r="T29" i="1" s="1"/>
  <c r="BT17" i="1"/>
  <c r="S35" i="1" s="1"/>
  <c r="BS17" i="1"/>
  <c r="BQ17" i="1"/>
  <c r="BP17" i="1"/>
  <c r="R29" i="1" s="1"/>
  <c r="BN17" i="1"/>
  <c r="Q35" i="1" s="1"/>
  <c r="BM17" i="1"/>
  <c r="BK17" i="1"/>
  <c r="BJ17" i="1"/>
  <c r="P29" i="1" s="1"/>
  <c r="BH17" i="1"/>
  <c r="O35" i="1" s="1"/>
  <c r="BG17" i="1"/>
  <c r="BE17" i="1"/>
  <c r="BD17" i="1"/>
  <c r="N29" i="1" s="1"/>
  <c r="BB17" i="1"/>
  <c r="M35" i="1" s="1"/>
  <c r="BA17" i="1"/>
  <c r="AY17" i="1"/>
  <c r="AX17" i="1"/>
  <c r="L29" i="1" s="1"/>
  <c r="AV17" i="1"/>
  <c r="AU17" i="1"/>
  <c r="I35" i="1"/>
  <c r="H29" i="1"/>
  <c r="G35" i="1"/>
  <c r="F29" i="1"/>
  <c r="V35" i="1"/>
  <c r="U29" i="1"/>
  <c r="T35" i="1"/>
  <c r="S29" i="1"/>
  <c r="R35" i="1"/>
  <c r="Q29" i="1"/>
  <c r="P35" i="1"/>
  <c r="O29" i="1"/>
  <c r="N35" i="1"/>
  <c r="M29" i="1"/>
  <c r="L35" i="1"/>
  <c r="I29" i="1"/>
  <c r="H35" i="1"/>
  <c r="G29" i="1"/>
  <c r="F35" i="1"/>
  <c r="V28" i="1"/>
  <c r="U34" i="1"/>
  <c r="U28" i="1"/>
  <c r="T34" i="1"/>
  <c r="T28" i="1"/>
  <c r="S34" i="1"/>
  <c r="S28" i="1"/>
  <c r="R34" i="1"/>
  <c r="R28" i="1"/>
  <c r="Q34" i="1"/>
  <c r="Q28" i="1"/>
  <c r="P34" i="1"/>
  <c r="P28" i="1"/>
  <c r="O34" i="1"/>
  <c r="O28" i="1"/>
  <c r="N34" i="1"/>
  <c r="N28" i="1"/>
  <c r="M34" i="1"/>
  <c r="M28" i="1"/>
  <c r="L34" i="1"/>
  <c r="L28" i="1"/>
  <c r="I34" i="1"/>
  <c r="I28" i="1"/>
  <c r="H34" i="1"/>
  <c r="H28" i="1"/>
  <c r="G34" i="1"/>
  <c r="G28" i="1"/>
  <c r="F34" i="1"/>
  <c r="F28" i="1"/>
  <c r="AN17" i="1"/>
  <c r="V33" i="1"/>
  <c r="V27" i="1"/>
  <c r="U33" i="1"/>
  <c r="U27" i="1"/>
  <c r="T33" i="1"/>
  <c r="T27" i="1"/>
  <c r="S33" i="1"/>
  <c r="S27" i="1"/>
  <c r="R33" i="1"/>
  <c r="R27" i="1"/>
  <c r="Q27" i="1"/>
  <c r="P33" i="1"/>
  <c r="P27" i="1"/>
  <c r="O33" i="1"/>
  <c r="O27" i="1"/>
  <c r="N33" i="1"/>
  <c r="N27" i="1"/>
  <c r="M33" i="1"/>
  <c r="M27" i="1"/>
  <c r="L33" i="1"/>
  <c r="L27" i="1"/>
  <c r="I33" i="1"/>
  <c r="I27" i="1"/>
  <c r="H33" i="1"/>
  <c r="H27" i="1"/>
  <c r="G33" i="1"/>
  <c r="G27" i="1"/>
  <c r="F33" i="1"/>
  <c r="F27" i="1"/>
  <c r="CD17" i="1"/>
  <c r="V17" i="1" s="1"/>
  <c r="AK17" i="1"/>
  <c r="V32" i="1"/>
  <c r="V26" i="1"/>
  <c r="U32" i="1"/>
  <c r="U26" i="1"/>
  <c r="T32" i="1"/>
  <c r="T26" i="1"/>
  <c r="S32" i="1"/>
  <c r="S26" i="1"/>
  <c r="R32" i="1"/>
  <c r="R26" i="1"/>
  <c r="Q32" i="1"/>
  <c r="P32" i="1"/>
  <c r="P26" i="1"/>
  <c r="O32" i="1"/>
  <c r="O26" i="1"/>
  <c r="N32" i="1"/>
  <c r="N26" i="1"/>
  <c r="M32" i="1"/>
  <c r="M26" i="1"/>
  <c r="L32" i="1"/>
  <c r="L26" i="1"/>
  <c r="I32" i="1"/>
  <c r="I26" i="1"/>
  <c r="H32" i="1"/>
  <c r="H26" i="1"/>
  <c r="G32" i="1"/>
  <c r="G26" i="1"/>
  <c r="F32" i="1"/>
  <c r="F26" i="1"/>
  <c r="U13" i="1"/>
  <c r="M13" i="1"/>
  <c r="AV13" i="1"/>
  <c r="AV13" i="5" s="1"/>
  <c r="AU13" i="1"/>
  <c r="AU13" i="5" s="1"/>
  <c r="AS13" i="1"/>
  <c r="AS13" i="5" s="1"/>
  <c r="AR13" i="1"/>
  <c r="AR13" i="5" s="1"/>
  <c r="V31" i="1"/>
  <c r="V25" i="1"/>
  <c r="U31" i="1"/>
  <c r="U25" i="1"/>
  <c r="T31" i="1"/>
  <c r="T25" i="1"/>
  <c r="S31" i="1"/>
  <c r="S25" i="1"/>
  <c r="R31" i="1"/>
  <c r="R25" i="1"/>
  <c r="Q31" i="1"/>
  <c r="P31" i="1"/>
  <c r="P25" i="1"/>
  <c r="O31" i="1"/>
  <c r="O25" i="1"/>
  <c r="N31" i="1"/>
  <c r="N25" i="1"/>
  <c r="M31" i="1"/>
  <c r="M25" i="1"/>
  <c r="L31" i="1"/>
  <c r="L25" i="1"/>
  <c r="I31" i="1"/>
  <c r="I25" i="1"/>
  <c r="H31" i="1"/>
  <c r="H25" i="1"/>
  <c r="G31" i="1"/>
  <c r="G25" i="1"/>
  <c r="F31" i="1"/>
  <c r="BF19" i="5" l="1"/>
  <c r="N19" i="5" s="1"/>
  <c r="BL19" i="5"/>
  <c r="P19" i="5" s="1"/>
  <c r="BR19" i="5"/>
  <c r="R19" i="5" s="1"/>
  <c r="BB23" i="5"/>
  <c r="BH23" i="5"/>
  <c r="BN23" i="5"/>
  <c r="BT23" i="5"/>
  <c r="BC21" i="5"/>
  <c r="BI21" i="5"/>
  <c r="BO21" i="5"/>
  <c r="BU21" i="5"/>
  <c r="BC22" i="5"/>
  <c r="BI22" i="5"/>
  <c r="BO22" i="5"/>
  <c r="BU22" i="5"/>
  <c r="AT22" i="5"/>
  <c r="AP23" i="5"/>
  <c r="AV23" i="5"/>
  <c r="BC19" i="5"/>
  <c r="BI19" i="5"/>
  <c r="BO19" i="5"/>
  <c r="Q19" i="5" s="1"/>
  <c r="BU19" i="5"/>
  <c r="BF21" i="5"/>
  <c r="BL21" i="5"/>
  <c r="BR21" i="5"/>
  <c r="AQ22" i="5"/>
  <c r="AW22" i="5"/>
  <c r="J34" i="5"/>
  <c r="J32" i="5"/>
  <c r="J33" i="5"/>
  <c r="J31" i="5"/>
  <c r="J35" i="5"/>
  <c r="K28" i="5"/>
  <c r="AW13" i="5"/>
  <c r="K27" i="5"/>
  <c r="K26" i="5"/>
  <c r="K29" i="5"/>
  <c r="K25" i="5"/>
  <c r="AT19" i="5"/>
  <c r="AZ19" i="1"/>
  <c r="AY19" i="5"/>
  <c r="AZ19" i="5" s="1"/>
  <c r="BD23" i="5"/>
  <c r="BF20" i="5"/>
  <c r="BJ23" i="5"/>
  <c r="BL20" i="5"/>
  <c r="BP23" i="5"/>
  <c r="BR20" i="5"/>
  <c r="AQ21" i="5"/>
  <c r="AW21" i="5"/>
  <c r="AU23" i="5"/>
  <c r="AW20" i="5"/>
  <c r="AZ22" i="1"/>
  <c r="AY22" i="5"/>
  <c r="AZ22" i="5" s="1"/>
  <c r="K35" i="5"/>
  <c r="K31" i="5"/>
  <c r="K34" i="5"/>
  <c r="K33" i="5"/>
  <c r="K32" i="5"/>
  <c r="AR23" i="5"/>
  <c r="AT20" i="5"/>
  <c r="AZ20" i="1"/>
  <c r="AY20" i="5"/>
  <c r="BE23" i="5"/>
  <c r="BK23" i="5"/>
  <c r="BQ23" i="5"/>
  <c r="AO23" i="5"/>
  <c r="AQ20" i="5"/>
  <c r="J28" i="5"/>
  <c r="J26" i="5"/>
  <c r="J27" i="5"/>
  <c r="J25" i="5"/>
  <c r="AT13" i="5"/>
  <c r="J29" i="5"/>
  <c r="AQ19" i="5"/>
  <c r="AW19" i="5"/>
  <c r="AS23" i="5"/>
  <c r="BA23" i="5"/>
  <c r="BC20" i="5"/>
  <c r="BG23" i="5"/>
  <c r="BI20" i="5"/>
  <c r="BM23" i="5"/>
  <c r="BO20" i="5"/>
  <c r="BO23" i="5" s="1"/>
  <c r="BS23" i="5"/>
  <c r="BU20" i="5"/>
  <c r="AT21" i="5"/>
  <c r="AZ21" i="1"/>
  <c r="AY21" i="5"/>
  <c r="AZ21" i="5" s="1"/>
  <c r="BF22" i="5"/>
  <c r="BL22" i="5"/>
  <c r="BR22" i="5"/>
  <c r="AQ19" i="1"/>
  <c r="AT19" i="1"/>
  <c r="AW19" i="1"/>
  <c r="BC20" i="1"/>
  <c r="BF20" i="1"/>
  <c r="BI20" i="1"/>
  <c r="BL20" i="1"/>
  <c r="BO20" i="1"/>
  <c r="BR20" i="1"/>
  <c r="BU20" i="1"/>
  <c r="BX20" i="1"/>
  <c r="CA20" i="1"/>
  <c r="CD20" i="1"/>
  <c r="AQ21" i="1"/>
  <c r="AT21" i="1"/>
  <c r="AW21" i="1"/>
  <c r="BC22" i="1"/>
  <c r="BF22" i="1"/>
  <c r="BI22" i="1"/>
  <c r="BL22" i="1"/>
  <c r="BO22" i="1"/>
  <c r="BR22" i="1"/>
  <c r="BU22" i="1"/>
  <c r="BX22" i="1"/>
  <c r="CA22" i="1"/>
  <c r="J25" i="1"/>
  <c r="AT13" i="1"/>
  <c r="AW13" i="1"/>
  <c r="BC19" i="1"/>
  <c r="BF19" i="1"/>
  <c r="BI19" i="1"/>
  <c r="BL19" i="1"/>
  <c r="BO19" i="1"/>
  <c r="BR19" i="1"/>
  <c r="BU19" i="1"/>
  <c r="BX19" i="1"/>
  <c r="CA19" i="1"/>
  <c r="CD19" i="1"/>
  <c r="AQ20" i="1"/>
  <c r="AT20" i="1"/>
  <c r="AW20" i="1"/>
  <c r="CC23" i="1"/>
  <c r="BC21" i="1"/>
  <c r="BF21" i="1"/>
  <c r="BI21" i="1"/>
  <c r="BL21" i="1"/>
  <c r="BO21" i="1"/>
  <c r="BR21" i="1"/>
  <c r="BU21" i="1"/>
  <c r="BX21" i="1"/>
  <c r="CA21" i="1"/>
  <c r="CD21" i="1"/>
  <c r="AQ22" i="1"/>
  <c r="AT22" i="1"/>
  <c r="AW22" i="1"/>
  <c r="AQ17" i="1"/>
  <c r="BP23" i="1"/>
  <c r="AN23" i="1"/>
  <c r="H23" i="1" s="1"/>
  <c r="AP23" i="1"/>
  <c r="AV23" i="1"/>
  <c r="BB23" i="1"/>
  <c r="BH23" i="1"/>
  <c r="BN23" i="1"/>
  <c r="BT23" i="1"/>
  <c r="BZ23" i="1"/>
  <c r="J31" i="1"/>
  <c r="G17" i="1"/>
  <c r="I17" i="1"/>
  <c r="AW17" i="1"/>
  <c r="BC17" i="1"/>
  <c r="M17" i="1" s="1"/>
  <c r="BI17" i="1"/>
  <c r="BI45" i="1" s="1"/>
  <c r="O45" i="1" s="1"/>
  <c r="BO17" i="1"/>
  <c r="Q17" i="1" s="1"/>
  <c r="BU17" i="1"/>
  <c r="BU45" i="1" s="1"/>
  <c r="S45" i="1" s="1"/>
  <c r="CA17" i="1"/>
  <c r="K25" i="1"/>
  <c r="G16" i="1"/>
  <c r="M16" i="1"/>
  <c r="Q16" i="1"/>
  <c r="U16" i="1"/>
  <c r="H17" i="1"/>
  <c r="AT17" i="1"/>
  <c r="AZ17" i="1"/>
  <c r="BF17" i="1"/>
  <c r="BL17" i="1"/>
  <c r="BL45" i="1" s="1"/>
  <c r="P45" i="1" s="1"/>
  <c r="BR17" i="1"/>
  <c r="BR45" i="1" s="1"/>
  <c r="R45" i="1" s="1"/>
  <c r="BX17" i="1"/>
  <c r="BX45" i="1" s="1"/>
  <c r="AK23" i="1"/>
  <c r="AO23" i="1"/>
  <c r="G13" i="1"/>
  <c r="Q13" i="1"/>
  <c r="J32" i="1"/>
  <c r="O14" i="1"/>
  <c r="J33" i="1"/>
  <c r="O15" i="1"/>
  <c r="J34" i="1"/>
  <c r="O16" i="1"/>
  <c r="J35" i="1"/>
  <c r="I13" i="1"/>
  <c r="O13" i="1"/>
  <c r="S13" i="1"/>
  <c r="K26" i="1"/>
  <c r="K27" i="1"/>
  <c r="K28" i="1"/>
  <c r="K29" i="1"/>
  <c r="AR23" i="1"/>
  <c r="AX23" i="1"/>
  <c r="BD23" i="1"/>
  <c r="BJ23" i="1"/>
  <c r="BV23" i="1"/>
  <c r="CB23" i="1"/>
  <c r="I14" i="1"/>
  <c r="S14" i="1"/>
  <c r="I15" i="1"/>
  <c r="S15" i="1"/>
  <c r="I16" i="1"/>
  <c r="S16" i="1"/>
  <c r="H22" i="1"/>
  <c r="G14" i="1"/>
  <c r="M14" i="1"/>
  <c r="Q14" i="1"/>
  <c r="U14" i="1"/>
  <c r="G15" i="1"/>
  <c r="M15" i="1"/>
  <c r="Q15" i="1"/>
  <c r="U15" i="1"/>
  <c r="F22" i="1"/>
  <c r="G22" i="1"/>
  <c r="G21" i="1"/>
  <c r="F13" i="1"/>
  <c r="H13" i="1"/>
  <c r="K31" i="1"/>
  <c r="L13" i="1"/>
  <c r="N13" i="1"/>
  <c r="P13" i="1"/>
  <c r="R13" i="1"/>
  <c r="T13" i="1"/>
  <c r="V13" i="1"/>
  <c r="H14" i="1"/>
  <c r="J26" i="1"/>
  <c r="K32" i="1"/>
  <c r="L14" i="1"/>
  <c r="N14" i="1"/>
  <c r="P14" i="1"/>
  <c r="R14" i="1"/>
  <c r="T14" i="1"/>
  <c r="F15" i="1"/>
  <c r="H15" i="1"/>
  <c r="J27" i="1"/>
  <c r="K33" i="1"/>
  <c r="L15" i="1"/>
  <c r="N15" i="1"/>
  <c r="P15" i="1"/>
  <c r="R15" i="1"/>
  <c r="T15" i="1"/>
  <c r="F16" i="1"/>
  <c r="H16" i="1"/>
  <c r="J28" i="1"/>
  <c r="K34" i="1"/>
  <c r="L16" i="1"/>
  <c r="N16" i="1"/>
  <c r="P16" i="1"/>
  <c r="R16" i="1"/>
  <c r="T16" i="1"/>
  <c r="J29" i="1"/>
  <c r="K35" i="1"/>
  <c r="G19" i="1"/>
  <c r="G20" i="1"/>
  <c r="F20" i="1"/>
  <c r="H20" i="1"/>
  <c r="AS23" i="1"/>
  <c r="AU23" i="1"/>
  <c r="AY23" i="1"/>
  <c r="BA23" i="1"/>
  <c r="BE23" i="1"/>
  <c r="BG23" i="1"/>
  <c r="BK23" i="1"/>
  <c r="BM23" i="1"/>
  <c r="BQ23" i="1"/>
  <c r="BS23" i="1"/>
  <c r="BW23" i="1"/>
  <c r="BY23" i="1"/>
  <c r="F21" i="1"/>
  <c r="H21" i="1"/>
  <c r="N22" i="5" l="1"/>
  <c r="Q21" i="5"/>
  <c r="BC23" i="5"/>
  <c r="M23" i="5" s="1"/>
  <c r="R22" i="5"/>
  <c r="O21" i="5"/>
  <c r="S21" i="5"/>
  <c r="R21" i="5"/>
  <c r="P21" i="5"/>
  <c r="N21" i="5"/>
  <c r="M21" i="5"/>
  <c r="P22" i="5"/>
  <c r="S22" i="5"/>
  <c r="M22" i="5"/>
  <c r="Q22" i="5"/>
  <c r="BU23" i="5"/>
  <c r="S23" i="5" s="1"/>
  <c r="BI23" i="5"/>
  <c r="O23" i="5" s="1"/>
  <c r="Q23" i="5"/>
  <c r="O22" i="5"/>
  <c r="AW23" i="5"/>
  <c r="K23" i="5" s="1"/>
  <c r="O19" i="5"/>
  <c r="S19" i="5"/>
  <c r="M19" i="5"/>
  <c r="K22" i="5"/>
  <c r="AQ23" i="5"/>
  <c r="I23" i="5" s="1"/>
  <c r="BF23" i="5"/>
  <c r="N23" i="5" s="1"/>
  <c r="BR23" i="5"/>
  <c r="R23" i="5" s="1"/>
  <c r="J22" i="5"/>
  <c r="J21" i="5"/>
  <c r="J19" i="5"/>
  <c r="J20" i="5"/>
  <c r="R20" i="5"/>
  <c r="AY23" i="5"/>
  <c r="AZ20" i="5"/>
  <c r="AZ23" i="5" s="1"/>
  <c r="L23" i="5" s="1"/>
  <c r="S20" i="5"/>
  <c r="Q20" i="5"/>
  <c r="O20" i="5"/>
  <c r="M20" i="5"/>
  <c r="K14" i="5"/>
  <c r="K17" i="5"/>
  <c r="K13" i="5"/>
  <c r="K16" i="5"/>
  <c r="K15" i="5"/>
  <c r="CA45" i="5"/>
  <c r="U45" i="5" s="1"/>
  <c r="J13" i="5"/>
  <c r="J14" i="5"/>
  <c r="J16" i="5"/>
  <c r="J15" i="5"/>
  <c r="J17" i="5"/>
  <c r="N20" i="5"/>
  <c r="BL23" i="5"/>
  <c r="P23" i="5" s="1"/>
  <c r="L19" i="5"/>
  <c r="L22" i="5"/>
  <c r="L21" i="5"/>
  <c r="I21" i="5"/>
  <c r="I22" i="5"/>
  <c r="I19" i="5"/>
  <c r="I20" i="5"/>
  <c r="K19" i="5"/>
  <c r="K21" i="5"/>
  <c r="K20" i="5"/>
  <c r="AT23" i="5"/>
  <c r="J23" i="5" s="1"/>
  <c r="P20" i="5"/>
  <c r="U17" i="1"/>
  <c r="V20" i="1"/>
  <c r="V22" i="1"/>
  <c r="V19" i="1"/>
  <c r="V21" i="1"/>
  <c r="T45" i="1"/>
  <c r="K17" i="1"/>
  <c r="R17" i="1"/>
  <c r="BU23" i="1"/>
  <c r="S23" i="1" s="1"/>
  <c r="AW23" i="1"/>
  <c r="K23" i="1" s="1"/>
  <c r="BL23" i="1"/>
  <c r="P23" i="1" s="1"/>
  <c r="K14" i="1"/>
  <c r="BO45" i="1"/>
  <c r="Q45" i="1" s="1"/>
  <c r="F23" i="1"/>
  <c r="BX23" i="1"/>
  <c r="T23" i="1" s="1"/>
  <c r="AZ23" i="1"/>
  <c r="L23" i="1" s="1"/>
  <c r="K16" i="1"/>
  <c r="CA23" i="1"/>
  <c r="U23" i="1" s="1"/>
  <c r="BC23" i="1"/>
  <c r="N17" i="1"/>
  <c r="F17" i="1"/>
  <c r="K13" i="1"/>
  <c r="K15" i="1"/>
  <c r="S17" i="1"/>
  <c r="O17" i="1"/>
  <c r="G23" i="1"/>
  <c r="T17" i="1"/>
  <c r="P17" i="1"/>
  <c r="L17" i="1"/>
  <c r="AQ23" i="1"/>
  <c r="BO23" i="1"/>
  <c r="BI23" i="1"/>
  <c r="BR23" i="1"/>
  <c r="AT23" i="1"/>
  <c r="T21" i="1"/>
  <c r="T20" i="1"/>
  <c r="T19" i="1"/>
  <c r="T22" i="1"/>
  <c r="P21" i="1"/>
  <c r="P20" i="1"/>
  <c r="P19" i="1"/>
  <c r="P22" i="1"/>
  <c r="L21" i="1"/>
  <c r="L20" i="1"/>
  <c r="L19" i="1"/>
  <c r="L22" i="1"/>
  <c r="S22" i="1"/>
  <c r="S21" i="1"/>
  <c r="S20" i="1"/>
  <c r="S19" i="1"/>
  <c r="K22" i="1"/>
  <c r="K21" i="1"/>
  <c r="K20" i="1"/>
  <c r="K19" i="1"/>
  <c r="Q22" i="1"/>
  <c r="Q20" i="1"/>
  <c r="Q19" i="1"/>
  <c r="Q21" i="1"/>
  <c r="I22" i="1"/>
  <c r="I20" i="1"/>
  <c r="I19" i="1"/>
  <c r="I21" i="1"/>
  <c r="R21" i="1"/>
  <c r="R20" i="1"/>
  <c r="R19" i="1"/>
  <c r="R22" i="1"/>
  <c r="N21" i="1"/>
  <c r="N20" i="1"/>
  <c r="N19" i="1"/>
  <c r="N22" i="1"/>
  <c r="J21" i="1"/>
  <c r="J20" i="1"/>
  <c r="J19" i="1"/>
  <c r="J22" i="1"/>
  <c r="O22" i="1"/>
  <c r="O21" i="1"/>
  <c r="O20" i="1"/>
  <c r="O19" i="1"/>
  <c r="CD23" i="1"/>
  <c r="V23" i="1" s="1"/>
  <c r="BF23" i="1"/>
  <c r="U22" i="1"/>
  <c r="U20" i="1"/>
  <c r="U19" i="1"/>
  <c r="U21" i="1"/>
  <c r="M22" i="1"/>
  <c r="M20" i="1"/>
  <c r="M19" i="1"/>
  <c r="M21" i="1"/>
  <c r="J17" i="1"/>
  <c r="J16" i="1"/>
  <c r="J15" i="1"/>
  <c r="J14" i="1"/>
  <c r="J13" i="1"/>
  <c r="L20" i="5" l="1"/>
  <c r="U45" i="1"/>
  <c r="M23" i="1"/>
  <c r="O23" i="1"/>
  <c r="I23" i="1"/>
  <c r="Q23" i="1"/>
  <c r="J23" i="1"/>
  <c r="R23" i="1"/>
  <c r="N23" i="1"/>
</calcChain>
</file>

<file path=xl/sharedStrings.xml><?xml version="1.0" encoding="utf-8"?>
<sst xmlns="http://schemas.openxmlformats.org/spreadsheetml/2006/main" count="1502" uniqueCount="110">
  <si>
    <t xml:space="preserve"> </t>
  </si>
  <si>
    <t>as of Fall 1997</t>
  </si>
  <si>
    <t>as of Fall 1998</t>
  </si>
  <si>
    <t>as of Fall 1999</t>
  </si>
  <si>
    <t>as of Fall 2000</t>
  </si>
  <si>
    <t>as of Fall 2001</t>
  </si>
  <si>
    <t>as of Fall 2002</t>
  </si>
  <si>
    <t>as of Fall 2003</t>
  </si>
  <si>
    <t>as of Fall 2004</t>
  </si>
  <si>
    <t>as of Fall 2005</t>
  </si>
  <si>
    <t>as of Fall 2006</t>
  </si>
  <si>
    <t>as of Fall 2007</t>
  </si>
  <si>
    <t>as of Fall 2008</t>
  </si>
  <si>
    <t>as of Fall 2009</t>
  </si>
  <si>
    <t>as of Fall 2010</t>
  </si>
  <si>
    <t>as of Fall 2011</t>
  </si>
  <si>
    <t>as of Fall 2012</t>
  </si>
  <si>
    <t>as of Fall 2013</t>
  </si>
  <si>
    <t>Total</t>
  </si>
  <si>
    <t>All Students</t>
  </si>
  <si>
    <t>TABLE 1.32</t>
  </si>
  <si>
    <t>UNIVERSITY OF MISSOURI-COLUMBIA</t>
  </si>
  <si>
    <t>GRADUATION RATES OF DEGREE-SEEKING UNDERGRADUATES</t>
  </si>
  <si>
    <t>8-YEAR GRADUATION RATE</t>
  </si>
  <si>
    <t>6-YEAR GRADUATION RATE</t>
  </si>
  <si>
    <t>Men</t>
  </si>
  <si>
    <t>Women</t>
  </si>
  <si>
    <t>Fall 2007 Cohort</t>
  </si>
  <si>
    <t>Fall 2013</t>
  </si>
  <si>
    <t>Fall 2012</t>
  </si>
  <si>
    <t>Fall 2011</t>
  </si>
  <si>
    <t>Fall 2010</t>
  </si>
  <si>
    <t>Fall 2009</t>
  </si>
  <si>
    <t>Fall 2008</t>
  </si>
  <si>
    <t>Fall 2007</t>
  </si>
  <si>
    <t>Cohort as of</t>
  </si>
  <si>
    <t>Fall 2006</t>
  </si>
  <si>
    <t>Fall 2005</t>
  </si>
  <si>
    <t>Fall 2004</t>
  </si>
  <si>
    <t>Fall 2003</t>
  </si>
  <si>
    <t>Fall 2002</t>
  </si>
  <si>
    <t>Fall 1991 Cohort</t>
  </si>
  <si>
    <t>Fall 1992 Cohort</t>
  </si>
  <si>
    <t>Fall 1993 Cohort</t>
  </si>
  <si>
    <t>Fall 1994 Cohort</t>
  </si>
  <si>
    <t>Fall 1995 Cohort</t>
  </si>
  <si>
    <t>Fall 1996 Cohort</t>
  </si>
  <si>
    <t>Fall 1997 Cohort</t>
  </si>
  <si>
    <t>Fall 1998 Cohort</t>
  </si>
  <si>
    <t>Fall 1999 Cohort</t>
  </si>
  <si>
    <t>Fall 2000 Cohort</t>
  </si>
  <si>
    <t>Fall 2001 Cohort</t>
  </si>
  <si>
    <t>Fall 2002 Cohort</t>
  </si>
  <si>
    <t>Fall 2003 Cohort</t>
  </si>
  <si>
    <t>Fall 2004 Cohort</t>
  </si>
  <si>
    <t>Fall 2005 Cohort</t>
  </si>
  <si>
    <t>Fall 2006 Cohort</t>
  </si>
  <si>
    <t>MU</t>
  </si>
  <si>
    <t>Raw Data</t>
  </si>
  <si>
    <t>Graduated</t>
  </si>
  <si>
    <t>within 4 years</t>
  </si>
  <si>
    <t>in the 5th year</t>
  </si>
  <si>
    <t>in the 6th year</t>
  </si>
  <si>
    <t>in the 7th or 8th year</t>
  </si>
  <si>
    <t>Initial Cohort (2nd adjustment)</t>
  </si>
  <si>
    <t>Initial Cohort (adjusted)</t>
  </si>
  <si>
    <t>Source: IPEDS GRS, Graduation Rate Survey</t>
  </si>
  <si>
    <t>Source: IPEDS GR200, Graduation Rates 200 Survey</t>
  </si>
  <si>
    <t>Source: IPEDS SS09, Spring Supplement 2009 Survey</t>
  </si>
  <si>
    <t>Fall 2001</t>
  </si>
  <si>
    <t>Fall 2000</t>
  </si>
  <si>
    <t>Fall 1999</t>
  </si>
  <si>
    <t>Fall 1998</t>
  </si>
  <si>
    <t>Fall 1997</t>
  </si>
  <si>
    <t>Fall 1991</t>
  </si>
  <si>
    <t>Fall 1992</t>
  </si>
  <si>
    <t>Fall 1993</t>
  </si>
  <si>
    <t>Fall 1994</t>
  </si>
  <si>
    <t>Fall 1995</t>
  </si>
  <si>
    <t>Fall 1996</t>
  </si>
  <si>
    <t>UNIVERSITY OF MISSOURI-KANSAS CITY</t>
  </si>
  <si>
    <t>Note: Starting with Fall 2002 cohort, pre-Pharmacy program students are included in the adjusted cohort and</t>
  </si>
  <si>
    <t xml:space="preserve">           graduation rates.</t>
  </si>
  <si>
    <t>UMKC</t>
  </si>
  <si>
    <t>MISSOURI UNIVERSITY OF SCIENCE AND TECHNOLOGY</t>
  </si>
  <si>
    <t>S&amp;T</t>
  </si>
  <si>
    <t>UNIVERSITY OF MISSOURI-ST. LOUIS</t>
  </si>
  <si>
    <t>UMSL</t>
  </si>
  <si>
    <t>Six-year Sum</t>
  </si>
  <si>
    <t>Eight-year Sum</t>
  </si>
  <si>
    <t>Fall 2014</t>
  </si>
  <si>
    <t>Fall 2008 Cohort</t>
  </si>
  <si>
    <t>as of Fall 2014</t>
  </si>
  <si>
    <t>UNIVERSITY OF MISSOURI SYSTEM</t>
  </si>
  <si>
    <t>UM System total</t>
  </si>
  <si>
    <t>Note: Starting with Fall 2002 cohort, UMKC pre-Pharmacy program students are included in the adjusted cohort and</t>
  </si>
  <si>
    <t>Black, Hispanic, and American Indian</t>
  </si>
  <si>
    <t>Fall 2015</t>
  </si>
  <si>
    <t>Fall 2009 Cohort</t>
  </si>
  <si>
    <t>as of Fall 2015</t>
  </si>
  <si>
    <t>Fall 2016</t>
  </si>
  <si>
    <t>as of Fall 2016</t>
  </si>
  <si>
    <t>Fall 2010 Cohort</t>
  </si>
  <si>
    <t>Fall 2017</t>
  </si>
  <si>
    <t>as of Fall 2017</t>
  </si>
  <si>
    <t>Fall 2011 Cohort</t>
  </si>
  <si>
    <t>Fall 2018</t>
  </si>
  <si>
    <t>Fall 2012 Cohort</t>
  </si>
  <si>
    <t>as of Fall 2018</t>
  </si>
  <si>
    <t>UM-IR 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</si>
</sst>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name val="Arial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37" fontId="10" fillId="0" borderId="0"/>
  </cellStyleXfs>
  <cellXfs count="10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/>
    <xf numFmtId="0" fontId="4" fillId="0" borderId="3" xfId="0" applyFont="1" applyBorder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3" fillId="0" borderId="0" xfId="0" applyNumberFormat="1" applyFont="1" applyBorder="1"/>
    <xf numFmtId="3" fontId="3" fillId="0" borderId="4" xfId="0" applyNumberFormat="1" applyFont="1" applyBorder="1"/>
    <xf numFmtId="3" fontId="3" fillId="0" borderId="0" xfId="0" applyNumberFormat="1" applyFont="1"/>
    <xf numFmtId="9" fontId="4" fillId="0" borderId="0" xfId="0" applyNumberFormat="1" applyFont="1" applyBorder="1"/>
    <xf numFmtId="9" fontId="3" fillId="0" borderId="0" xfId="0" applyNumberFormat="1" applyFont="1" applyBorder="1"/>
    <xf numFmtId="0" fontId="3" fillId="0" borderId="0" xfId="0" applyNumberFormat="1" applyFont="1"/>
    <xf numFmtId="0" fontId="3" fillId="0" borderId="3" xfId="0" applyFont="1" applyBorder="1"/>
    <xf numFmtId="9" fontId="3" fillId="0" borderId="3" xfId="0" applyNumberFormat="1" applyFont="1" applyBorder="1"/>
    <xf numFmtId="0" fontId="5" fillId="0" borderId="0" xfId="0" applyFont="1"/>
    <xf numFmtId="0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9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5" fillId="0" borderId="0" xfId="0" applyFont="1" applyBorder="1"/>
    <xf numFmtId="0" fontId="3" fillId="0" borderId="10" xfId="0" applyFont="1" applyBorder="1"/>
    <xf numFmtId="0" fontId="3" fillId="0" borderId="6" xfId="0" applyFont="1" applyBorder="1"/>
    <xf numFmtId="0" fontId="7" fillId="0" borderId="0" xfId="0" applyFont="1" applyBorder="1"/>
    <xf numFmtId="0" fontId="7" fillId="0" borderId="0" xfId="0" applyFont="1" applyProtection="1"/>
    <xf numFmtId="0" fontId="3" fillId="0" borderId="3" xfId="0" applyFont="1" applyBorder="1" applyAlignment="1">
      <alignment horizontal="right"/>
    </xf>
    <xf numFmtId="0" fontId="4" fillId="2" borderId="0" xfId="0" applyFont="1" applyFill="1" applyAlignment="1" applyProtection="1">
      <alignment vertical="center"/>
    </xf>
    <xf numFmtId="0" fontId="3" fillId="2" borderId="0" xfId="0" applyFont="1" applyFill="1" applyProtection="1"/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/>
    <xf numFmtId="1" fontId="3" fillId="0" borderId="0" xfId="0" applyNumberFormat="1" applyFont="1"/>
    <xf numFmtId="0" fontId="8" fillId="0" borderId="0" xfId="0" applyNumberFormat="1" applyFont="1"/>
    <xf numFmtId="1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8" fillId="0" borderId="0" xfId="0" applyNumberFormat="1" applyFont="1" applyBorder="1"/>
    <xf numFmtId="0" fontId="9" fillId="0" borderId="0" xfId="0" applyFont="1" applyBorder="1" applyProtection="1"/>
    <xf numFmtId="0" fontId="8" fillId="3" borderId="0" xfId="0" applyFont="1" applyFill="1" applyBorder="1" applyProtection="1"/>
    <xf numFmtId="0" fontId="4" fillId="3" borderId="0" xfId="0" applyFont="1" applyFill="1" applyAlignment="1" applyProtection="1">
      <alignment vertical="center"/>
    </xf>
    <xf numFmtId="0" fontId="4" fillId="0" borderId="0" xfId="0" applyFont="1" applyBorder="1" applyProtection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9" fontId="3" fillId="0" borderId="4" xfId="0" applyNumberFormat="1" applyFont="1" applyBorder="1"/>
    <xf numFmtId="9" fontId="4" fillId="0" borderId="4" xfId="0" applyNumberFormat="1" applyFont="1" applyBorder="1"/>
    <xf numFmtId="9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9" fontId="3" fillId="0" borderId="0" xfId="0" applyNumberFormat="1" applyFont="1" applyBorder="1" applyAlignment="1">
      <alignment horizontal="center"/>
    </xf>
    <xf numFmtId="0" fontId="3" fillId="3" borderId="0" xfId="0" applyFont="1" applyFill="1" applyProtection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5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4" borderId="0" xfId="0" applyFont="1" applyFill="1" applyBorder="1" applyProtection="1"/>
    <xf numFmtId="0" fontId="7" fillId="0" borderId="0" xfId="0" applyFont="1" applyBorder="1" applyProtection="1"/>
    <xf numFmtId="0" fontId="4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Protection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37" fontId="3" fillId="5" borderId="0" xfId="2" applyFont="1" applyFill="1" applyBorder="1" applyProtection="1"/>
    <xf numFmtId="0" fontId="4" fillId="5" borderId="0" xfId="0" applyFont="1" applyFill="1" applyAlignment="1" applyProtection="1">
      <alignment vertical="center"/>
    </xf>
    <xf numFmtId="37" fontId="3" fillId="6" borderId="0" xfId="2" applyFont="1" applyFill="1" applyBorder="1" applyProtection="1"/>
    <xf numFmtId="37" fontId="7" fillId="0" borderId="0" xfId="2" applyFont="1" applyBorder="1" applyAlignment="1" applyProtection="1"/>
    <xf numFmtId="0" fontId="4" fillId="6" borderId="0" xfId="0" applyFont="1" applyFill="1" applyAlignment="1" applyProtection="1">
      <alignment vertic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5" fillId="0" borderId="0" xfId="0" applyNumberFormat="1" applyFont="1" applyAlignment="1"/>
    <xf numFmtId="0" fontId="0" fillId="0" borderId="0" xfId="0" applyAlignment="1"/>
    <xf numFmtId="0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2" fontId="7" fillId="0" borderId="7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0" fillId="0" borderId="5" xfId="0" applyFont="1" applyBorder="1" applyAlignment="1"/>
    <xf numFmtId="0" fontId="0" fillId="0" borderId="8" xfId="0" applyFont="1" applyBorder="1" applyAlignment="1"/>
    <xf numFmtId="0" fontId="6" fillId="0" borderId="0" xfId="1" applyFont="1" applyBorder="1" applyAlignment="1" applyProtection="1"/>
    <xf numFmtId="0" fontId="6" fillId="0" borderId="3" xfId="1" applyFont="1" applyBorder="1" applyAlignment="1" applyProtection="1"/>
    <xf numFmtId="0" fontId="0" fillId="0" borderId="3" xfId="0" applyBorder="1" applyAlignment="1"/>
    <xf numFmtId="0" fontId="6" fillId="0" borderId="0" xfId="1" applyNumberFormat="1" applyFont="1" applyBorder="1" applyAlignment="1" applyProtection="1"/>
    <xf numFmtId="0" fontId="0" fillId="0" borderId="0" xfId="0" applyNumberFormat="1" applyAlignment="1"/>
    <xf numFmtId="0" fontId="3" fillId="0" borderId="0" xfId="0" applyFont="1" applyAlignment="1">
      <alignment horizontal="center"/>
    </xf>
    <xf numFmtId="0" fontId="5" fillId="0" borderId="0" xfId="0" applyFont="1" applyAlignment="1"/>
    <xf numFmtId="0" fontId="7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5" xfId="0" applyBorder="1" applyAlignment="1"/>
    <xf numFmtId="0" fontId="0" fillId="0" borderId="8" xfId="0" applyBorder="1" applyAlignment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  <color rgb="FFFFCCCC"/>
      <color rgb="FFCCFFCC"/>
      <color rgb="FFCCEC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msystem.edu/ums/fa/planning/ipedsgrs" TargetMode="External"/><Relationship Id="rId1" Type="http://schemas.openxmlformats.org/officeDocument/2006/relationships/hyperlink" Target="http://www.umsystem.edu/ums/fa/planning/ipedsgrs20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umsystem.edu/ums/fa/planning/ipedsgrs" TargetMode="External"/><Relationship Id="rId1" Type="http://schemas.openxmlformats.org/officeDocument/2006/relationships/hyperlink" Target="http://www.umsystem.edu/ums/fa/planning/ipedsgrs20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umsystem.edu/ums/fa/planning/ipedsgrs" TargetMode="External"/><Relationship Id="rId1" Type="http://schemas.openxmlformats.org/officeDocument/2006/relationships/hyperlink" Target="http://www.umsystem.edu/ums/fa/planning/ipedsgrs20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umsystem.edu/ums/fa/planning/ipedsgrs" TargetMode="External"/><Relationship Id="rId1" Type="http://schemas.openxmlformats.org/officeDocument/2006/relationships/hyperlink" Target="http://www.umsystem.edu/ums/fa/planning/ipedsgrs20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umsystem.edu/ums/fa/planning/ipedsgrs" TargetMode="External"/><Relationship Id="rId1" Type="http://schemas.openxmlformats.org/officeDocument/2006/relationships/hyperlink" Target="http://www.umsystem.edu/ums/fa/planning/ipedsgrs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I53"/>
  <sheetViews>
    <sheetView tabSelected="1" workbookViewId="0"/>
  </sheetViews>
  <sheetFormatPr defaultRowHeight="13.5" customHeight="1" x14ac:dyDescent="0.2"/>
  <cols>
    <col min="1" max="3" width="2.7109375" style="1" customWidth="1"/>
    <col min="4" max="4" width="8.7109375" style="1" customWidth="1"/>
    <col min="5" max="5" width="16.7109375" style="1" customWidth="1"/>
    <col min="6" max="21" width="10.7109375" style="1" hidden="1" customWidth="1"/>
    <col min="22" max="27" width="10.7109375" style="1" customWidth="1"/>
    <col min="28" max="28" width="2.7109375" style="1" customWidth="1"/>
    <col min="29" max="29" width="9.140625" style="1"/>
    <col min="30" max="30" width="9.140625" style="1" customWidth="1"/>
    <col min="31" max="31" width="16.7109375" style="1" customWidth="1"/>
    <col min="32" max="79" width="7.140625" style="39" hidden="1" customWidth="1"/>
    <col min="80" max="82" width="7.140625" style="39" customWidth="1"/>
    <col min="83" max="97" width="7.140625" style="1" customWidth="1"/>
    <col min="98" max="229" width="9.140625" style="1"/>
    <col min="230" max="230" width="3.85546875" style="1" customWidth="1"/>
    <col min="231" max="231" width="10.42578125" style="1" customWidth="1"/>
    <col min="232" max="232" width="0" style="1" hidden="1" customWidth="1"/>
    <col min="233" max="233" width="13.42578125" style="1" customWidth="1"/>
    <col min="234" max="269" width="0" style="1" hidden="1" customWidth="1"/>
    <col min="270" max="284" width="6.7109375" style="1" customWidth="1"/>
    <col min="285" max="285" width="9.140625" style="1"/>
    <col min="286" max="286" width="10.42578125" style="1" customWidth="1"/>
    <col min="287" max="287" width="14.5703125" style="1" customWidth="1"/>
    <col min="288" max="323" width="0" style="1" hidden="1" customWidth="1"/>
    <col min="324" max="338" width="6.7109375" style="1" customWidth="1"/>
    <col min="339" max="485" width="9.140625" style="1"/>
    <col min="486" max="486" width="3.85546875" style="1" customWidth="1"/>
    <col min="487" max="487" width="10.42578125" style="1" customWidth="1"/>
    <col min="488" max="488" width="0" style="1" hidden="1" customWidth="1"/>
    <col min="489" max="489" width="13.42578125" style="1" customWidth="1"/>
    <col min="490" max="525" width="0" style="1" hidden="1" customWidth="1"/>
    <col min="526" max="540" width="6.7109375" style="1" customWidth="1"/>
    <col min="541" max="541" width="9.140625" style="1"/>
    <col min="542" max="542" width="10.42578125" style="1" customWidth="1"/>
    <col min="543" max="543" width="14.5703125" style="1" customWidth="1"/>
    <col min="544" max="579" width="0" style="1" hidden="1" customWidth="1"/>
    <col min="580" max="594" width="6.7109375" style="1" customWidth="1"/>
    <col min="595" max="741" width="9.140625" style="1"/>
    <col min="742" max="742" width="3.85546875" style="1" customWidth="1"/>
    <col min="743" max="743" width="10.42578125" style="1" customWidth="1"/>
    <col min="744" max="744" width="0" style="1" hidden="1" customWidth="1"/>
    <col min="745" max="745" width="13.42578125" style="1" customWidth="1"/>
    <col min="746" max="781" width="0" style="1" hidden="1" customWidth="1"/>
    <col min="782" max="796" width="6.7109375" style="1" customWidth="1"/>
    <col min="797" max="797" width="9.140625" style="1"/>
    <col min="798" max="798" width="10.42578125" style="1" customWidth="1"/>
    <col min="799" max="799" width="14.5703125" style="1" customWidth="1"/>
    <col min="800" max="835" width="0" style="1" hidden="1" customWidth="1"/>
    <col min="836" max="850" width="6.7109375" style="1" customWidth="1"/>
    <col min="851" max="997" width="9.140625" style="1"/>
    <col min="998" max="998" width="3.85546875" style="1" customWidth="1"/>
    <col min="999" max="999" width="10.42578125" style="1" customWidth="1"/>
    <col min="1000" max="1000" width="0" style="1" hidden="1" customWidth="1"/>
    <col min="1001" max="1001" width="13.42578125" style="1" customWidth="1"/>
    <col min="1002" max="1037" width="0" style="1" hidden="1" customWidth="1"/>
    <col min="1038" max="1052" width="6.7109375" style="1" customWidth="1"/>
    <col min="1053" max="1053" width="9.140625" style="1"/>
    <col min="1054" max="1054" width="10.42578125" style="1" customWidth="1"/>
    <col min="1055" max="1055" width="14.5703125" style="1" customWidth="1"/>
    <col min="1056" max="1091" width="0" style="1" hidden="1" customWidth="1"/>
    <col min="1092" max="1106" width="6.7109375" style="1" customWidth="1"/>
    <col min="1107" max="1253" width="9.140625" style="1"/>
    <col min="1254" max="1254" width="3.85546875" style="1" customWidth="1"/>
    <col min="1255" max="1255" width="10.42578125" style="1" customWidth="1"/>
    <col min="1256" max="1256" width="0" style="1" hidden="1" customWidth="1"/>
    <col min="1257" max="1257" width="13.42578125" style="1" customWidth="1"/>
    <col min="1258" max="1293" width="0" style="1" hidden="1" customWidth="1"/>
    <col min="1294" max="1308" width="6.7109375" style="1" customWidth="1"/>
    <col min="1309" max="1309" width="9.140625" style="1"/>
    <col min="1310" max="1310" width="10.42578125" style="1" customWidth="1"/>
    <col min="1311" max="1311" width="14.5703125" style="1" customWidth="1"/>
    <col min="1312" max="1347" width="0" style="1" hidden="1" customWidth="1"/>
    <col min="1348" max="1362" width="6.7109375" style="1" customWidth="1"/>
    <col min="1363" max="1509" width="9.140625" style="1"/>
    <col min="1510" max="1510" width="3.85546875" style="1" customWidth="1"/>
    <col min="1511" max="1511" width="10.42578125" style="1" customWidth="1"/>
    <col min="1512" max="1512" width="0" style="1" hidden="1" customWidth="1"/>
    <col min="1513" max="1513" width="13.42578125" style="1" customWidth="1"/>
    <col min="1514" max="1549" width="0" style="1" hidden="1" customWidth="1"/>
    <col min="1550" max="1564" width="6.7109375" style="1" customWidth="1"/>
    <col min="1565" max="1565" width="9.140625" style="1"/>
    <col min="1566" max="1566" width="10.42578125" style="1" customWidth="1"/>
    <col min="1567" max="1567" width="14.5703125" style="1" customWidth="1"/>
    <col min="1568" max="1603" width="0" style="1" hidden="1" customWidth="1"/>
    <col min="1604" max="1618" width="6.7109375" style="1" customWidth="1"/>
    <col min="1619" max="1765" width="9.140625" style="1"/>
    <col min="1766" max="1766" width="3.85546875" style="1" customWidth="1"/>
    <col min="1767" max="1767" width="10.42578125" style="1" customWidth="1"/>
    <col min="1768" max="1768" width="0" style="1" hidden="1" customWidth="1"/>
    <col min="1769" max="1769" width="13.42578125" style="1" customWidth="1"/>
    <col min="1770" max="1805" width="0" style="1" hidden="1" customWidth="1"/>
    <col min="1806" max="1820" width="6.7109375" style="1" customWidth="1"/>
    <col min="1821" max="1821" width="9.140625" style="1"/>
    <col min="1822" max="1822" width="10.42578125" style="1" customWidth="1"/>
    <col min="1823" max="1823" width="14.5703125" style="1" customWidth="1"/>
    <col min="1824" max="1859" width="0" style="1" hidden="1" customWidth="1"/>
    <col min="1860" max="1874" width="6.7109375" style="1" customWidth="1"/>
    <col min="1875" max="2021" width="9.140625" style="1"/>
    <col min="2022" max="2022" width="3.85546875" style="1" customWidth="1"/>
    <col min="2023" max="2023" width="10.42578125" style="1" customWidth="1"/>
    <col min="2024" max="2024" width="0" style="1" hidden="1" customWidth="1"/>
    <col min="2025" max="2025" width="13.42578125" style="1" customWidth="1"/>
    <col min="2026" max="2061" width="0" style="1" hidden="1" customWidth="1"/>
    <col min="2062" max="2076" width="6.7109375" style="1" customWidth="1"/>
    <col min="2077" max="2077" width="9.140625" style="1"/>
    <col min="2078" max="2078" width="10.42578125" style="1" customWidth="1"/>
    <col min="2079" max="2079" width="14.5703125" style="1" customWidth="1"/>
    <col min="2080" max="2115" width="0" style="1" hidden="1" customWidth="1"/>
    <col min="2116" max="2130" width="6.7109375" style="1" customWidth="1"/>
    <col min="2131" max="2277" width="9.140625" style="1"/>
    <col min="2278" max="2278" width="3.85546875" style="1" customWidth="1"/>
    <col min="2279" max="2279" width="10.42578125" style="1" customWidth="1"/>
    <col min="2280" max="2280" width="0" style="1" hidden="1" customWidth="1"/>
    <col min="2281" max="2281" width="13.42578125" style="1" customWidth="1"/>
    <col min="2282" max="2317" width="0" style="1" hidden="1" customWidth="1"/>
    <col min="2318" max="2332" width="6.7109375" style="1" customWidth="1"/>
    <col min="2333" max="2333" width="9.140625" style="1"/>
    <col min="2334" max="2334" width="10.42578125" style="1" customWidth="1"/>
    <col min="2335" max="2335" width="14.5703125" style="1" customWidth="1"/>
    <col min="2336" max="2371" width="0" style="1" hidden="1" customWidth="1"/>
    <col min="2372" max="2386" width="6.7109375" style="1" customWidth="1"/>
    <col min="2387" max="2533" width="9.140625" style="1"/>
    <col min="2534" max="2534" width="3.85546875" style="1" customWidth="1"/>
    <col min="2535" max="2535" width="10.42578125" style="1" customWidth="1"/>
    <col min="2536" max="2536" width="0" style="1" hidden="1" customWidth="1"/>
    <col min="2537" max="2537" width="13.42578125" style="1" customWidth="1"/>
    <col min="2538" max="2573" width="0" style="1" hidden="1" customWidth="1"/>
    <col min="2574" max="2588" width="6.7109375" style="1" customWidth="1"/>
    <col min="2589" max="2589" width="9.140625" style="1"/>
    <col min="2590" max="2590" width="10.42578125" style="1" customWidth="1"/>
    <col min="2591" max="2591" width="14.5703125" style="1" customWidth="1"/>
    <col min="2592" max="2627" width="0" style="1" hidden="1" customWidth="1"/>
    <col min="2628" max="2642" width="6.7109375" style="1" customWidth="1"/>
    <col min="2643" max="2789" width="9.140625" style="1"/>
    <col min="2790" max="2790" width="3.85546875" style="1" customWidth="1"/>
    <col min="2791" max="2791" width="10.42578125" style="1" customWidth="1"/>
    <col min="2792" max="2792" width="0" style="1" hidden="1" customWidth="1"/>
    <col min="2793" max="2793" width="13.42578125" style="1" customWidth="1"/>
    <col min="2794" max="2829" width="0" style="1" hidden="1" customWidth="1"/>
    <col min="2830" max="2844" width="6.7109375" style="1" customWidth="1"/>
    <col min="2845" max="2845" width="9.140625" style="1"/>
    <col min="2846" max="2846" width="10.42578125" style="1" customWidth="1"/>
    <col min="2847" max="2847" width="14.5703125" style="1" customWidth="1"/>
    <col min="2848" max="2883" width="0" style="1" hidden="1" customWidth="1"/>
    <col min="2884" max="2898" width="6.7109375" style="1" customWidth="1"/>
    <col min="2899" max="3045" width="9.140625" style="1"/>
    <col min="3046" max="3046" width="3.85546875" style="1" customWidth="1"/>
    <col min="3047" max="3047" width="10.42578125" style="1" customWidth="1"/>
    <col min="3048" max="3048" width="0" style="1" hidden="1" customWidth="1"/>
    <col min="3049" max="3049" width="13.42578125" style="1" customWidth="1"/>
    <col min="3050" max="3085" width="0" style="1" hidden="1" customWidth="1"/>
    <col min="3086" max="3100" width="6.7109375" style="1" customWidth="1"/>
    <col min="3101" max="3101" width="9.140625" style="1"/>
    <col min="3102" max="3102" width="10.42578125" style="1" customWidth="1"/>
    <col min="3103" max="3103" width="14.5703125" style="1" customWidth="1"/>
    <col min="3104" max="3139" width="0" style="1" hidden="1" customWidth="1"/>
    <col min="3140" max="3154" width="6.7109375" style="1" customWidth="1"/>
    <col min="3155" max="3301" width="9.140625" style="1"/>
    <col min="3302" max="3302" width="3.85546875" style="1" customWidth="1"/>
    <col min="3303" max="3303" width="10.42578125" style="1" customWidth="1"/>
    <col min="3304" max="3304" width="0" style="1" hidden="1" customWidth="1"/>
    <col min="3305" max="3305" width="13.42578125" style="1" customWidth="1"/>
    <col min="3306" max="3341" width="0" style="1" hidden="1" customWidth="1"/>
    <col min="3342" max="3356" width="6.7109375" style="1" customWidth="1"/>
    <col min="3357" max="3357" width="9.140625" style="1"/>
    <col min="3358" max="3358" width="10.42578125" style="1" customWidth="1"/>
    <col min="3359" max="3359" width="14.5703125" style="1" customWidth="1"/>
    <col min="3360" max="3395" width="0" style="1" hidden="1" customWidth="1"/>
    <col min="3396" max="3410" width="6.7109375" style="1" customWidth="1"/>
    <col min="3411" max="3557" width="9.140625" style="1"/>
    <col min="3558" max="3558" width="3.85546875" style="1" customWidth="1"/>
    <col min="3559" max="3559" width="10.42578125" style="1" customWidth="1"/>
    <col min="3560" max="3560" width="0" style="1" hidden="1" customWidth="1"/>
    <col min="3561" max="3561" width="13.42578125" style="1" customWidth="1"/>
    <col min="3562" max="3597" width="0" style="1" hidden="1" customWidth="1"/>
    <col min="3598" max="3612" width="6.7109375" style="1" customWidth="1"/>
    <col min="3613" max="3613" width="9.140625" style="1"/>
    <col min="3614" max="3614" width="10.42578125" style="1" customWidth="1"/>
    <col min="3615" max="3615" width="14.5703125" style="1" customWidth="1"/>
    <col min="3616" max="3651" width="0" style="1" hidden="1" customWidth="1"/>
    <col min="3652" max="3666" width="6.7109375" style="1" customWidth="1"/>
    <col min="3667" max="3813" width="9.140625" style="1"/>
    <col min="3814" max="3814" width="3.85546875" style="1" customWidth="1"/>
    <col min="3815" max="3815" width="10.42578125" style="1" customWidth="1"/>
    <col min="3816" max="3816" width="0" style="1" hidden="1" customWidth="1"/>
    <col min="3817" max="3817" width="13.42578125" style="1" customWidth="1"/>
    <col min="3818" max="3853" width="0" style="1" hidden="1" customWidth="1"/>
    <col min="3854" max="3868" width="6.7109375" style="1" customWidth="1"/>
    <col min="3869" max="3869" width="9.140625" style="1"/>
    <col min="3870" max="3870" width="10.42578125" style="1" customWidth="1"/>
    <col min="3871" max="3871" width="14.5703125" style="1" customWidth="1"/>
    <col min="3872" max="3907" width="0" style="1" hidden="1" customWidth="1"/>
    <col min="3908" max="3922" width="6.7109375" style="1" customWidth="1"/>
    <col min="3923" max="4069" width="9.140625" style="1"/>
    <col min="4070" max="4070" width="3.85546875" style="1" customWidth="1"/>
    <col min="4071" max="4071" width="10.42578125" style="1" customWidth="1"/>
    <col min="4072" max="4072" width="0" style="1" hidden="1" customWidth="1"/>
    <col min="4073" max="4073" width="13.42578125" style="1" customWidth="1"/>
    <col min="4074" max="4109" width="0" style="1" hidden="1" customWidth="1"/>
    <col min="4110" max="4124" width="6.7109375" style="1" customWidth="1"/>
    <col min="4125" max="4125" width="9.140625" style="1"/>
    <col min="4126" max="4126" width="10.42578125" style="1" customWidth="1"/>
    <col min="4127" max="4127" width="14.5703125" style="1" customWidth="1"/>
    <col min="4128" max="4163" width="0" style="1" hidden="1" customWidth="1"/>
    <col min="4164" max="4178" width="6.7109375" style="1" customWidth="1"/>
    <col min="4179" max="4325" width="9.140625" style="1"/>
    <col min="4326" max="4326" width="3.85546875" style="1" customWidth="1"/>
    <col min="4327" max="4327" width="10.42578125" style="1" customWidth="1"/>
    <col min="4328" max="4328" width="0" style="1" hidden="1" customWidth="1"/>
    <col min="4329" max="4329" width="13.42578125" style="1" customWidth="1"/>
    <col min="4330" max="4365" width="0" style="1" hidden="1" customWidth="1"/>
    <col min="4366" max="4380" width="6.7109375" style="1" customWidth="1"/>
    <col min="4381" max="4381" width="9.140625" style="1"/>
    <col min="4382" max="4382" width="10.42578125" style="1" customWidth="1"/>
    <col min="4383" max="4383" width="14.5703125" style="1" customWidth="1"/>
    <col min="4384" max="4419" width="0" style="1" hidden="1" customWidth="1"/>
    <col min="4420" max="4434" width="6.7109375" style="1" customWidth="1"/>
    <col min="4435" max="4581" width="9.140625" style="1"/>
    <col min="4582" max="4582" width="3.85546875" style="1" customWidth="1"/>
    <col min="4583" max="4583" width="10.42578125" style="1" customWidth="1"/>
    <col min="4584" max="4584" width="0" style="1" hidden="1" customWidth="1"/>
    <col min="4585" max="4585" width="13.42578125" style="1" customWidth="1"/>
    <col min="4586" max="4621" width="0" style="1" hidden="1" customWidth="1"/>
    <col min="4622" max="4636" width="6.7109375" style="1" customWidth="1"/>
    <col min="4637" max="4637" width="9.140625" style="1"/>
    <col min="4638" max="4638" width="10.42578125" style="1" customWidth="1"/>
    <col min="4639" max="4639" width="14.5703125" style="1" customWidth="1"/>
    <col min="4640" max="4675" width="0" style="1" hidden="1" customWidth="1"/>
    <col min="4676" max="4690" width="6.7109375" style="1" customWidth="1"/>
    <col min="4691" max="4837" width="9.140625" style="1"/>
    <col min="4838" max="4838" width="3.85546875" style="1" customWidth="1"/>
    <col min="4839" max="4839" width="10.42578125" style="1" customWidth="1"/>
    <col min="4840" max="4840" width="0" style="1" hidden="1" customWidth="1"/>
    <col min="4841" max="4841" width="13.42578125" style="1" customWidth="1"/>
    <col min="4842" max="4877" width="0" style="1" hidden="1" customWidth="1"/>
    <col min="4878" max="4892" width="6.7109375" style="1" customWidth="1"/>
    <col min="4893" max="4893" width="9.140625" style="1"/>
    <col min="4894" max="4894" width="10.42578125" style="1" customWidth="1"/>
    <col min="4895" max="4895" width="14.5703125" style="1" customWidth="1"/>
    <col min="4896" max="4931" width="0" style="1" hidden="1" customWidth="1"/>
    <col min="4932" max="4946" width="6.7109375" style="1" customWidth="1"/>
    <col min="4947" max="5093" width="9.140625" style="1"/>
    <col min="5094" max="5094" width="3.85546875" style="1" customWidth="1"/>
    <col min="5095" max="5095" width="10.42578125" style="1" customWidth="1"/>
    <col min="5096" max="5096" width="0" style="1" hidden="1" customWidth="1"/>
    <col min="5097" max="5097" width="13.42578125" style="1" customWidth="1"/>
    <col min="5098" max="5133" width="0" style="1" hidden="1" customWidth="1"/>
    <col min="5134" max="5148" width="6.7109375" style="1" customWidth="1"/>
    <col min="5149" max="5149" width="9.140625" style="1"/>
    <col min="5150" max="5150" width="10.42578125" style="1" customWidth="1"/>
    <col min="5151" max="5151" width="14.5703125" style="1" customWidth="1"/>
    <col min="5152" max="5187" width="0" style="1" hidden="1" customWidth="1"/>
    <col min="5188" max="5202" width="6.7109375" style="1" customWidth="1"/>
    <col min="5203" max="5349" width="9.140625" style="1"/>
    <col min="5350" max="5350" width="3.85546875" style="1" customWidth="1"/>
    <col min="5351" max="5351" width="10.42578125" style="1" customWidth="1"/>
    <col min="5352" max="5352" width="0" style="1" hidden="1" customWidth="1"/>
    <col min="5353" max="5353" width="13.42578125" style="1" customWidth="1"/>
    <col min="5354" max="5389" width="0" style="1" hidden="1" customWidth="1"/>
    <col min="5390" max="5404" width="6.7109375" style="1" customWidth="1"/>
    <col min="5405" max="5405" width="9.140625" style="1"/>
    <col min="5406" max="5406" width="10.42578125" style="1" customWidth="1"/>
    <col min="5407" max="5407" width="14.5703125" style="1" customWidth="1"/>
    <col min="5408" max="5443" width="0" style="1" hidden="1" customWidth="1"/>
    <col min="5444" max="5458" width="6.7109375" style="1" customWidth="1"/>
    <col min="5459" max="5605" width="9.140625" style="1"/>
    <col min="5606" max="5606" width="3.85546875" style="1" customWidth="1"/>
    <col min="5607" max="5607" width="10.42578125" style="1" customWidth="1"/>
    <col min="5608" max="5608" width="0" style="1" hidden="1" customWidth="1"/>
    <col min="5609" max="5609" width="13.42578125" style="1" customWidth="1"/>
    <col min="5610" max="5645" width="0" style="1" hidden="1" customWidth="1"/>
    <col min="5646" max="5660" width="6.7109375" style="1" customWidth="1"/>
    <col min="5661" max="5661" width="9.140625" style="1"/>
    <col min="5662" max="5662" width="10.42578125" style="1" customWidth="1"/>
    <col min="5663" max="5663" width="14.5703125" style="1" customWidth="1"/>
    <col min="5664" max="5699" width="0" style="1" hidden="1" customWidth="1"/>
    <col min="5700" max="5714" width="6.7109375" style="1" customWidth="1"/>
    <col min="5715" max="5861" width="9.140625" style="1"/>
    <col min="5862" max="5862" width="3.85546875" style="1" customWidth="1"/>
    <col min="5863" max="5863" width="10.42578125" style="1" customWidth="1"/>
    <col min="5864" max="5864" width="0" style="1" hidden="1" customWidth="1"/>
    <col min="5865" max="5865" width="13.42578125" style="1" customWidth="1"/>
    <col min="5866" max="5901" width="0" style="1" hidden="1" customWidth="1"/>
    <col min="5902" max="5916" width="6.7109375" style="1" customWidth="1"/>
    <col min="5917" max="5917" width="9.140625" style="1"/>
    <col min="5918" max="5918" width="10.42578125" style="1" customWidth="1"/>
    <col min="5919" max="5919" width="14.5703125" style="1" customWidth="1"/>
    <col min="5920" max="5955" width="0" style="1" hidden="1" customWidth="1"/>
    <col min="5956" max="5970" width="6.7109375" style="1" customWidth="1"/>
    <col min="5971" max="6117" width="9.140625" style="1"/>
    <col min="6118" max="6118" width="3.85546875" style="1" customWidth="1"/>
    <col min="6119" max="6119" width="10.42578125" style="1" customWidth="1"/>
    <col min="6120" max="6120" width="0" style="1" hidden="1" customWidth="1"/>
    <col min="6121" max="6121" width="13.42578125" style="1" customWidth="1"/>
    <col min="6122" max="6157" width="0" style="1" hidden="1" customWidth="1"/>
    <col min="6158" max="6172" width="6.7109375" style="1" customWidth="1"/>
    <col min="6173" max="6173" width="9.140625" style="1"/>
    <col min="6174" max="6174" width="10.42578125" style="1" customWidth="1"/>
    <col min="6175" max="6175" width="14.5703125" style="1" customWidth="1"/>
    <col min="6176" max="6211" width="0" style="1" hidden="1" customWidth="1"/>
    <col min="6212" max="6226" width="6.7109375" style="1" customWidth="1"/>
    <col min="6227" max="6373" width="9.140625" style="1"/>
    <col min="6374" max="6374" width="3.85546875" style="1" customWidth="1"/>
    <col min="6375" max="6375" width="10.42578125" style="1" customWidth="1"/>
    <col min="6376" max="6376" width="0" style="1" hidden="1" customWidth="1"/>
    <col min="6377" max="6377" width="13.42578125" style="1" customWidth="1"/>
    <col min="6378" max="6413" width="0" style="1" hidden="1" customWidth="1"/>
    <col min="6414" max="6428" width="6.7109375" style="1" customWidth="1"/>
    <col min="6429" max="6429" width="9.140625" style="1"/>
    <col min="6430" max="6430" width="10.42578125" style="1" customWidth="1"/>
    <col min="6431" max="6431" width="14.5703125" style="1" customWidth="1"/>
    <col min="6432" max="6467" width="0" style="1" hidden="1" customWidth="1"/>
    <col min="6468" max="6482" width="6.7109375" style="1" customWidth="1"/>
    <col min="6483" max="6629" width="9.140625" style="1"/>
    <col min="6630" max="6630" width="3.85546875" style="1" customWidth="1"/>
    <col min="6631" max="6631" width="10.42578125" style="1" customWidth="1"/>
    <col min="6632" max="6632" width="0" style="1" hidden="1" customWidth="1"/>
    <col min="6633" max="6633" width="13.42578125" style="1" customWidth="1"/>
    <col min="6634" max="6669" width="0" style="1" hidden="1" customWidth="1"/>
    <col min="6670" max="6684" width="6.7109375" style="1" customWidth="1"/>
    <col min="6685" max="6685" width="9.140625" style="1"/>
    <col min="6686" max="6686" width="10.42578125" style="1" customWidth="1"/>
    <col min="6687" max="6687" width="14.5703125" style="1" customWidth="1"/>
    <col min="6688" max="6723" width="0" style="1" hidden="1" customWidth="1"/>
    <col min="6724" max="6738" width="6.7109375" style="1" customWidth="1"/>
    <col min="6739" max="6885" width="9.140625" style="1"/>
    <col min="6886" max="6886" width="3.85546875" style="1" customWidth="1"/>
    <col min="6887" max="6887" width="10.42578125" style="1" customWidth="1"/>
    <col min="6888" max="6888" width="0" style="1" hidden="1" customWidth="1"/>
    <col min="6889" max="6889" width="13.42578125" style="1" customWidth="1"/>
    <col min="6890" max="6925" width="0" style="1" hidden="1" customWidth="1"/>
    <col min="6926" max="6940" width="6.7109375" style="1" customWidth="1"/>
    <col min="6941" max="6941" width="9.140625" style="1"/>
    <col min="6942" max="6942" width="10.42578125" style="1" customWidth="1"/>
    <col min="6943" max="6943" width="14.5703125" style="1" customWidth="1"/>
    <col min="6944" max="6979" width="0" style="1" hidden="1" customWidth="1"/>
    <col min="6980" max="6994" width="6.7109375" style="1" customWidth="1"/>
    <col min="6995" max="7141" width="9.140625" style="1"/>
    <col min="7142" max="7142" width="3.85546875" style="1" customWidth="1"/>
    <col min="7143" max="7143" width="10.42578125" style="1" customWidth="1"/>
    <col min="7144" max="7144" width="0" style="1" hidden="1" customWidth="1"/>
    <col min="7145" max="7145" width="13.42578125" style="1" customWidth="1"/>
    <col min="7146" max="7181" width="0" style="1" hidden="1" customWidth="1"/>
    <col min="7182" max="7196" width="6.7109375" style="1" customWidth="1"/>
    <col min="7197" max="7197" width="9.140625" style="1"/>
    <col min="7198" max="7198" width="10.42578125" style="1" customWidth="1"/>
    <col min="7199" max="7199" width="14.5703125" style="1" customWidth="1"/>
    <col min="7200" max="7235" width="0" style="1" hidden="1" customWidth="1"/>
    <col min="7236" max="7250" width="6.7109375" style="1" customWidth="1"/>
    <col min="7251" max="7397" width="9.140625" style="1"/>
    <col min="7398" max="7398" width="3.85546875" style="1" customWidth="1"/>
    <col min="7399" max="7399" width="10.42578125" style="1" customWidth="1"/>
    <col min="7400" max="7400" width="0" style="1" hidden="1" customWidth="1"/>
    <col min="7401" max="7401" width="13.42578125" style="1" customWidth="1"/>
    <col min="7402" max="7437" width="0" style="1" hidden="1" customWidth="1"/>
    <col min="7438" max="7452" width="6.7109375" style="1" customWidth="1"/>
    <col min="7453" max="7453" width="9.140625" style="1"/>
    <col min="7454" max="7454" width="10.42578125" style="1" customWidth="1"/>
    <col min="7455" max="7455" width="14.5703125" style="1" customWidth="1"/>
    <col min="7456" max="7491" width="0" style="1" hidden="1" customWidth="1"/>
    <col min="7492" max="7506" width="6.7109375" style="1" customWidth="1"/>
    <col min="7507" max="7653" width="9.140625" style="1"/>
    <col min="7654" max="7654" width="3.85546875" style="1" customWidth="1"/>
    <col min="7655" max="7655" width="10.42578125" style="1" customWidth="1"/>
    <col min="7656" max="7656" width="0" style="1" hidden="1" customWidth="1"/>
    <col min="7657" max="7657" width="13.42578125" style="1" customWidth="1"/>
    <col min="7658" max="7693" width="0" style="1" hidden="1" customWidth="1"/>
    <col min="7694" max="7708" width="6.7109375" style="1" customWidth="1"/>
    <col min="7709" max="7709" width="9.140625" style="1"/>
    <col min="7710" max="7710" width="10.42578125" style="1" customWidth="1"/>
    <col min="7711" max="7711" width="14.5703125" style="1" customWidth="1"/>
    <col min="7712" max="7747" width="0" style="1" hidden="1" customWidth="1"/>
    <col min="7748" max="7762" width="6.7109375" style="1" customWidth="1"/>
    <col min="7763" max="7909" width="9.140625" style="1"/>
    <col min="7910" max="7910" width="3.85546875" style="1" customWidth="1"/>
    <col min="7911" max="7911" width="10.42578125" style="1" customWidth="1"/>
    <col min="7912" max="7912" width="0" style="1" hidden="1" customWidth="1"/>
    <col min="7913" max="7913" width="13.42578125" style="1" customWidth="1"/>
    <col min="7914" max="7949" width="0" style="1" hidden="1" customWidth="1"/>
    <col min="7950" max="7964" width="6.7109375" style="1" customWidth="1"/>
    <col min="7965" max="7965" width="9.140625" style="1"/>
    <col min="7966" max="7966" width="10.42578125" style="1" customWidth="1"/>
    <col min="7967" max="7967" width="14.5703125" style="1" customWidth="1"/>
    <col min="7968" max="8003" width="0" style="1" hidden="1" customWidth="1"/>
    <col min="8004" max="8018" width="6.7109375" style="1" customWidth="1"/>
    <col min="8019" max="8165" width="9.140625" style="1"/>
    <col min="8166" max="8166" width="3.85546875" style="1" customWidth="1"/>
    <col min="8167" max="8167" width="10.42578125" style="1" customWidth="1"/>
    <col min="8168" max="8168" width="0" style="1" hidden="1" customWidth="1"/>
    <col min="8169" max="8169" width="13.42578125" style="1" customWidth="1"/>
    <col min="8170" max="8205" width="0" style="1" hidden="1" customWidth="1"/>
    <col min="8206" max="8220" width="6.7109375" style="1" customWidth="1"/>
    <col min="8221" max="8221" width="9.140625" style="1"/>
    <col min="8222" max="8222" width="10.42578125" style="1" customWidth="1"/>
    <col min="8223" max="8223" width="14.5703125" style="1" customWidth="1"/>
    <col min="8224" max="8259" width="0" style="1" hidden="1" customWidth="1"/>
    <col min="8260" max="8274" width="6.7109375" style="1" customWidth="1"/>
    <col min="8275" max="8421" width="9.140625" style="1"/>
    <col min="8422" max="8422" width="3.85546875" style="1" customWidth="1"/>
    <col min="8423" max="8423" width="10.42578125" style="1" customWidth="1"/>
    <col min="8424" max="8424" width="0" style="1" hidden="1" customWidth="1"/>
    <col min="8425" max="8425" width="13.42578125" style="1" customWidth="1"/>
    <col min="8426" max="8461" width="0" style="1" hidden="1" customWidth="1"/>
    <col min="8462" max="8476" width="6.7109375" style="1" customWidth="1"/>
    <col min="8477" max="8477" width="9.140625" style="1"/>
    <col min="8478" max="8478" width="10.42578125" style="1" customWidth="1"/>
    <col min="8479" max="8479" width="14.5703125" style="1" customWidth="1"/>
    <col min="8480" max="8515" width="0" style="1" hidden="1" customWidth="1"/>
    <col min="8516" max="8530" width="6.7109375" style="1" customWidth="1"/>
    <col min="8531" max="8677" width="9.140625" style="1"/>
    <col min="8678" max="8678" width="3.85546875" style="1" customWidth="1"/>
    <col min="8679" max="8679" width="10.42578125" style="1" customWidth="1"/>
    <col min="8680" max="8680" width="0" style="1" hidden="1" customWidth="1"/>
    <col min="8681" max="8681" width="13.42578125" style="1" customWidth="1"/>
    <col min="8682" max="8717" width="0" style="1" hidden="1" customWidth="1"/>
    <col min="8718" max="8732" width="6.7109375" style="1" customWidth="1"/>
    <col min="8733" max="8733" width="9.140625" style="1"/>
    <col min="8734" max="8734" width="10.42578125" style="1" customWidth="1"/>
    <col min="8735" max="8735" width="14.5703125" style="1" customWidth="1"/>
    <col min="8736" max="8771" width="0" style="1" hidden="1" customWidth="1"/>
    <col min="8772" max="8786" width="6.7109375" style="1" customWidth="1"/>
    <col min="8787" max="8933" width="9.140625" style="1"/>
    <col min="8934" max="8934" width="3.85546875" style="1" customWidth="1"/>
    <col min="8935" max="8935" width="10.42578125" style="1" customWidth="1"/>
    <col min="8936" max="8936" width="0" style="1" hidden="1" customWidth="1"/>
    <col min="8937" max="8937" width="13.42578125" style="1" customWidth="1"/>
    <col min="8938" max="8973" width="0" style="1" hidden="1" customWidth="1"/>
    <col min="8974" max="8988" width="6.7109375" style="1" customWidth="1"/>
    <col min="8989" max="8989" width="9.140625" style="1"/>
    <col min="8990" max="8990" width="10.42578125" style="1" customWidth="1"/>
    <col min="8991" max="8991" width="14.5703125" style="1" customWidth="1"/>
    <col min="8992" max="9027" width="0" style="1" hidden="1" customWidth="1"/>
    <col min="9028" max="9042" width="6.7109375" style="1" customWidth="1"/>
    <col min="9043" max="9189" width="9.140625" style="1"/>
    <col min="9190" max="9190" width="3.85546875" style="1" customWidth="1"/>
    <col min="9191" max="9191" width="10.42578125" style="1" customWidth="1"/>
    <col min="9192" max="9192" width="0" style="1" hidden="1" customWidth="1"/>
    <col min="9193" max="9193" width="13.42578125" style="1" customWidth="1"/>
    <col min="9194" max="9229" width="0" style="1" hidden="1" customWidth="1"/>
    <col min="9230" max="9244" width="6.7109375" style="1" customWidth="1"/>
    <col min="9245" max="9245" width="9.140625" style="1"/>
    <col min="9246" max="9246" width="10.42578125" style="1" customWidth="1"/>
    <col min="9247" max="9247" width="14.5703125" style="1" customWidth="1"/>
    <col min="9248" max="9283" width="0" style="1" hidden="1" customWidth="1"/>
    <col min="9284" max="9298" width="6.7109375" style="1" customWidth="1"/>
    <col min="9299" max="9445" width="9.140625" style="1"/>
    <col min="9446" max="9446" width="3.85546875" style="1" customWidth="1"/>
    <col min="9447" max="9447" width="10.42578125" style="1" customWidth="1"/>
    <col min="9448" max="9448" width="0" style="1" hidden="1" customWidth="1"/>
    <col min="9449" max="9449" width="13.42578125" style="1" customWidth="1"/>
    <col min="9450" max="9485" width="0" style="1" hidden="1" customWidth="1"/>
    <col min="9486" max="9500" width="6.7109375" style="1" customWidth="1"/>
    <col min="9501" max="9501" width="9.140625" style="1"/>
    <col min="9502" max="9502" width="10.42578125" style="1" customWidth="1"/>
    <col min="9503" max="9503" width="14.5703125" style="1" customWidth="1"/>
    <col min="9504" max="9539" width="0" style="1" hidden="1" customWidth="1"/>
    <col min="9540" max="9554" width="6.7109375" style="1" customWidth="1"/>
    <col min="9555" max="9701" width="9.140625" style="1"/>
    <col min="9702" max="9702" width="3.85546875" style="1" customWidth="1"/>
    <col min="9703" max="9703" width="10.42578125" style="1" customWidth="1"/>
    <col min="9704" max="9704" width="0" style="1" hidden="1" customWidth="1"/>
    <col min="9705" max="9705" width="13.42578125" style="1" customWidth="1"/>
    <col min="9706" max="9741" width="0" style="1" hidden="1" customWidth="1"/>
    <col min="9742" max="9756" width="6.7109375" style="1" customWidth="1"/>
    <col min="9757" max="9757" width="9.140625" style="1"/>
    <col min="9758" max="9758" width="10.42578125" style="1" customWidth="1"/>
    <col min="9759" max="9759" width="14.5703125" style="1" customWidth="1"/>
    <col min="9760" max="9795" width="0" style="1" hidden="1" customWidth="1"/>
    <col min="9796" max="9810" width="6.7109375" style="1" customWidth="1"/>
    <col min="9811" max="9957" width="9.140625" style="1"/>
    <col min="9958" max="9958" width="3.85546875" style="1" customWidth="1"/>
    <col min="9959" max="9959" width="10.42578125" style="1" customWidth="1"/>
    <col min="9960" max="9960" width="0" style="1" hidden="1" customWidth="1"/>
    <col min="9961" max="9961" width="13.42578125" style="1" customWidth="1"/>
    <col min="9962" max="9997" width="0" style="1" hidden="1" customWidth="1"/>
    <col min="9998" max="10012" width="6.7109375" style="1" customWidth="1"/>
    <col min="10013" max="10013" width="9.140625" style="1"/>
    <col min="10014" max="10014" width="10.42578125" style="1" customWidth="1"/>
    <col min="10015" max="10015" width="14.5703125" style="1" customWidth="1"/>
    <col min="10016" max="10051" width="0" style="1" hidden="1" customWidth="1"/>
    <col min="10052" max="10066" width="6.7109375" style="1" customWidth="1"/>
    <col min="10067" max="10213" width="9.140625" style="1"/>
    <col min="10214" max="10214" width="3.85546875" style="1" customWidth="1"/>
    <col min="10215" max="10215" width="10.42578125" style="1" customWidth="1"/>
    <col min="10216" max="10216" width="0" style="1" hidden="1" customWidth="1"/>
    <col min="10217" max="10217" width="13.42578125" style="1" customWidth="1"/>
    <col min="10218" max="10253" width="0" style="1" hidden="1" customWidth="1"/>
    <col min="10254" max="10268" width="6.7109375" style="1" customWidth="1"/>
    <col min="10269" max="10269" width="9.140625" style="1"/>
    <col min="10270" max="10270" width="10.42578125" style="1" customWidth="1"/>
    <col min="10271" max="10271" width="14.5703125" style="1" customWidth="1"/>
    <col min="10272" max="10307" width="0" style="1" hidden="1" customWidth="1"/>
    <col min="10308" max="10322" width="6.7109375" style="1" customWidth="1"/>
    <col min="10323" max="10469" width="9.140625" style="1"/>
    <col min="10470" max="10470" width="3.85546875" style="1" customWidth="1"/>
    <col min="10471" max="10471" width="10.42578125" style="1" customWidth="1"/>
    <col min="10472" max="10472" width="0" style="1" hidden="1" customWidth="1"/>
    <col min="10473" max="10473" width="13.42578125" style="1" customWidth="1"/>
    <col min="10474" max="10509" width="0" style="1" hidden="1" customWidth="1"/>
    <col min="10510" max="10524" width="6.7109375" style="1" customWidth="1"/>
    <col min="10525" max="10525" width="9.140625" style="1"/>
    <col min="10526" max="10526" width="10.42578125" style="1" customWidth="1"/>
    <col min="10527" max="10527" width="14.5703125" style="1" customWidth="1"/>
    <col min="10528" max="10563" width="0" style="1" hidden="1" customWidth="1"/>
    <col min="10564" max="10578" width="6.7109375" style="1" customWidth="1"/>
    <col min="10579" max="10725" width="9.140625" style="1"/>
    <col min="10726" max="10726" width="3.85546875" style="1" customWidth="1"/>
    <col min="10727" max="10727" width="10.42578125" style="1" customWidth="1"/>
    <col min="10728" max="10728" width="0" style="1" hidden="1" customWidth="1"/>
    <col min="10729" max="10729" width="13.42578125" style="1" customWidth="1"/>
    <col min="10730" max="10765" width="0" style="1" hidden="1" customWidth="1"/>
    <col min="10766" max="10780" width="6.7109375" style="1" customWidth="1"/>
    <col min="10781" max="10781" width="9.140625" style="1"/>
    <col min="10782" max="10782" width="10.42578125" style="1" customWidth="1"/>
    <col min="10783" max="10783" width="14.5703125" style="1" customWidth="1"/>
    <col min="10784" max="10819" width="0" style="1" hidden="1" customWidth="1"/>
    <col min="10820" max="10834" width="6.7109375" style="1" customWidth="1"/>
    <col min="10835" max="10981" width="9.140625" style="1"/>
    <col min="10982" max="10982" width="3.85546875" style="1" customWidth="1"/>
    <col min="10983" max="10983" width="10.42578125" style="1" customWidth="1"/>
    <col min="10984" max="10984" width="0" style="1" hidden="1" customWidth="1"/>
    <col min="10985" max="10985" width="13.42578125" style="1" customWidth="1"/>
    <col min="10986" max="11021" width="0" style="1" hidden="1" customWidth="1"/>
    <col min="11022" max="11036" width="6.7109375" style="1" customWidth="1"/>
    <col min="11037" max="11037" width="9.140625" style="1"/>
    <col min="11038" max="11038" width="10.42578125" style="1" customWidth="1"/>
    <col min="11039" max="11039" width="14.5703125" style="1" customWidth="1"/>
    <col min="11040" max="11075" width="0" style="1" hidden="1" customWidth="1"/>
    <col min="11076" max="11090" width="6.7109375" style="1" customWidth="1"/>
    <col min="11091" max="11237" width="9.140625" style="1"/>
    <col min="11238" max="11238" width="3.85546875" style="1" customWidth="1"/>
    <col min="11239" max="11239" width="10.42578125" style="1" customWidth="1"/>
    <col min="11240" max="11240" width="0" style="1" hidden="1" customWidth="1"/>
    <col min="11241" max="11241" width="13.42578125" style="1" customWidth="1"/>
    <col min="11242" max="11277" width="0" style="1" hidden="1" customWidth="1"/>
    <col min="11278" max="11292" width="6.7109375" style="1" customWidth="1"/>
    <col min="11293" max="11293" width="9.140625" style="1"/>
    <col min="11294" max="11294" width="10.42578125" style="1" customWidth="1"/>
    <col min="11295" max="11295" width="14.5703125" style="1" customWidth="1"/>
    <col min="11296" max="11331" width="0" style="1" hidden="1" customWidth="1"/>
    <col min="11332" max="11346" width="6.7109375" style="1" customWidth="1"/>
    <col min="11347" max="11493" width="9.140625" style="1"/>
    <col min="11494" max="11494" width="3.85546875" style="1" customWidth="1"/>
    <col min="11495" max="11495" width="10.42578125" style="1" customWidth="1"/>
    <col min="11496" max="11496" width="0" style="1" hidden="1" customWidth="1"/>
    <col min="11497" max="11497" width="13.42578125" style="1" customWidth="1"/>
    <col min="11498" max="11533" width="0" style="1" hidden="1" customWidth="1"/>
    <col min="11534" max="11548" width="6.7109375" style="1" customWidth="1"/>
    <col min="11549" max="11549" width="9.140625" style="1"/>
    <col min="11550" max="11550" width="10.42578125" style="1" customWidth="1"/>
    <col min="11551" max="11551" width="14.5703125" style="1" customWidth="1"/>
    <col min="11552" max="11587" width="0" style="1" hidden="1" customWidth="1"/>
    <col min="11588" max="11602" width="6.7109375" style="1" customWidth="1"/>
    <col min="11603" max="11749" width="9.140625" style="1"/>
    <col min="11750" max="11750" width="3.85546875" style="1" customWidth="1"/>
    <col min="11751" max="11751" width="10.42578125" style="1" customWidth="1"/>
    <col min="11752" max="11752" width="0" style="1" hidden="1" customWidth="1"/>
    <col min="11753" max="11753" width="13.42578125" style="1" customWidth="1"/>
    <col min="11754" max="11789" width="0" style="1" hidden="1" customWidth="1"/>
    <col min="11790" max="11804" width="6.7109375" style="1" customWidth="1"/>
    <col min="11805" max="11805" width="9.140625" style="1"/>
    <col min="11806" max="11806" width="10.42578125" style="1" customWidth="1"/>
    <col min="11807" max="11807" width="14.5703125" style="1" customWidth="1"/>
    <col min="11808" max="11843" width="0" style="1" hidden="1" customWidth="1"/>
    <col min="11844" max="11858" width="6.7109375" style="1" customWidth="1"/>
    <col min="11859" max="12005" width="9.140625" style="1"/>
    <col min="12006" max="12006" width="3.85546875" style="1" customWidth="1"/>
    <col min="12007" max="12007" width="10.42578125" style="1" customWidth="1"/>
    <col min="12008" max="12008" width="0" style="1" hidden="1" customWidth="1"/>
    <col min="12009" max="12009" width="13.42578125" style="1" customWidth="1"/>
    <col min="12010" max="12045" width="0" style="1" hidden="1" customWidth="1"/>
    <col min="12046" max="12060" width="6.7109375" style="1" customWidth="1"/>
    <col min="12061" max="12061" width="9.140625" style="1"/>
    <col min="12062" max="12062" width="10.42578125" style="1" customWidth="1"/>
    <col min="12063" max="12063" width="14.5703125" style="1" customWidth="1"/>
    <col min="12064" max="12099" width="0" style="1" hidden="1" customWidth="1"/>
    <col min="12100" max="12114" width="6.7109375" style="1" customWidth="1"/>
    <col min="12115" max="12261" width="9.140625" style="1"/>
    <col min="12262" max="12262" width="3.85546875" style="1" customWidth="1"/>
    <col min="12263" max="12263" width="10.42578125" style="1" customWidth="1"/>
    <col min="12264" max="12264" width="0" style="1" hidden="1" customWidth="1"/>
    <col min="12265" max="12265" width="13.42578125" style="1" customWidth="1"/>
    <col min="12266" max="12301" width="0" style="1" hidden="1" customWidth="1"/>
    <col min="12302" max="12316" width="6.7109375" style="1" customWidth="1"/>
    <col min="12317" max="12317" width="9.140625" style="1"/>
    <col min="12318" max="12318" width="10.42578125" style="1" customWidth="1"/>
    <col min="12319" max="12319" width="14.5703125" style="1" customWidth="1"/>
    <col min="12320" max="12355" width="0" style="1" hidden="1" customWidth="1"/>
    <col min="12356" max="12370" width="6.7109375" style="1" customWidth="1"/>
    <col min="12371" max="12517" width="9.140625" style="1"/>
    <col min="12518" max="12518" width="3.85546875" style="1" customWidth="1"/>
    <col min="12519" max="12519" width="10.42578125" style="1" customWidth="1"/>
    <col min="12520" max="12520" width="0" style="1" hidden="1" customWidth="1"/>
    <col min="12521" max="12521" width="13.42578125" style="1" customWidth="1"/>
    <col min="12522" max="12557" width="0" style="1" hidden="1" customWidth="1"/>
    <col min="12558" max="12572" width="6.7109375" style="1" customWidth="1"/>
    <col min="12573" max="12573" width="9.140625" style="1"/>
    <col min="12574" max="12574" width="10.42578125" style="1" customWidth="1"/>
    <col min="12575" max="12575" width="14.5703125" style="1" customWidth="1"/>
    <col min="12576" max="12611" width="0" style="1" hidden="1" customWidth="1"/>
    <col min="12612" max="12626" width="6.7109375" style="1" customWidth="1"/>
    <col min="12627" max="12773" width="9.140625" style="1"/>
    <col min="12774" max="12774" width="3.85546875" style="1" customWidth="1"/>
    <col min="12775" max="12775" width="10.42578125" style="1" customWidth="1"/>
    <col min="12776" max="12776" width="0" style="1" hidden="1" customWidth="1"/>
    <col min="12777" max="12777" width="13.42578125" style="1" customWidth="1"/>
    <col min="12778" max="12813" width="0" style="1" hidden="1" customWidth="1"/>
    <col min="12814" max="12828" width="6.7109375" style="1" customWidth="1"/>
    <col min="12829" max="12829" width="9.140625" style="1"/>
    <col min="12830" max="12830" width="10.42578125" style="1" customWidth="1"/>
    <col min="12831" max="12831" width="14.5703125" style="1" customWidth="1"/>
    <col min="12832" max="12867" width="0" style="1" hidden="1" customWidth="1"/>
    <col min="12868" max="12882" width="6.7109375" style="1" customWidth="1"/>
    <col min="12883" max="13029" width="9.140625" style="1"/>
    <col min="13030" max="13030" width="3.85546875" style="1" customWidth="1"/>
    <col min="13031" max="13031" width="10.42578125" style="1" customWidth="1"/>
    <col min="13032" max="13032" width="0" style="1" hidden="1" customWidth="1"/>
    <col min="13033" max="13033" width="13.42578125" style="1" customWidth="1"/>
    <col min="13034" max="13069" width="0" style="1" hidden="1" customWidth="1"/>
    <col min="13070" max="13084" width="6.7109375" style="1" customWidth="1"/>
    <col min="13085" max="13085" width="9.140625" style="1"/>
    <col min="13086" max="13086" width="10.42578125" style="1" customWidth="1"/>
    <col min="13087" max="13087" width="14.5703125" style="1" customWidth="1"/>
    <col min="13088" max="13123" width="0" style="1" hidden="1" customWidth="1"/>
    <col min="13124" max="13138" width="6.7109375" style="1" customWidth="1"/>
    <col min="13139" max="13285" width="9.140625" style="1"/>
    <col min="13286" max="13286" width="3.85546875" style="1" customWidth="1"/>
    <col min="13287" max="13287" width="10.42578125" style="1" customWidth="1"/>
    <col min="13288" max="13288" width="0" style="1" hidden="1" customWidth="1"/>
    <col min="13289" max="13289" width="13.42578125" style="1" customWidth="1"/>
    <col min="13290" max="13325" width="0" style="1" hidden="1" customWidth="1"/>
    <col min="13326" max="13340" width="6.7109375" style="1" customWidth="1"/>
    <col min="13341" max="13341" width="9.140625" style="1"/>
    <col min="13342" max="13342" width="10.42578125" style="1" customWidth="1"/>
    <col min="13343" max="13343" width="14.5703125" style="1" customWidth="1"/>
    <col min="13344" max="13379" width="0" style="1" hidden="1" customWidth="1"/>
    <col min="13380" max="13394" width="6.7109375" style="1" customWidth="1"/>
    <col min="13395" max="13541" width="9.140625" style="1"/>
    <col min="13542" max="13542" width="3.85546875" style="1" customWidth="1"/>
    <col min="13543" max="13543" width="10.42578125" style="1" customWidth="1"/>
    <col min="13544" max="13544" width="0" style="1" hidden="1" customWidth="1"/>
    <col min="13545" max="13545" width="13.42578125" style="1" customWidth="1"/>
    <col min="13546" max="13581" width="0" style="1" hidden="1" customWidth="1"/>
    <col min="13582" max="13596" width="6.7109375" style="1" customWidth="1"/>
    <col min="13597" max="13597" width="9.140625" style="1"/>
    <col min="13598" max="13598" width="10.42578125" style="1" customWidth="1"/>
    <col min="13599" max="13599" width="14.5703125" style="1" customWidth="1"/>
    <col min="13600" max="13635" width="0" style="1" hidden="1" customWidth="1"/>
    <col min="13636" max="13650" width="6.7109375" style="1" customWidth="1"/>
    <col min="13651" max="13797" width="9.140625" style="1"/>
    <col min="13798" max="13798" width="3.85546875" style="1" customWidth="1"/>
    <col min="13799" max="13799" width="10.42578125" style="1" customWidth="1"/>
    <col min="13800" max="13800" width="0" style="1" hidden="1" customWidth="1"/>
    <col min="13801" max="13801" width="13.42578125" style="1" customWidth="1"/>
    <col min="13802" max="13837" width="0" style="1" hidden="1" customWidth="1"/>
    <col min="13838" max="13852" width="6.7109375" style="1" customWidth="1"/>
    <col min="13853" max="13853" width="9.140625" style="1"/>
    <col min="13854" max="13854" width="10.42578125" style="1" customWidth="1"/>
    <col min="13855" max="13855" width="14.5703125" style="1" customWidth="1"/>
    <col min="13856" max="13891" width="0" style="1" hidden="1" customWidth="1"/>
    <col min="13892" max="13906" width="6.7109375" style="1" customWidth="1"/>
    <col min="13907" max="14053" width="9.140625" style="1"/>
    <col min="14054" max="14054" width="3.85546875" style="1" customWidth="1"/>
    <col min="14055" max="14055" width="10.42578125" style="1" customWidth="1"/>
    <col min="14056" max="14056" width="0" style="1" hidden="1" customWidth="1"/>
    <col min="14057" max="14057" width="13.42578125" style="1" customWidth="1"/>
    <col min="14058" max="14093" width="0" style="1" hidden="1" customWidth="1"/>
    <col min="14094" max="14108" width="6.7109375" style="1" customWidth="1"/>
    <col min="14109" max="14109" width="9.140625" style="1"/>
    <col min="14110" max="14110" width="10.42578125" style="1" customWidth="1"/>
    <col min="14111" max="14111" width="14.5703125" style="1" customWidth="1"/>
    <col min="14112" max="14147" width="0" style="1" hidden="1" customWidth="1"/>
    <col min="14148" max="14162" width="6.7109375" style="1" customWidth="1"/>
    <col min="14163" max="14309" width="9.140625" style="1"/>
    <col min="14310" max="14310" width="3.85546875" style="1" customWidth="1"/>
    <col min="14311" max="14311" width="10.42578125" style="1" customWidth="1"/>
    <col min="14312" max="14312" width="0" style="1" hidden="1" customWidth="1"/>
    <col min="14313" max="14313" width="13.42578125" style="1" customWidth="1"/>
    <col min="14314" max="14349" width="0" style="1" hidden="1" customWidth="1"/>
    <col min="14350" max="14364" width="6.7109375" style="1" customWidth="1"/>
    <col min="14365" max="14365" width="9.140625" style="1"/>
    <col min="14366" max="14366" width="10.42578125" style="1" customWidth="1"/>
    <col min="14367" max="14367" width="14.5703125" style="1" customWidth="1"/>
    <col min="14368" max="14403" width="0" style="1" hidden="1" customWidth="1"/>
    <col min="14404" max="14418" width="6.7109375" style="1" customWidth="1"/>
    <col min="14419" max="14565" width="9.140625" style="1"/>
    <col min="14566" max="14566" width="3.85546875" style="1" customWidth="1"/>
    <col min="14567" max="14567" width="10.42578125" style="1" customWidth="1"/>
    <col min="14568" max="14568" width="0" style="1" hidden="1" customWidth="1"/>
    <col min="14569" max="14569" width="13.42578125" style="1" customWidth="1"/>
    <col min="14570" max="14605" width="0" style="1" hidden="1" customWidth="1"/>
    <col min="14606" max="14620" width="6.7109375" style="1" customWidth="1"/>
    <col min="14621" max="14621" width="9.140625" style="1"/>
    <col min="14622" max="14622" width="10.42578125" style="1" customWidth="1"/>
    <col min="14623" max="14623" width="14.5703125" style="1" customWidth="1"/>
    <col min="14624" max="14659" width="0" style="1" hidden="1" customWidth="1"/>
    <col min="14660" max="14674" width="6.7109375" style="1" customWidth="1"/>
    <col min="14675" max="14821" width="9.140625" style="1"/>
    <col min="14822" max="14822" width="3.85546875" style="1" customWidth="1"/>
    <col min="14823" max="14823" width="10.42578125" style="1" customWidth="1"/>
    <col min="14824" max="14824" width="0" style="1" hidden="1" customWidth="1"/>
    <col min="14825" max="14825" width="13.42578125" style="1" customWidth="1"/>
    <col min="14826" max="14861" width="0" style="1" hidden="1" customWidth="1"/>
    <col min="14862" max="14876" width="6.7109375" style="1" customWidth="1"/>
    <col min="14877" max="14877" width="9.140625" style="1"/>
    <col min="14878" max="14878" width="10.42578125" style="1" customWidth="1"/>
    <col min="14879" max="14879" width="14.5703125" style="1" customWidth="1"/>
    <col min="14880" max="14915" width="0" style="1" hidden="1" customWidth="1"/>
    <col min="14916" max="14930" width="6.7109375" style="1" customWidth="1"/>
    <col min="14931" max="15077" width="9.140625" style="1"/>
    <col min="15078" max="15078" width="3.85546875" style="1" customWidth="1"/>
    <col min="15079" max="15079" width="10.42578125" style="1" customWidth="1"/>
    <col min="15080" max="15080" width="0" style="1" hidden="1" customWidth="1"/>
    <col min="15081" max="15081" width="13.42578125" style="1" customWidth="1"/>
    <col min="15082" max="15117" width="0" style="1" hidden="1" customWidth="1"/>
    <col min="15118" max="15132" width="6.7109375" style="1" customWidth="1"/>
    <col min="15133" max="15133" width="9.140625" style="1"/>
    <col min="15134" max="15134" width="10.42578125" style="1" customWidth="1"/>
    <col min="15135" max="15135" width="14.5703125" style="1" customWidth="1"/>
    <col min="15136" max="15171" width="0" style="1" hidden="1" customWidth="1"/>
    <col min="15172" max="15186" width="6.7109375" style="1" customWidth="1"/>
    <col min="15187" max="15333" width="9.140625" style="1"/>
    <col min="15334" max="15334" width="3.85546875" style="1" customWidth="1"/>
    <col min="15335" max="15335" width="10.42578125" style="1" customWidth="1"/>
    <col min="15336" max="15336" width="0" style="1" hidden="1" customWidth="1"/>
    <col min="15337" max="15337" width="13.42578125" style="1" customWidth="1"/>
    <col min="15338" max="15373" width="0" style="1" hidden="1" customWidth="1"/>
    <col min="15374" max="15388" width="6.7109375" style="1" customWidth="1"/>
    <col min="15389" max="15389" width="9.140625" style="1"/>
    <col min="15390" max="15390" width="10.42578125" style="1" customWidth="1"/>
    <col min="15391" max="15391" width="14.5703125" style="1" customWidth="1"/>
    <col min="15392" max="15427" width="0" style="1" hidden="1" customWidth="1"/>
    <col min="15428" max="15442" width="6.7109375" style="1" customWidth="1"/>
    <col min="15443" max="15589" width="9.140625" style="1"/>
    <col min="15590" max="15590" width="3.85546875" style="1" customWidth="1"/>
    <col min="15591" max="15591" width="10.42578125" style="1" customWidth="1"/>
    <col min="15592" max="15592" width="0" style="1" hidden="1" customWidth="1"/>
    <col min="15593" max="15593" width="13.42578125" style="1" customWidth="1"/>
    <col min="15594" max="15629" width="0" style="1" hidden="1" customWidth="1"/>
    <col min="15630" max="15644" width="6.7109375" style="1" customWidth="1"/>
    <col min="15645" max="15645" width="9.140625" style="1"/>
    <col min="15646" max="15646" width="10.42578125" style="1" customWidth="1"/>
    <col min="15647" max="15647" width="14.5703125" style="1" customWidth="1"/>
    <col min="15648" max="15683" width="0" style="1" hidden="1" customWidth="1"/>
    <col min="15684" max="15698" width="6.7109375" style="1" customWidth="1"/>
    <col min="15699" max="15845" width="9.140625" style="1"/>
    <col min="15846" max="15846" width="3.85546875" style="1" customWidth="1"/>
    <col min="15847" max="15847" width="10.42578125" style="1" customWidth="1"/>
    <col min="15848" max="15848" width="0" style="1" hidden="1" customWidth="1"/>
    <col min="15849" max="15849" width="13.42578125" style="1" customWidth="1"/>
    <col min="15850" max="15885" width="0" style="1" hidden="1" customWidth="1"/>
    <col min="15886" max="15900" width="6.7109375" style="1" customWidth="1"/>
    <col min="15901" max="15901" width="9.140625" style="1"/>
    <col min="15902" max="15902" width="10.42578125" style="1" customWidth="1"/>
    <col min="15903" max="15903" width="14.5703125" style="1" customWidth="1"/>
    <col min="15904" max="15939" width="0" style="1" hidden="1" customWidth="1"/>
    <col min="15940" max="15954" width="6.7109375" style="1" customWidth="1"/>
    <col min="15955" max="16101" width="9.140625" style="1"/>
    <col min="16102" max="16102" width="3.85546875" style="1" customWidth="1"/>
    <col min="16103" max="16103" width="10.42578125" style="1" customWidth="1"/>
    <col min="16104" max="16104" width="0" style="1" hidden="1" customWidth="1"/>
    <col min="16105" max="16105" width="13.42578125" style="1" customWidth="1"/>
    <col min="16106" max="16141" width="0" style="1" hidden="1" customWidth="1"/>
    <col min="16142" max="16156" width="6.7109375" style="1" customWidth="1"/>
    <col min="16157" max="16157" width="9.140625" style="1"/>
    <col min="16158" max="16158" width="10.42578125" style="1" customWidth="1"/>
    <col min="16159" max="16159" width="14.5703125" style="1" customWidth="1"/>
    <col min="16160" max="16195" width="0" style="1" hidden="1" customWidth="1"/>
    <col min="16196" max="16210" width="6.7109375" style="1" customWidth="1"/>
    <col min="16211" max="16384" width="9.140625" style="1"/>
  </cols>
  <sheetData>
    <row r="2" spans="1:113" ht="15" customHeight="1" x14ac:dyDescent="0.25">
      <c r="A2" s="87" t="s">
        <v>20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90"/>
    </row>
    <row r="3" spans="1:113" ht="13.5" customHeight="1" x14ac:dyDescent="0.2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24"/>
    </row>
    <row r="4" spans="1:113" ht="15" customHeight="1" x14ac:dyDescent="0.25">
      <c r="A4" s="23"/>
      <c r="B4" s="29" t="s">
        <v>22</v>
      </c>
      <c r="C4" s="4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24"/>
    </row>
    <row r="5" spans="1:113" ht="15" customHeight="1" x14ac:dyDescent="0.25">
      <c r="A5" s="23"/>
      <c r="B5" s="77" t="s">
        <v>93</v>
      </c>
      <c r="C5" s="47"/>
      <c r="D5" s="47"/>
      <c r="E5" s="47"/>
      <c r="F5" s="3"/>
      <c r="G5" s="3"/>
      <c r="H5" s="3"/>
      <c r="I5" s="3"/>
      <c r="J5" s="3"/>
      <c r="K5" s="3"/>
      <c r="L5" s="4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24"/>
      <c r="AD5" s="40" t="s">
        <v>94</v>
      </c>
      <c r="AF5" s="3"/>
      <c r="AG5" s="3"/>
      <c r="AH5" s="3"/>
      <c r="AI5" s="3"/>
      <c r="AJ5" s="3"/>
      <c r="AK5" s="3"/>
      <c r="AL5" s="3"/>
      <c r="AM5" s="3"/>
      <c r="AN5" s="3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</row>
    <row r="6" spans="1:113" ht="13.5" customHeight="1" thickBot="1" x14ac:dyDescent="0.25">
      <c r="A6" s="2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24"/>
      <c r="AD6" s="40" t="s">
        <v>58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</row>
    <row r="7" spans="1:113" ht="13.5" customHeight="1" thickTop="1" x14ac:dyDescent="0.2">
      <c r="A7" s="23"/>
      <c r="B7" s="3"/>
      <c r="C7" s="4"/>
      <c r="D7" s="4"/>
      <c r="E7" s="4"/>
      <c r="F7" s="34" t="s">
        <v>74</v>
      </c>
      <c r="G7" s="35" t="s">
        <v>75</v>
      </c>
      <c r="H7" s="35" t="s">
        <v>76</v>
      </c>
      <c r="I7" s="35" t="s">
        <v>77</v>
      </c>
      <c r="J7" s="35" t="s">
        <v>78</v>
      </c>
      <c r="K7" s="35" t="s">
        <v>79</v>
      </c>
      <c r="L7" s="35" t="s">
        <v>73</v>
      </c>
      <c r="M7" s="35" t="s">
        <v>72</v>
      </c>
      <c r="N7" s="34" t="s">
        <v>71</v>
      </c>
      <c r="O7" s="35" t="s">
        <v>70</v>
      </c>
      <c r="P7" s="35" t="s">
        <v>69</v>
      </c>
      <c r="Q7" s="35" t="s">
        <v>40</v>
      </c>
      <c r="R7" s="35" t="s">
        <v>39</v>
      </c>
      <c r="S7" s="35" t="s">
        <v>38</v>
      </c>
      <c r="T7" s="35" t="s">
        <v>37</v>
      </c>
      <c r="U7" s="35" t="s">
        <v>36</v>
      </c>
      <c r="V7" s="35" t="s">
        <v>34</v>
      </c>
      <c r="W7" s="35" t="s">
        <v>33</v>
      </c>
      <c r="X7" s="35" t="s">
        <v>32</v>
      </c>
      <c r="Y7" s="35" t="s">
        <v>31</v>
      </c>
      <c r="Z7" s="35" t="s">
        <v>30</v>
      </c>
      <c r="AA7" s="35" t="s">
        <v>29</v>
      </c>
      <c r="AB7" s="48"/>
      <c r="AF7" s="81" t="s">
        <v>41</v>
      </c>
      <c r="AG7" s="81"/>
      <c r="AH7" s="81"/>
      <c r="AI7" s="81" t="s">
        <v>42</v>
      </c>
      <c r="AJ7" s="81"/>
      <c r="AK7" s="81"/>
      <c r="AL7" s="81" t="s">
        <v>43</v>
      </c>
      <c r="AM7" s="81"/>
      <c r="AN7" s="81"/>
      <c r="AO7" s="81" t="s">
        <v>44</v>
      </c>
      <c r="AP7" s="81"/>
      <c r="AQ7" s="81"/>
      <c r="AR7" s="81" t="s">
        <v>45</v>
      </c>
      <c r="AS7" s="81"/>
      <c r="AT7" s="81"/>
      <c r="AU7" s="81" t="s">
        <v>46</v>
      </c>
      <c r="AV7" s="81"/>
      <c r="AW7" s="81"/>
      <c r="AX7" s="81" t="s">
        <v>47</v>
      </c>
      <c r="AY7" s="81"/>
      <c r="AZ7" s="81"/>
      <c r="BA7" s="81" t="s">
        <v>48</v>
      </c>
      <c r="BB7" s="81"/>
      <c r="BC7" s="81"/>
      <c r="BD7" s="81" t="s">
        <v>49</v>
      </c>
      <c r="BE7" s="81"/>
      <c r="BF7" s="81"/>
      <c r="BG7" s="81" t="s">
        <v>50</v>
      </c>
      <c r="BH7" s="81"/>
      <c r="BI7" s="81"/>
      <c r="BJ7" s="81" t="s">
        <v>51</v>
      </c>
      <c r="BK7" s="81"/>
      <c r="BL7" s="81"/>
      <c r="BM7" s="81" t="s">
        <v>52</v>
      </c>
      <c r="BN7" s="81"/>
      <c r="BO7" s="81"/>
      <c r="BP7" s="81" t="s">
        <v>53</v>
      </c>
      <c r="BQ7" s="81"/>
      <c r="BR7" s="81"/>
      <c r="BS7" s="81" t="s">
        <v>54</v>
      </c>
      <c r="BT7" s="81"/>
      <c r="BU7" s="81"/>
      <c r="BV7" s="81" t="s">
        <v>55</v>
      </c>
      <c r="BW7" s="81"/>
      <c r="BX7" s="81"/>
      <c r="BY7" s="81" t="s">
        <v>56</v>
      </c>
      <c r="BZ7" s="81"/>
      <c r="CA7" s="81"/>
      <c r="CB7" s="81" t="s">
        <v>27</v>
      </c>
      <c r="CC7" s="81"/>
      <c r="CD7" s="81"/>
      <c r="CE7" s="81" t="s">
        <v>91</v>
      </c>
      <c r="CF7" s="81"/>
      <c r="CG7" s="81"/>
      <c r="CH7" s="81" t="s">
        <v>98</v>
      </c>
      <c r="CI7" s="81"/>
      <c r="CJ7" s="81"/>
      <c r="CK7" s="81" t="s">
        <v>102</v>
      </c>
      <c r="CL7" s="81"/>
      <c r="CM7" s="81"/>
      <c r="CN7" s="81" t="s">
        <v>105</v>
      </c>
      <c r="CO7" s="81"/>
      <c r="CP7" s="81"/>
      <c r="CQ7" s="81" t="s">
        <v>107</v>
      </c>
      <c r="CR7" s="81"/>
      <c r="CS7" s="81"/>
    </row>
    <row r="8" spans="1:113" ht="13.5" customHeight="1" x14ac:dyDescent="0.2">
      <c r="A8" s="23"/>
      <c r="B8" s="3"/>
      <c r="C8" s="4"/>
      <c r="D8" s="4"/>
      <c r="E8" s="4"/>
      <c r="F8" s="35" t="s">
        <v>35</v>
      </c>
      <c r="G8" s="35" t="s">
        <v>35</v>
      </c>
      <c r="H8" s="35" t="s">
        <v>35</v>
      </c>
      <c r="I8" s="35" t="s">
        <v>35</v>
      </c>
      <c r="J8" s="35" t="s">
        <v>35</v>
      </c>
      <c r="K8" s="35" t="s">
        <v>35</v>
      </c>
      <c r="L8" s="35" t="s">
        <v>35</v>
      </c>
      <c r="M8" s="35" t="s">
        <v>35</v>
      </c>
      <c r="N8" s="35" t="s">
        <v>35</v>
      </c>
      <c r="O8" s="35" t="s">
        <v>35</v>
      </c>
      <c r="P8" s="35" t="s">
        <v>35</v>
      </c>
      <c r="Q8" s="35" t="s">
        <v>35</v>
      </c>
      <c r="R8" s="35" t="s">
        <v>35</v>
      </c>
      <c r="S8" s="35" t="s">
        <v>35</v>
      </c>
      <c r="T8" s="35" t="s">
        <v>35</v>
      </c>
      <c r="U8" s="35" t="s">
        <v>35</v>
      </c>
      <c r="V8" s="35" t="s">
        <v>35</v>
      </c>
      <c r="W8" s="35" t="s">
        <v>35</v>
      </c>
      <c r="X8" s="35" t="s">
        <v>35</v>
      </c>
      <c r="Y8" s="35" t="s">
        <v>35</v>
      </c>
      <c r="Z8" s="35" t="s">
        <v>35</v>
      </c>
      <c r="AA8" s="35" t="s">
        <v>35</v>
      </c>
      <c r="AB8" s="48"/>
      <c r="AC8" s="3"/>
      <c r="AD8" s="3"/>
      <c r="AE8" s="3"/>
      <c r="AF8" s="81" t="s">
        <v>1</v>
      </c>
      <c r="AG8" s="81"/>
      <c r="AH8" s="81"/>
      <c r="AI8" s="81" t="s">
        <v>2</v>
      </c>
      <c r="AJ8" s="81"/>
      <c r="AK8" s="81"/>
      <c r="AL8" s="81" t="s">
        <v>3</v>
      </c>
      <c r="AM8" s="81"/>
      <c r="AN8" s="81"/>
      <c r="AO8" s="81" t="s">
        <v>4</v>
      </c>
      <c r="AP8" s="81"/>
      <c r="AQ8" s="81"/>
      <c r="AR8" s="81" t="s">
        <v>5</v>
      </c>
      <c r="AS8" s="81"/>
      <c r="AT8" s="81"/>
      <c r="AU8" s="81" t="s">
        <v>6</v>
      </c>
      <c r="AV8" s="81"/>
      <c r="AW8" s="81"/>
      <c r="AX8" s="81" t="s">
        <v>7</v>
      </c>
      <c r="AY8" s="81"/>
      <c r="AZ8" s="81"/>
      <c r="BA8" s="81" t="s">
        <v>8</v>
      </c>
      <c r="BB8" s="81"/>
      <c r="BC8" s="81"/>
      <c r="BD8" s="81" t="s">
        <v>9</v>
      </c>
      <c r="BE8" s="81"/>
      <c r="BF8" s="81"/>
      <c r="BG8" s="81" t="s">
        <v>10</v>
      </c>
      <c r="BH8" s="81"/>
      <c r="BI8" s="81"/>
      <c r="BJ8" s="81" t="s">
        <v>11</v>
      </c>
      <c r="BK8" s="81"/>
      <c r="BL8" s="81"/>
      <c r="BM8" s="81" t="s">
        <v>12</v>
      </c>
      <c r="BN8" s="81"/>
      <c r="BO8" s="81"/>
      <c r="BP8" s="81" t="s">
        <v>13</v>
      </c>
      <c r="BQ8" s="81"/>
      <c r="BR8" s="81"/>
      <c r="BS8" s="81" t="s">
        <v>14</v>
      </c>
      <c r="BT8" s="81"/>
      <c r="BU8" s="81"/>
      <c r="BV8" s="81" t="s">
        <v>15</v>
      </c>
      <c r="BW8" s="81"/>
      <c r="BX8" s="81"/>
      <c r="BY8" s="81" t="s">
        <v>16</v>
      </c>
      <c r="BZ8" s="81"/>
      <c r="CA8" s="81"/>
      <c r="CB8" s="81" t="s">
        <v>17</v>
      </c>
      <c r="CC8" s="81"/>
      <c r="CD8" s="81"/>
      <c r="CE8" s="81" t="s">
        <v>92</v>
      </c>
      <c r="CF8" s="81"/>
      <c r="CG8" s="81"/>
      <c r="CH8" s="81" t="s">
        <v>99</v>
      </c>
      <c r="CI8" s="81"/>
      <c r="CJ8" s="81"/>
      <c r="CK8" s="81" t="s">
        <v>101</v>
      </c>
      <c r="CL8" s="81"/>
      <c r="CM8" s="81"/>
      <c r="CN8" s="81" t="s">
        <v>104</v>
      </c>
      <c r="CO8" s="81"/>
      <c r="CP8" s="81"/>
      <c r="CQ8" s="81" t="s">
        <v>108</v>
      </c>
      <c r="CR8" s="81"/>
      <c r="CS8" s="81"/>
    </row>
    <row r="9" spans="1:113" ht="13.5" customHeight="1" x14ac:dyDescent="0.2">
      <c r="A9" s="23"/>
      <c r="B9" s="17"/>
      <c r="C9" s="6"/>
      <c r="D9" s="6"/>
      <c r="E9" s="6"/>
      <c r="F9" s="31" t="s">
        <v>73</v>
      </c>
      <c r="G9" s="31" t="s">
        <v>72</v>
      </c>
      <c r="H9" s="31" t="s">
        <v>71</v>
      </c>
      <c r="I9" s="31" t="s">
        <v>70</v>
      </c>
      <c r="J9" s="31" t="s">
        <v>69</v>
      </c>
      <c r="K9" s="31" t="s">
        <v>40</v>
      </c>
      <c r="L9" s="31" t="s">
        <v>39</v>
      </c>
      <c r="M9" s="31" t="s">
        <v>38</v>
      </c>
      <c r="N9" s="31" t="s">
        <v>37</v>
      </c>
      <c r="O9" s="31" t="s">
        <v>36</v>
      </c>
      <c r="P9" s="31" t="s">
        <v>34</v>
      </c>
      <c r="Q9" s="31" t="s">
        <v>33</v>
      </c>
      <c r="R9" s="31" t="s">
        <v>32</v>
      </c>
      <c r="S9" s="31" t="s">
        <v>31</v>
      </c>
      <c r="T9" s="31" t="s">
        <v>30</v>
      </c>
      <c r="U9" s="31" t="s">
        <v>29</v>
      </c>
      <c r="V9" s="31" t="s">
        <v>28</v>
      </c>
      <c r="W9" s="31" t="s">
        <v>90</v>
      </c>
      <c r="X9" s="31" t="s">
        <v>97</v>
      </c>
      <c r="Y9" s="31" t="s">
        <v>100</v>
      </c>
      <c r="Z9" s="31" t="s">
        <v>103</v>
      </c>
      <c r="AA9" s="31" t="s">
        <v>106</v>
      </c>
      <c r="AB9" s="49"/>
      <c r="AC9" s="7"/>
      <c r="AD9" s="7"/>
      <c r="AE9" s="7"/>
      <c r="AF9" s="35" t="s">
        <v>25</v>
      </c>
      <c r="AG9" s="35" t="s">
        <v>26</v>
      </c>
      <c r="AH9" s="35" t="s">
        <v>18</v>
      </c>
      <c r="AI9" s="35" t="s">
        <v>25</v>
      </c>
      <c r="AJ9" s="35" t="s">
        <v>26</v>
      </c>
      <c r="AK9" s="35" t="s">
        <v>18</v>
      </c>
      <c r="AL9" s="35" t="s">
        <v>25</v>
      </c>
      <c r="AM9" s="35" t="s">
        <v>26</v>
      </c>
      <c r="AN9" s="35" t="s">
        <v>18</v>
      </c>
      <c r="AO9" s="35" t="s">
        <v>25</v>
      </c>
      <c r="AP9" s="35" t="s">
        <v>26</v>
      </c>
      <c r="AQ9" s="35" t="s">
        <v>18</v>
      </c>
      <c r="AR9" s="35" t="s">
        <v>25</v>
      </c>
      <c r="AS9" s="35" t="s">
        <v>26</v>
      </c>
      <c r="AT9" s="35" t="s">
        <v>18</v>
      </c>
      <c r="AU9" s="35" t="s">
        <v>25</v>
      </c>
      <c r="AV9" s="35" t="s">
        <v>26</v>
      </c>
      <c r="AW9" s="35" t="s">
        <v>18</v>
      </c>
      <c r="AX9" s="35" t="s">
        <v>25</v>
      </c>
      <c r="AY9" s="35" t="s">
        <v>26</v>
      </c>
      <c r="AZ9" s="35" t="s">
        <v>18</v>
      </c>
      <c r="BA9" s="35" t="s">
        <v>25</v>
      </c>
      <c r="BB9" s="35" t="s">
        <v>26</v>
      </c>
      <c r="BC9" s="35" t="s">
        <v>18</v>
      </c>
      <c r="BD9" s="35" t="s">
        <v>25</v>
      </c>
      <c r="BE9" s="35" t="s">
        <v>26</v>
      </c>
      <c r="BF9" s="35" t="s">
        <v>18</v>
      </c>
      <c r="BG9" s="35" t="s">
        <v>25</v>
      </c>
      <c r="BH9" s="35" t="s">
        <v>26</v>
      </c>
      <c r="BI9" s="35" t="s">
        <v>18</v>
      </c>
      <c r="BJ9" s="35" t="s">
        <v>25</v>
      </c>
      <c r="BK9" s="35" t="s">
        <v>26</v>
      </c>
      <c r="BL9" s="35" t="s">
        <v>18</v>
      </c>
      <c r="BM9" s="35" t="s">
        <v>25</v>
      </c>
      <c r="BN9" s="35" t="s">
        <v>26</v>
      </c>
      <c r="BO9" s="35" t="s">
        <v>18</v>
      </c>
      <c r="BP9" s="35" t="s">
        <v>25</v>
      </c>
      <c r="BQ9" s="35" t="s">
        <v>26</v>
      </c>
      <c r="BR9" s="35" t="s">
        <v>18</v>
      </c>
      <c r="BS9" s="35" t="s">
        <v>25</v>
      </c>
      <c r="BT9" s="35" t="s">
        <v>26</v>
      </c>
      <c r="BU9" s="35" t="s">
        <v>18</v>
      </c>
      <c r="BV9" s="35" t="s">
        <v>25</v>
      </c>
      <c r="BW9" s="35" t="s">
        <v>26</v>
      </c>
      <c r="BX9" s="35" t="s">
        <v>18</v>
      </c>
      <c r="BY9" s="35" t="s">
        <v>25</v>
      </c>
      <c r="BZ9" s="35" t="s">
        <v>26</v>
      </c>
      <c r="CA9" s="35" t="s">
        <v>18</v>
      </c>
      <c r="CB9" s="35" t="s">
        <v>25</v>
      </c>
      <c r="CC9" s="35" t="s">
        <v>26</v>
      </c>
      <c r="CD9" s="35" t="s">
        <v>18</v>
      </c>
      <c r="CE9" s="35" t="s">
        <v>25</v>
      </c>
      <c r="CF9" s="35" t="s">
        <v>26</v>
      </c>
      <c r="CG9" s="35" t="s">
        <v>18</v>
      </c>
      <c r="CH9" s="35" t="s">
        <v>25</v>
      </c>
      <c r="CI9" s="35" t="s">
        <v>26</v>
      </c>
      <c r="CJ9" s="35" t="s">
        <v>18</v>
      </c>
      <c r="CK9" s="35" t="s">
        <v>25</v>
      </c>
      <c r="CL9" s="35" t="s">
        <v>26</v>
      </c>
      <c r="CM9" s="35" t="s">
        <v>18</v>
      </c>
      <c r="CN9" s="35" t="s">
        <v>25</v>
      </c>
      <c r="CO9" s="35" t="s">
        <v>26</v>
      </c>
      <c r="CP9" s="35" t="s">
        <v>18</v>
      </c>
      <c r="CQ9" s="35" t="s">
        <v>25</v>
      </c>
      <c r="CR9" s="35" t="s">
        <v>26</v>
      </c>
      <c r="CS9" s="35" t="s">
        <v>18</v>
      </c>
    </row>
    <row r="10" spans="1:113" ht="13.5" customHeight="1" x14ac:dyDescent="0.2">
      <c r="A10" s="23"/>
      <c r="B10" s="3"/>
      <c r="C10" s="3"/>
      <c r="D10" s="3"/>
      <c r="E10" s="3"/>
      <c r="F10" s="71"/>
      <c r="G10" s="7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24"/>
      <c r="AF10" s="72"/>
      <c r="AG10" s="72"/>
      <c r="AH10" s="72"/>
      <c r="AI10" s="72"/>
      <c r="AJ10" s="72"/>
      <c r="AK10" s="72"/>
      <c r="AL10" s="72"/>
      <c r="AM10" s="72"/>
    </row>
    <row r="11" spans="1:113" ht="13.5" customHeight="1" x14ac:dyDescent="0.2">
      <c r="A11" s="23"/>
      <c r="B11" s="78" t="s">
        <v>24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24"/>
      <c r="AF11" s="72"/>
      <c r="AG11" s="72"/>
      <c r="AH11" s="72"/>
      <c r="AI11" s="72"/>
      <c r="AJ11" s="72"/>
      <c r="AK11" s="72"/>
      <c r="AL11" s="72"/>
      <c r="AM11" s="72"/>
    </row>
    <row r="12" spans="1:113" ht="13.5" customHeight="1" x14ac:dyDescent="0.25">
      <c r="A12" s="23"/>
      <c r="B12" s="3"/>
      <c r="C12" s="4" t="s">
        <v>19</v>
      </c>
      <c r="D12" s="3"/>
      <c r="E12" s="3"/>
      <c r="F12" s="73"/>
      <c r="G12" s="73"/>
      <c r="H12" s="73"/>
      <c r="I12" s="73"/>
      <c r="J12" s="73"/>
      <c r="K12" s="73"/>
      <c r="L12" s="73"/>
      <c r="M12" s="71"/>
      <c r="N12" s="71"/>
      <c r="O12" s="73"/>
      <c r="P12" s="73"/>
      <c r="Q12" s="73"/>
      <c r="R12" s="73"/>
      <c r="S12" s="73"/>
      <c r="T12" s="71"/>
      <c r="U12" s="71"/>
      <c r="V12" s="71"/>
      <c r="W12" s="37"/>
      <c r="X12" s="37"/>
      <c r="Y12" s="37"/>
      <c r="Z12" s="37"/>
      <c r="AA12" s="37"/>
      <c r="AB12" s="48"/>
      <c r="AF12" s="82" t="s">
        <v>19</v>
      </c>
      <c r="AG12" s="82"/>
      <c r="AH12" s="82"/>
      <c r="AI12" s="82"/>
      <c r="AJ12" s="82"/>
      <c r="AK12" s="82"/>
      <c r="AL12" s="82"/>
      <c r="AM12" s="82"/>
      <c r="AN12" s="82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</row>
    <row r="13" spans="1:113" ht="13.5" customHeight="1" x14ac:dyDescent="0.2">
      <c r="A13" s="23"/>
      <c r="B13" s="3"/>
      <c r="D13" s="3" t="s">
        <v>65</v>
      </c>
      <c r="E13" s="3"/>
      <c r="F13" s="11">
        <f>AH13</f>
        <v>5207</v>
      </c>
      <c r="G13" s="11">
        <f>AK13</f>
        <v>4665</v>
      </c>
      <c r="H13" s="11">
        <f>AN13</f>
        <v>4657</v>
      </c>
      <c r="I13" s="11">
        <f>AQ13</f>
        <v>5404</v>
      </c>
      <c r="J13" s="11">
        <f>AT13</f>
        <v>5706</v>
      </c>
      <c r="K13" s="11">
        <f>AW13</f>
        <v>5662</v>
      </c>
      <c r="L13" s="11">
        <f>AZ13</f>
        <v>5253</v>
      </c>
      <c r="M13" s="11">
        <f>BC13</f>
        <v>5655</v>
      </c>
      <c r="N13" s="11">
        <f>BF13</f>
        <v>5735</v>
      </c>
      <c r="O13" s="11">
        <f>BI13</f>
        <v>6034</v>
      </c>
      <c r="P13" s="11">
        <f>BL13</f>
        <v>6058</v>
      </c>
      <c r="Q13" s="11">
        <f>BO13</f>
        <v>6337</v>
      </c>
      <c r="R13" s="11">
        <f>BR13</f>
        <v>6697</v>
      </c>
      <c r="S13" s="11">
        <f>BU13</f>
        <v>6763</v>
      </c>
      <c r="T13" s="11">
        <f>BX13</f>
        <v>7043</v>
      </c>
      <c r="U13" s="11">
        <f>CA13</f>
        <v>7116</v>
      </c>
      <c r="V13" s="11">
        <f t="shared" ref="V13" si="0">CD13</f>
        <v>7293</v>
      </c>
      <c r="W13" s="11">
        <f>CG13</f>
        <v>8142</v>
      </c>
      <c r="X13" s="11">
        <f>CJ13</f>
        <v>8064</v>
      </c>
      <c r="Y13" s="11">
        <f>CM13</f>
        <v>8722</v>
      </c>
      <c r="Z13" s="11">
        <f>CP13</f>
        <v>8726</v>
      </c>
      <c r="AA13" s="11">
        <f>CS13</f>
        <v>9118</v>
      </c>
      <c r="AB13" s="12"/>
      <c r="AC13" s="13"/>
      <c r="AD13" s="3" t="s">
        <v>65</v>
      </c>
      <c r="AE13" s="3"/>
      <c r="AF13" s="39">
        <f>MU!AF13+UMKC!AF13+'S&amp;T'!AF13+UMSL!AF13</f>
        <v>2641</v>
      </c>
      <c r="AG13" s="39">
        <f>MU!AG13+UMKC!AG13+'S&amp;T'!AG13+UMSL!AG13</f>
        <v>2566</v>
      </c>
      <c r="AH13" s="39">
        <f>AF13+AG13</f>
        <v>5207</v>
      </c>
      <c r="AI13" s="39">
        <f>MU!AI13+UMKC!AI13+'S&amp;T'!AI13+UMSL!AI13</f>
        <v>2412</v>
      </c>
      <c r="AJ13" s="39">
        <f>MU!AJ13+UMKC!AJ13+'S&amp;T'!AJ13+UMSL!AJ13</f>
        <v>2253</v>
      </c>
      <c r="AK13" s="39">
        <f>AI13+AJ13</f>
        <v>4665</v>
      </c>
      <c r="AL13" s="39">
        <f>MU!AL13+UMKC!AL13+'S&amp;T'!AL13+UMSL!AL13</f>
        <v>2459</v>
      </c>
      <c r="AM13" s="39">
        <f>MU!AM13+UMKC!AM13+'S&amp;T'!AM13+UMSL!AM13</f>
        <v>2198</v>
      </c>
      <c r="AN13" s="39">
        <f>AL13+AM13</f>
        <v>4657</v>
      </c>
      <c r="AO13" s="39">
        <f>MU!AO13+UMKC!AO13+'S&amp;T'!AO13+UMSL!AO13</f>
        <v>2637</v>
      </c>
      <c r="AP13" s="39">
        <f>MU!AP13+UMKC!AP13+'S&amp;T'!AP13+UMSL!AP13</f>
        <v>2767</v>
      </c>
      <c r="AQ13" s="39">
        <f>AO13+AP13</f>
        <v>5404</v>
      </c>
      <c r="AR13" s="39">
        <f>MU!AR13+UMKC!AR13+'S&amp;T'!AR13+UMSL!AR13</f>
        <v>2784</v>
      </c>
      <c r="AS13" s="39">
        <f>MU!AS13+UMKC!AS13+'S&amp;T'!AS13+UMSL!AS13</f>
        <v>2922</v>
      </c>
      <c r="AT13" s="39">
        <f>AR13+AS13</f>
        <v>5706</v>
      </c>
      <c r="AU13" s="39">
        <f>MU!AU13+UMKC!AU13+'S&amp;T'!AU13+UMSL!AU13</f>
        <v>2787</v>
      </c>
      <c r="AV13" s="39">
        <f>MU!AV13+UMKC!AV13+'S&amp;T'!AV13+UMSL!AV13</f>
        <v>2875</v>
      </c>
      <c r="AW13" s="39">
        <f>AU13+AV13</f>
        <v>5662</v>
      </c>
      <c r="AX13" s="39">
        <f>MU!AX13+UMKC!AX13+'S&amp;T'!AX13+UMSL!AX13</f>
        <v>2586</v>
      </c>
      <c r="AY13" s="39">
        <f>MU!AY13+UMKC!AY13+'S&amp;T'!AY13+UMSL!AY13</f>
        <v>2667</v>
      </c>
      <c r="AZ13" s="39">
        <f>AX13+AY13</f>
        <v>5253</v>
      </c>
      <c r="BA13" s="39">
        <f>MU!BA13+UMKC!BA13+'S&amp;T'!BA13+UMSL!BA13</f>
        <v>2816</v>
      </c>
      <c r="BB13" s="39">
        <f>MU!BB13+UMKC!BB13+'S&amp;T'!BB13+UMSL!BB13</f>
        <v>2839</v>
      </c>
      <c r="BC13" s="39">
        <f>BA13+BB13</f>
        <v>5655</v>
      </c>
      <c r="BD13" s="39">
        <f>MU!BD13+UMKC!BD13+'S&amp;T'!BD13+UMSL!BD13</f>
        <v>2824</v>
      </c>
      <c r="BE13" s="39">
        <f>MU!BE13+UMKC!BE13+'S&amp;T'!BE13+UMSL!BE13</f>
        <v>2911</v>
      </c>
      <c r="BF13" s="39">
        <f>BD13+BE13</f>
        <v>5735</v>
      </c>
      <c r="BG13" s="39">
        <f>MU!BG13+UMKC!BG13+'S&amp;T'!BG13+UMSL!BG13</f>
        <v>2969</v>
      </c>
      <c r="BH13" s="39">
        <f>MU!BH13+UMKC!BH13+'S&amp;T'!BH13+UMSL!BH13</f>
        <v>3065</v>
      </c>
      <c r="BI13" s="39">
        <f>BG13+BH13</f>
        <v>6034</v>
      </c>
      <c r="BJ13" s="39">
        <f>MU!BJ13+UMKC!BJ13+'S&amp;T'!BJ13+UMSL!BJ13</f>
        <v>2998</v>
      </c>
      <c r="BK13" s="39">
        <f>MU!BK13+UMKC!BK13+'S&amp;T'!BK13+UMSL!BK13</f>
        <v>3060</v>
      </c>
      <c r="BL13" s="39">
        <f>BJ13+BK13</f>
        <v>6058</v>
      </c>
      <c r="BM13" s="39">
        <f>MU!BM13+UMKC!BM13+'S&amp;T'!BM13+UMSL!BM13</f>
        <v>3215</v>
      </c>
      <c r="BN13" s="39">
        <f>MU!BN13+UMKC!BN13+'S&amp;T'!BN13+UMSL!BN13</f>
        <v>3122</v>
      </c>
      <c r="BO13" s="39">
        <f>BM13+BN13</f>
        <v>6337</v>
      </c>
      <c r="BP13" s="39">
        <f>MU!BP13+UMKC!BP13+'S&amp;T'!BP13+UMSL!BP13</f>
        <v>3338</v>
      </c>
      <c r="BQ13" s="39">
        <f>MU!BQ13+UMKC!BQ13+'S&amp;T'!BQ13+UMSL!BQ13</f>
        <v>3359</v>
      </c>
      <c r="BR13" s="39">
        <f>BP13+BQ13</f>
        <v>6697</v>
      </c>
      <c r="BS13" s="39">
        <f>MU!BS13+UMKC!BS13+'S&amp;T'!BS13+UMSL!BS13</f>
        <v>3377</v>
      </c>
      <c r="BT13" s="39">
        <f>MU!BT13+UMKC!BT13+'S&amp;T'!BT13+UMSL!BT13</f>
        <v>3386</v>
      </c>
      <c r="BU13" s="39">
        <f>BS13+BT13</f>
        <v>6763</v>
      </c>
      <c r="BV13" s="39">
        <f>MU!BV13+UMKC!BV13+'S&amp;T'!BV13+UMSL!BV13</f>
        <v>3500</v>
      </c>
      <c r="BW13" s="39">
        <f>MU!BW13+UMKC!BW13+'S&amp;T'!BW13+UMSL!BW13</f>
        <v>3543</v>
      </c>
      <c r="BX13" s="39">
        <f>BV13+BW13</f>
        <v>7043</v>
      </c>
      <c r="BY13" s="39">
        <f>MU!BY13+UMKC!BY13+'S&amp;T'!BY13+UMSL!BY13</f>
        <v>3520</v>
      </c>
      <c r="BZ13" s="39">
        <f>MU!BZ13+UMKC!BZ13+'S&amp;T'!BZ13+UMSL!BZ13</f>
        <v>3596</v>
      </c>
      <c r="CA13" s="39">
        <f>BY13+BZ13</f>
        <v>7116</v>
      </c>
      <c r="CB13" s="39">
        <f>MU!CB13+UMKC!CB13+'S&amp;T'!CB13+UMSL!CB13</f>
        <v>3565</v>
      </c>
      <c r="CC13" s="39">
        <f>MU!CC13+UMKC!CC13+'S&amp;T'!CC13+UMSL!CC13</f>
        <v>3728</v>
      </c>
      <c r="CD13" s="39">
        <f>CB13+CC13</f>
        <v>7293</v>
      </c>
      <c r="CE13" s="39">
        <f>MU!CE13+UMKC!CE13+'S&amp;T'!CE13+UMSL!CE13</f>
        <v>4044</v>
      </c>
      <c r="CF13" s="39">
        <f>MU!CF13+UMKC!CF13+'S&amp;T'!CF13+UMSL!CF13</f>
        <v>4098</v>
      </c>
      <c r="CG13" s="39">
        <f>CE13+CF13</f>
        <v>8142</v>
      </c>
      <c r="CH13" s="39">
        <f>MU!CH13+UMKC!CH13+'S&amp;T'!CH13+UMSL!CH13</f>
        <v>3941</v>
      </c>
      <c r="CI13" s="39">
        <f>MU!CI13+UMKC!CI13+'S&amp;T'!CI13+UMSL!CI13</f>
        <v>4123</v>
      </c>
      <c r="CJ13" s="39">
        <f>CH13+CI13</f>
        <v>8064</v>
      </c>
      <c r="CK13" s="39">
        <f>MU!CK13+UMKC!CK13+'S&amp;T'!CK13+UMSL!CK13</f>
        <v>4342</v>
      </c>
      <c r="CL13" s="39">
        <f>MU!CL13+UMKC!CL13+'S&amp;T'!CL13+UMSL!CL13</f>
        <v>4380</v>
      </c>
      <c r="CM13" s="39">
        <f>CK13+CL13</f>
        <v>8722</v>
      </c>
      <c r="CN13" s="39">
        <f>MU!CN13+UMKC!CN13+'S&amp;T'!CN13+UMSL!CN13</f>
        <v>4264</v>
      </c>
      <c r="CO13" s="39">
        <f>MU!CO13+UMKC!CO13+'S&amp;T'!CO13+UMSL!CO13</f>
        <v>4462</v>
      </c>
      <c r="CP13" s="39">
        <f>CN13+CO13</f>
        <v>8726</v>
      </c>
      <c r="CQ13" s="39">
        <f>MU!CQ13+UMKC!CQ13+'S&amp;T'!CQ13+UMSL!CQ13</f>
        <v>4520</v>
      </c>
      <c r="CR13" s="39">
        <f>MU!CR13+UMKC!CR13+'S&amp;T'!CR13+UMSL!CR13</f>
        <v>4598</v>
      </c>
      <c r="CS13" s="39">
        <f>CQ13+CR13</f>
        <v>9118</v>
      </c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</row>
    <row r="14" spans="1:113" ht="13.5" customHeight="1" x14ac:dyDescent="0.2">
      <c r="A14" s="23"/>
      <c r="B14" s="3"/>
      <c r="D14" s="15" t="s">
        <v>59</v>
      </c>
      <c r="E14" s="3" t="s">
        <v>60</v>
      </c>
      <c r="F14" s="15">
        <f>IF(AH13&gt;0,(AH14/AH13),"")</f>
        <v>0.21912809679277895</v>
      </c>
      <c r="G14" s="15">
        <f>IF(AK13&gt;0,(AK14/AK13),"")</f>
        <v>0.21071811361200429</v>
      </c>
      <c r="H14" s="15">
        <f>IF(AN13&gt;0,(AN14/AN13),"")</f>
        <v>0.21709254885119175</v>
      </c>
      <c r="I14" s="15">
        <f>IF(AQ13&gt;0,(AQ14/AQ13),"")</f>
        <v>0.23371576609918579</v>
      </c>
      <c r="J14" s="15">
        <f>IF(AT13&gt;0,(AT14/AT13),"")</f>
        <v>0.26060287416754296</v>
      </c>
      <c r="K14" s="15">
        <f>IF(AW13&gt;0,(AW14/AW13),"")</f>
        <v>0.27658071352878844</v>
      </c>
      <c r="L14" s="15">
        <f>IF(AZ13&gt;0,(AZ14/AZ13),"")</f>
        <v>0.29088140110413097</v>
      </c>
      <c r="M14" s="15">
        <f>IF(BC13&gt;0,(BC14/BC13),"")</f>
        <v>0.31087533156498676</v>
      </c>
      <c r="N14" s="15">
        <f>IF(BF13&gt;0,(BF14/BF13),"")</f>
        <v>0.3149084568439407</v>
      </c>
      <c r="O14" s="15">
        <f>IF(BI13&gt;0,(BI14/BI13),"")</f>
        <v>0.33493536625787207</v>
      </c>
      <c r="P14" s="15">
        <f>IF(BL13&gt;0,(BL14/BL13),"")</f>
        <v>0.33542423241994057</v>
      </c>
      <c r="Q14" s="15">
        <f>IF(BO13&gt;0,(BO14/BO13),"")</f>
        <v>0.35994950291936245</v>
      </c>
      <c r="R14" s="15">
        <f>IF(BR13&gt;0,(BR14/BR13),"")</f>
        <v>0.36568612811706735</v>
      </c>
      <c r="S14" s="15">
        <f>IF(BU13&gt;0,(BU14/BU13),"")</f>
        <v>0.36492680762975011</v>
      </c>
      <c r="T14" s="15">
        <f>IF(BX13&gt;0,(BX14/BX13),"")</f>
        <v>0.37342041743575183</v>
      </c>
      <c r="U14" s="15">
        <f>IF(CA13&gt;0,(CA14/CA13),"")</f>
        <v>0.40078695896571109</v>
      </c>
      <c r="V14" s="15">
        <f t="shared" ref="V14" si="1">IF(CD13&gt;0,(CD14/CD13),"")</f>
        <v>0.39078568490333199</v>
      </c>
      <c r="W14" s="15">
        <f>CG14/CG$13</f>
        <v>0.39277818717759766</v>
      </c>
      <c r="X14" s="15">
        <f>CJ14/CJ$13</f>
        <v>0.38802083333333331</v>
      </c>
      <c r="Y14" s="15">
        <f>CM14/CM$13</f>
        <v>0.37628984177940838</v>
      </c>
      <c r="Z14" s="15">
        <f>CP14/CP$13</f>
        <v>0.3836809534723814</v>
      </c>
      <c r="AA14" s="15">
        <f>CS14/CS$13</f>
        <v>0.39602983110331214</v>
      </c>
      <c r="AB14" s="50"/>
      <c r="AD14" s="15" t="s">
        <v>59</v>
      </c>
      <c r="AE14" s="3" t="s">
        <v>60</v>
      </c>
      <c r="AF14" s="39">
        <f>MU!AF14+UMKC!AF14+'S&amp;T'!AF14+UMSL!AF14</f>
        <v>451</v>
      </c>
      <c r="AG14" s="39">
        <f>MU!AG14+UMKC!AG14+'S&amp;T'!AG14+UMSL!AG14</f>
        <v>690</v>
      </c>
      <c r="AH14" s="39">
        <f t="shared" ref="AH14:AH16" si="2">AF14+AG14</f>
        <v>1141</v>
      </c>
      <c r="AI14" s="39">
        <f>MU!AI14+UMKC!AI14+'S&amp;T'!AI14+UMSL!AI14</f>
        <v>376</v>
      </c>
      <c r="AJ14" s="39">
        <f>MU!AJ14+UMKC!AJ14+'S&amp;T'!AJ14+UMSL!AJ14</f>
        <v>607</v>
      </c>
      <c r="AK14" s="39">
        <f t="shared" ref="AK14:AK16" si="3">AI14+AJ14</f>
        <v>983</v>
      </c>
      <c r="AL14" s="39">
        <f>MU!AL14+UMKC!AL14+'S&amp;T'!AL14+UMSL!AL14</f>
        <v>413</v>
      </c>
      <c r="AM14" s="39">
        <f>MU!AM14+UMKC!AM14+'S&amp;T'!AM14+UMSL!AM14</f>
        <v>598</v>
      </c>
      <c r="AN14" s="39">
        <f t="shared" ref="AN14:AN16" si="4">AL14+AM14</f>
        <v>1011</v>
      </c>
      <c r="AO14" s="39">
        <f>MU!AO14+UMKC!AO14+'S&amp;T'!AO14+UMSL!AO14</f>
        <v>464</v>
      </c>
      <c r="AP14" s="39">
        <f>MU!AP14+UMKC!AP14+'S&amp;T'!AP14+UMSL!AP14</f>
        <v>799</v>
      </c>
      <c r="AQ14" s="39">
        <f t="shared" ref="AQ14:AQ16" si="5">AO14+AP14</f>
        <v>1263</v>
      </c>
      <c r="AR14" s="39">
        <f>MU!AR14+UMKC!AR14+'S&amp;T'!AR14+UMSL!AR14</f>
        <v>552</v>
      </c>
      <c r="AS14" s="39">
        <f>MU!AS14+UMKC!AS14+'S&amp;T'!AS14+UMSL!AS14</f>
        <v>935</v>
      </c>
      <c r="AT14" s="39">
        <f t="shared" ref="AT14:AT16" si="6">AR14+AS14</f>
        <v>1487</v>
      </c>
      <c r="AU14" s="39">
        <f>MU!AU14+UMKC!AU14+'S&amp;T'!AU14+UMSL!AU14</f>
        <v>591</v>
      </c>
      <c r="AV14" s="39">
        <f>MU!AV14+UMKC!AV14+'S&amp;T'!AV14+UMSL!AV14</f>
        <v>975</v>
      </c>
      <c r="AW14" s="39">
        <f t="shared" ref="AW14:AW16" si="7">AU14+AV14</f>
        <v>1566</v>
      </c>
      <c r="AX14" s="39">
        <f>MU!AX14+UMKC!AX14+'S&amp;T'!AX14+UMSL!AX14</f>
        <v>576</v>
      </c>
      <c r="AY14" s="39">
        <f>MU!AY14+UMKC!AY14+'S&amp;T'!AY14+UMSL!AY14</f>
        <v>952</v>
      </c>
      <c r="AZ14" s="39">
        <f t="shared" ref="AZ14:AZ16" si="8">AX14+AY14</f>
        <v>1528</v>
      </c>
      <c r="BA14" s="39">
        <f>MU!BA14+UMKC!BA14+'S&amp;T'!BA14+UMSL!BA14</f>
        <v>666</v>
      </c>
      <c r="BB14" s="39">
        <f>MU!BB14+UMKC!BB14+'S&amp;T'!BB14+UMSL!BB14</f>
        <v>1092</v>
      </c>
      <c r="BC14" s="39">
        <f t="shared" ref="BC14:BC16" si="9">BA14+BB14</f>
        <v>1758</v>
      </c>
      <c r="BD14" s="39">
        <f>MU!BD14+UMKC!BD14+'S&amp;T'!BD14+UMSL!BD14</f>
        <v>690</v>
      </c>
      <c r="BE14" s="39">
        <f>MU!BE14+UMKC!BE14+'S&amp;T'!BE14+UMSL!BE14</f>
        <v>1116</v>
      </c>
      <c r="BF14" s="39">
        <f t="shared" ref="BF14:BF16" si="10">BD14+BE14</f>
        <v>1806</v>
      </c>
      <c r="BG14" s="39">
        <f>MU!BG14+UMKC!BG14+'S&amp;T'!BG14+UMSL!BG14</f>
        <v>787</v>
      </c>
      <c r="BH14" s="39">
        <f>MU!BH14+UMKC!BH14+'S&amp;T'!BH14+UMSL!BH14</f>
        <v>1234</v>
      </c>
      <c r="BI14" s="39">
        <f t="shared" ref="BI14:BI16" si="11">BG14+BH14</f>
        <v>2021</v>
      </c>
      <c r="BJ14" s="39">
        <f>MU!BJ14+UMKC!BJ14+'S&amp;T'!BJ14+UMSL!BJ14</f>
        <v>813</v>
      </c>
      <c r="BK14" s="39">
        <f>MU!BK14+UMKC!BK14+'S&amp;T'!BK14+UMSL!BK14</f>
        <v>1219</v>
      </c>
      <c r="BL14" s="39">
        <f t="shared" ref="BL14:BL16" si="12">BJ14+BK14</f>
        <v>2032</v>
      </c>
      <c r="BM14" s="39">
        <f>MU!BM14+UMKC!BM14+'S&amp;T'!BM14+UMSL!BM14</f>
        <v>892</v>
      </c>
      <c r="BN14" s="39">
        <f>MU!BN14+UMKC!BN14+'S&amp;T'!BN14+UMSL!BN14</f>
        <v>1389</v>
      </c>
      <c r="BO14" s="39">
        <f t="shared" ref="BO14:BO16" si="13">BM14+BN14</f>
        <v>2281</v>
      </c>
      <c r="BP14" s="39">
        <f>MU!BP14+UMKC!BP14+'S&amp;T'!BP14+UMSL!BP14</f>
        <v>962</v>
      </c>
      <c r="BQ14" s="39">
        <f>MU!BQ14+UMKC!BQ14+'S&amp;T'!BQ14+UMSL!BQ14</f>
        <v>1487</v>
      </c>
      <c r="BR14" s="39">
        <f t="shared" ref="BR14:BR16" si="14">BP14+BQ14</f>
        <v>2449</v>
      </c>
      <c r="BS14" s="39">
        <f>MU!BS14+UMKC!BS14+'S&amp;T'!BS14+UMSL!BS14</f>
        <v>1005</v>
      </c>
      <c r="BT14" s="39">
        <f>MU!BT14+UMKC!BT14+'S&amp;T'!BT14+UMSL!BT14</f>
        <v>1463</v>
      </c>
      <c r="BU14" s="39">
        <f t="shared" ref="BU14:BU16" si="15">BS14+BT14</f>
        <v>2468</v>
      </c>
      <c r="BV14" s="39">
        <f>MU!BV14+UMKC!BV14+'S&amp;T'!BV14+UMSL!BV14</f>
        <v>1075</v>
      </c>
      <c r="BW14" s="39">
        <f>MU!BW14+UMKC!BW14+'S&amp;T'!BW14+UMSL!BW14</f>
        <v>1555</v>
      </c>
      <c r="BX14" s="39">
        <f t="shared" ref="BX14:BX16" si="16">BV14+BW14</f>
        <v>2630</v>
      </c>
      <c r="BY14" s="39">
        <f>MU!BY14+UMKC!BY14+'S&amp;T'!BY14+UMSL!BY14</f>
        <v>1140</v>
      </c>
      <c r="BZ14" s="39">
        <f>MU!BZ14+UMKC!BZ14+'S&amp;T'!BZ14+UMSL!BZ14</f>
        <v>1712</v>
      </c>
      <c r="CA14" s="39">
        <f t="shared" ref="CA14:CA16" si="17">BY14+BZ14</f>
        <v>2852</v>
      </c>
      <c r="CB14" s="39">
        <f>MU!CB14+UMKC!CB14+'S&amp;T'!CB14+UMSL!CB14</f>
        <v>1095</v>
      </c>
      <c r="CC14" s="39">
        <f>MU!CC14+UMKC!CC14+'S&amp;T'!CC14+UMSL!CC14</f>
        <v>1755</v>
      </c>
      <c r="CD14" s="39">
        <f t="shared" ref="CD14:CD15" si="18">CB14+CC14</f>
        <v>2850</v>
      </c>
      <c r="CE14" s="39">
        <f>MU!CE14+UMKC!CE14+'S&amp;T'!CE14+UMSL!CE14</f>
        <v>1292</v>
      </c>
      <c r="CF14" s="39">
        <f>MU!CF14+UMKC!CF14+'S&amp;T'!CF14+UMSL!CF14</f>
        <v>1906</v>
      </c>
      <c r="CG14" s="39">
        <f t="shared" ref="CG14:CG16" si="19">CE14+CF14</f>
        <v>3198</v>
      </c>
      <c r="CH14" s="39">
        <f>MU!CH14+UMKC!CH14+'S&amp;T'!CH14+UMSL!CH14</f>
        <v>1184</v>
      </c>
      <c r="CI14" s="39">
        <f>MU!CI14+UMKC!CI14+'S&amp;T'!CI14+UMSL!CI14</f>
        <v>1945</v>
      </c>
      <c r="CJ14" s="39">
        <f t="shared" ref="CJ14:CJ16" si="20">CH14+CI14</f>
        <v>3129</v>
      </c>
      <c r="CK14" s="39">
        <f>MU!CK14+UMKC!CK14+'S&amp;T'!CK14+UMSL!CK14</f>
        <v>1275</v>
      </c>
      <c r="CL14" s="39">
        <f>MU!CL14+UMKC!CL14+'S&amp;T'!CL14+UMSL!CL14</f>
        <v>2007</v>
      </c>
      <c r="CM14" s="39">
        <f t="shared" ref="CM14:CM16" si="21">CK14+CL14</f>
        <v>3282</v>
      </c>
      <c r="CN14" s="39">
        <f>MU!CN14+UMKC!CN14+'S&amp;T'!CN14+UMSL!CN14</f>
        <v>1289</v>
      </c>
      <c r="CO14" s="39">
        <f>MU!CO14+UMKC!CO14+'S&amp;T'!CO14+UMSL!CO14</f>
        <v>2059</v>
      </c>
      <c r="CP14" s="39">
        <f t="shared" ref="CP14:CP16" si="22">CN14+CO14</f>
        <v>3348</v>
      </c>
      <c r="CQ14" s="39">
        <f>MU!CQ14+UMKC!CQ14+'S&amp;T'!CQ14+UMSL!CQ14</f>
        <v>1395</v>
      </c>
      <c r="CR14" s="39">
        <f>MU!CR14+UMKC!CR14+'S&amp;T'!CR14+UMSL!CR14</f>
        <v>2216</v>
      </c>
      <c r="CS14" s="39">
        <f t="shared" ref="CS14:CS16" si="23">CQ14+CR14</f>
        <v>3611</v>
      </c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</row>
    <row r="15" spans="1:113" ht="13.5" customHeight="1" x14ac:dyDescent="0.2">
      <c r="A15" s="23"/>
      <c r="B15" s="3"/>
      <c r="D15" s="3"/>
      <c r="E15" s="3" t="s">
        <v>61</v>
      </c>
      <c r="F15" s="15">
        <f>IF(AH13&gt;0,(AH15/AH13),"")</f>
        <v>0.22873055502208564</v>
      </c>
      <c r="G15" s="15">
        <f>IF(AK13&gt;0,(AK15/AK13),"")</f>
        <v>0.25466237942122188</v>
      </c>
      <c r="H15" s="15">
        <f>IF(AN13&gt;0,(AN15/AN13),"")</f>
        <v>0.2473695512132274</v>
      </c>
      <c r="I15" s="15">
        <f>IF(AQ13&gt;0,(AQ15/AQ13),"")</f>
        <v>0.24278312361213916</v>
      </c>
      <c r="J15" s="15">
        <f>IF(AT13&gt;0,(AT15/AT13),"")</f>
        <v>0.25359270942867157</v>
      </c>
      <c r="K15" s="15">
        <f>IF(AW13&gt;0,(AW15/AW13),"")</f>
        <v>0.2348993288590604</v>
      </c>
      <c r="L15" s="15">
        <f>IF(AZ13&gt;0,(AZ15/AZ13),"")</f>
        <v>0.25261755187511897</v>
      </c>
      <c r="M15" s="15">
        <f>IF(BC13&gt;0,(BC15/BC13),"")</f>
        <v>0.2572944297082228</v>
      </c>
      <c r="N15" s="15">
        <f>IF(BF13&gt;0,(BF15/BF13),"")</f>
        <v>0.24394071490845684</v>
      </c>
      <c r="O15" s="15">
        <f>IF(BI13&gt;0,(BI15/BI13),"")</f>
        <v>0.23980775604905535</v>
      </c>
      <c r="P15" s="15">
        <f>IF(BL13&gt;0,(BL15/BL13),"")</f>
        <v>0.22350610762627929</v>
      </c>
      <c r="Q15" s="15">
        <f>IF(BO13&gt;0,(BO15/BO13),"")</f>
        <v>0.22849928988480353</v>
      </c>
      <c r="R15" s="15">
        <f>IF(BR13&gt;0,(BR15/BR13),"")</f>
        <v>0.21442436912050172</v>
      </c>
      <c r="S15" s="15">
        <f>IF(BU13&gt;0,(BU15/BU13),"")</f>
        <v>0.22608309921632411</v>
      </c>
      <c r="T15" s="15">
        <f>IF(BX13&gt;0,(BX15/BX13),"")</f>
        <v>0.22234843106630697</v>
      </c>
      <c r="U15" s="15">
        <f>IF(CA13&gt;0,(CA15/CA13),"")</f>
        <v>0.21472737492973581</v>
      </c>
      <c r="V15" s="15">
        <f t="shared" ref="V15" si="24">IF(CD13&gt;0,(CD15/CD13),"")</f>
        <v>0.2155491567256273</v>
      </c>
      <c r="W15" s="15">
        <f t="shared" ref="W15:W17" si="25">CG15/CG$13</f>
        <v>0.21468926553672316</v>
      </c>
      <c r="X15" s="15">
        <f>CJ15/CJ$13</f>
        <v>0.20932539682539683</v>
      </c>
      <c r="Y15" s="15">
        <f>CM15/CM$13</f>
        <v>0.21634946113276771</v>
      </c>
      <c r="Z15" s="15">
        <f>CP15/CP$13</f>
        <v>0.21854228741691498</v>
      </c>
      <c r="AA15" s="15">
        <f t="shared" ref="AA15:AA17" si="26">CS15/CS$13</f>
        <v>0.21792059662206625</v>
      </c>
      <c r="AB15" s="50"/>
      <c r="AD15" s="3"/>
      <c r="AE15" s="3" t="s">
        <v>61</v>
      </c>
      <c r="AF15" s="39">
        <f>MU!AF15+UMKC!AF15+'S&amp;T'!AF15+UMSL!AF15</f>
        <v>651</v>
      </c>
      <c r="AG15" s="39">
        <f>MU!AG15+UMKC!AG15+'S&amp;T'!AG15+UMSL!AG15</f>
        <v>540</v>
      </c>
      <c r="AH15" s="39">
        <f t="shared" si="2"/>
        <v>1191</v>
      </c>
      <c r="AI15" s="39">
        <f>MU!AI15+UMKC!AI15+'S&amp;T'!AI15+UMSL!AI15</f>
        <v>640</v>
      </c>
      <c r="AJ15" s="39">
        <f>MU!AJ15+UMKC!AJ15+'S&amp;T'!AJ15+UMSL!AJ15</f>
        <v>548</v>
      </c>
      <c r="AK15" s="39">
        <f t="shared" si="3"/>
        <v>1188</v>
      </c>
      <c r="AL15" s="39">
        <f>MU!AL15+UMKC!AL15+'S&amp;T'!AL15+UMSL!AL15</f>
        <v>611</v>
      </c>
      <c r="AM15" s="39">
        <f>MU!AM15+UMKC!AM15+'S&amp;T'!AM15+UMSL!AM15</f>
        <v>541</v>
      </c>
      <c r="AN15" s="39">
        <f t="shared" si="4"/>
        <v>1152</v>
      </c>
      <c r="AO15" s="39">
        <f>MU!AO15+UMKC!AO15+'S&amp;T'!AO15+UMSL!AO15</f>
        <v>669</v>
      </c>
      <c r="AP15" s="39">
        <f>MU!AP15+UMKC!AP15+'S&amp;T'!AP15+UMSL!AP15</f>
        <v>643</v>
      </c>
      <c r="AQ15" s="39">
        <f t="shared" si="5"/>
        <v>1312</v>
      </c>
      <c r="AR15" s="39">
        <f>MU!AR15+UMKC!AR15+'S&amp;T'!AR15+UMSL!AR15</f>
        <v>779</v>
      </c>
      <c r="AS15" s="39">
        <f>MU!AS15+UMKC!AS15+'S&amp;T'!AS15+UMSL!AS15</f>
        <v>668</v>
      </c>
      <c r="AT15" s="39">
        <f t="shared" si="6"/>
        <v>1447</v>
      </c>
      <c r="AU15" s="39">
        <f>MU!AU15+UMKC!AU15+'S&amp;T'!AU15+UMSL!AU15</f>
        <v>706</v>
      </c>
      <c r="AV15" s="39">
        <f>MU!AV15+UMKC!AV15+'S&amp;T'!AV15+UMSL!AV15</f>
        <v>624</v>
      </c>
      <c r="AW15" s="39">
        <f t="shared" si="7"/>
        <v>1330</v>
      </c>
      <c r="AX15" s="39">
        <f>MU!AX15+UMKC!AX15+'S&amp;T'!AX15+UMSL!AX15</f>
        <v>698</v>
      </c>
      <c r="AY15" s="39">
        <f>MU!AY15+UMKC!AY15+'S&amp;T'!AY15+UMSL!AY15</f>
        <v>629</v>
      </c>
      <c r="AZ15" s="39">
        <f t="shared" si="8"/>
        <v>1327</v>
      </c>
      <c r="BA15" s="39">
        <f>MU!BA15+UMKC!BA15+'S&amp;T'!BA15+UMSL!BA15</f>
        <v>805</v>
      </c>
      <c r="BB15" s="39">
        <f>MU!BB15+UMKC!BB15+'S&amp;T'!BB15+UMSL!BB15</f>
        <v>650</v>
      </c>
      <c r="BC15" s="39">
        <f t="shared" si="9"/>
        <v>1455</v>
      </c>
      <c r="BD15" s="39">
        <f>MU!BD15+UMKC!BD15+'S&amp;T'!BD15+UMSL!BD15</f>
        <v>781</v>
      </c>
      <c r="BE15" s="39">
        <f>MU!BE15+UMKC!BE15+'S&amp;T'!BE15+UMSL!BE15</f>
        <v>618</v>
      </c>
      <c r="BF15" s="39">
        <f t="shared" si="10"/>
        <v>1399</v>
      </c>
      <c r="BG15" s="39">
        <f>MU!BG15+UMKC!BG15+'S&amp;T'!BG15+UMSL!BG15</f>
        <v>823</v>
      </c>
      <c r="BH15" s="39">
        <f>MU!BH15+UMKC!BH15+'S&amp;T'!BH15+UMSL!BH15</f>
        <v>624</v>
      </c>
      <c r="BI15" s="39">
        <f t="shared" si="11"/>
        <v>1447</v>
      </c>
      <c r="BJ15" s="39">
        <f>MU!BJ15+UMKC!BJ15+'S&amp;T'!BJ15+UMSL!BJ15</f>
        <v>769</v>
      </c>
      <c r="BK15" s="39">
        <f>MU!BK15+UMKC!BK15+'S&amp;T'!BK15+UMSL!BK15</f>
        <v>585</v>
      </c>
      <c r="BL15" s="39">
        <f t="shared" si="12"/>
        <v>1354</v>
      </c>
      <c r="BM15" s="39">
        <f>MU!BM15+UMKC!BM15+'S&amp;T'!BM15+UMSL!BM15</f>
        <v>845</v>
      </c>
      <c r="BN15" s="39">
        <f>MU!BN15+UMKC!BN15+'S&amp;T'!BN15+UMSL!BN15</f>
        <v>603</v>
      </c>
      <c r="BO15" s="39">
        <f t="shared" si="13"/>
        <v>1448</v>
      </c>
      <c r="BP15" s="39">
        <f>MU!BP15+UMKC!BP15+'S&amp;T'!BP15+UMSL!BP15</f>
        <v>846</v>
      </c>
      <c r="BQ15" s="39">
        <f>MU!BQ15+UMKC!BQ15+'S&amp;T'!BQ15+UMSL!BQ15</f>
        <v>590</v>
      </c>
      <c r="BR15" s="39">
        <f t="shared" si="14"/>
        <v>1436</v>
      </c>
      <c r="BS15" s="39">
        <f>MU!BS15+UMKC!BS15+'S&amp;T'!BS15+UMSL!BS15</f>
        <v>885</v>
      </c>
      <c r="BT15" s="39">
        <f>MU!BT15+UMKC!BT15+'S&amp;T'!BT15+UMSL!BT15</f>
        <v>644</v>
      </c>
      <c r="BU15" s="39">
        <f t="shared" si="15"/>
        <v>1529</v>
      </c>
      <c r="BV15" s="39">
        <f>MU!BV15+UMKC!BV15+'S&amp;T'!BV15+UMSL!BV15</f>
        <v>932</v>
      </c>
      <c r="BW15" s="39">
        <f>MU!BW15+UMKC!BW15+'S&amp;T'!BW15+UMSL!BW15</f>
        <v>634</v>
      </c>
      <c r="BX15" s="39">
        <f t="shared" si="16"/>
        <v>1566</v>
      </c>
      <c r="BY15" s="39">
        <f>MU!BY15+UMKC!BY15+'S&amp;T'!BY15+UMSL!BY15</f>
        <v>887</v>
      </c>
      <c r="BZ15" s="39">
        <f>MU!BZ15+UMKC!BZ15+'S&amp;T'!BZ15+UMSL!BZ15</f>
        <v>641</v>
      </c>
      <c r="CA15" s="39">
        <f t="shared" si="17"/>
        <v>1528</v>
      </c>
      <c r="CB15" s="39">
        <f>MU!CB15+UMKC!CB15+'S&amp;T'!CB15+UMSL!CB15</f>
        <v>939</v>
      </c>
      <c r="CC15" s="39">
        <f>MU!CC15+UMKC!CC15+'S&amp;T'!CC15+UMSL!CC15</f>
        <v>633</v>
      </c>
      <c r="CD15" s="39">
        <f t="shared" si="18"/>
        <v>1572</v>
      </c>
      <c r="CE15" s="39">
        <f>MU!CE15+UMKC!CE15+'S&amp;T'!CE15+UMSL!CE15</f>
        <v>1018</v>
      </c>
      <c r="CF15" s="39">
        <f>MU!CF15+UMKC!CF15+'S&amp;T'!CF15+UMSL!CF15</f>
        <v>730</v>
      </c>
      <c r="CG15" s="39">
        <f t="shared" si="19"/>
        <v>1748</v>
      </c>
      <c r="CH15" s="39">
        <f>MU!CH15+UMKC!CH15+'S&amp;T'!CH15+UMSL!CH15</f>
        <v>985</v>
      </c>
      <c r="CI15" s="39">
        <f>MU!CI15+UMKC!CI15+'S&amp;T'!CI15+UMSL!CI15</f>
        <v>703</v>
      </c>
      <c r="CJ15" s="39">
        <f t="shared" si="20"/>
        <v>1688</v>
      </c>
      <c r="CK15" s="39">
        <f>MU!CK15+UMKC!CK15+'S&amp;T'!CK15+UMSL!CK15</f>
        <v>1119</v>
      </c>
      <c r="CL15" s="39">
        <f>MU!CL15+UMKC!CL15+'S&amp;T'!CL15+UMSL!CL15</f>
        <v>768</v>
      </c>
      <c r="CM15" s="39">
        <f t="shared" si="21"/>
        <v>1887</v>
      </c>
      <c r="CN15" s="39">
        <f>MU!CN15+UMKC!CN15+'S&amp;T'!CN15+UMSL!CN15</f>
        <v>1109</v>
      </c>
      <c r="CO15" s="39">
        <f>MU!CO15+UMKC!CO15+'S&amp;T'!CO15+UMSL!CO15</f>
        <v>798</v>
      </c>
      <c r="CP15" s="39">
        <f t="shared" si="22"/>
        <v>1907</v>
      </c>
      <c r="CQ15" s="39">
        <f>MU!CQ15+UMKC!CQ15+'S&amp;T'!CQ15+UMSL!CQ15</f>
        <v>1179</v>
      </c>
      <c r="CR15" s="39">
        <f>MU!CR15+UMKC!CR15+'S&amp;T'!CR15+UMSL!CR15</f>
        <v>808</v>
      </c>
      <c r="CS15" s="39">
        <f t="shared" si="23"/>
        <v>1987</v>
      </c>
    </row>
    <row r="16" spans="1:113" ht="13.5" customHeight="1" x14ac:dyDescent="0.2">
      <c r="A16" s="23"/>
      <c r="B16" s="3"/>
      <c r="D16" s="3"/>
      <c r="E16" s="3" t="s">
        <v>62</v>
      </c>
      <c r="F16" s="18">
        <f>IF(AH13&gt;0,(AH16/AH13),"")</f>
        <v>7.1250240061455736E-2</v>
      </c>
      <c r="G16" s="18">
        <f>IF(AK13&gt;0,(AK16/AK13),"")</f>
        <v>7.3097534833869243E-2</v>
      </c>
      <c r="H16" s="18">
        <f>IF(AN13&gt;0,(AN16/AN13),"")</f>
        <v>7.5585140648486149E-2</v>
      </c>
      <c r="I16" s="18">
        <f>IF(AQ13&gt;0,(AQ16/AQ13),"")</f>
        <v>6.8467801628423391E-2</v>
      </c>
      <c r="J16" s="18">
        <f>IF(AT13&gt;0,(AT16/AT13),"")</f>
        <v>6.8524360322467573E-2</v>
      </c>
      <c r="K16" s="18">
        <f>IF(AW13&gt;0,(AW16/AW13),"")</f>
        <v>7.3825503355704702E-2</v>
      </c>
      <c r="L16" s="18">
        <f>IF(AZ13&gt;0,(AZ16/AZ13),"")</f>
        <v>5.9013896820864269E-2</v>
      </c>
      <c r="M16" s="18">
        <f>IF(BC13&gt;0,(BC16/BC13),"")</f>
        <v>5.7117595048629531E-2</v>
      </c>
      <c r="N16" s="18">
        <f>IF(BF13&gt;0,(BF16/BF13),"")</f>
        <v>5.3879686137750654E-2</v>
      </c>
      <c r="O16" s="18">
        <f>IF(BI13&gt;0,(BI16/BI13),"")</f>
        <v>5.8004640371229696E-2</v>
      </c>
      <c r="P16" s="18">
        <f>IF(BL13&gt;0,(BL16/BL13),"")</f>
        <v>5.5793991416309016E-2</v>
      </c>
      <c r="Q16" s="18">
        <f>IF(BO13&gt;0,(BO16/BO13),"")</f>
        <v>4.7814423228657095E-2</v>
      </c>
      <c r="R16" s="18">
        <f>IF(BR13&gt;0,(BR16/BR13),"")</f>
        <v>4.823055099298193E-2</v>
      </c>
      <c r="S16" s="18">
        <f>IF(BU13&gt;0,(BU16/BU13),"")</f>
        <v>5.1900044359012271E-2</v>
      </c>
      <c r="T16" s="18">
        <f>IF(BX13&gt;0,(BX16/BX13),"")</f>
        <v>4.1743575181030813E-2</v>
      </c>
      <c r="U16" s="18">
        <f>IF(CA13&gt;0,(CA16/CA13),"")</f>
        <v>3.8926363125351318E-2</v>
      </c>
      <c r="V16" s="18">
        <f t="shared" ref="V16" si="27">IF(CD13&gt;0,(CD16/CD13),"")</f>
        <v>4.5248868778280542E-2</v>
      </c>
      <c r="W16" s="18">
        <f t="shared" si="25"/>
        <v>4.3969540653402112E-2</v>
      </c>
      <c r="X16" s="18">
        <f>CJ16/CJ$13</f>
        <v>4.6130952380952384E-2</v>
      </c>
      <c r="Y16" s="18">
        <f>CM16/CM$13</f>
        <v>5.147901857372162E-2</v>
      </c>
      <c r="Z16" s="18">
        <f>CP16/CP$13</f>
        <v>4.2860417144166857E-2</v>
      </c>
      <c r="AA16" s="18">
        <f t="shared" si="26"/>
        <v>3.4327703443737659E-2</v>
      </c>
      <c r="AB16" s="50"/>
      <c r="AD16" s="3"/>
      <c r="AE16" s="3" t="s">
        <v>62</v>
      </c>
      <c r="AF16" s="39">
        <f>MU!AF16+UMKC!AF16+'S&amp;T'!AF16+UMSL!AF16</f>
        <v>219</v>
      </c>
      <c r="AG16" s="39">
        <f>MU!AG16+UMKC!AG16+'S&amp;T'!AG16+UMSL!AG16</f>
        <v>152</v>
      </c>
      <c r="AH16" s="41">
        <f t="shared" si="2"/>
        <v>371</v>
      </c>
      <c r="AI16" s="39">
        <f>MU!AI16+UMKC!AI16+'S&amp;T'!AI16+UMSL!AI16</f>
        <v>210</v>
      </c>
      <c r="AJ16" s="39">
        <f>MU!AJ16+UMKC!AJ16+'S&amp;T'!AJ16+UMSL!AJ16</f>
        <v>131</v>
      </c>
      <c r="AK16" s="41">
        <f t="shared" si="3"/>
        <v>341</v>
      </c>
      <c r="AL16" s="39">
        <f>MU!AL16+UMKC!AL16+'S&amp;T'!AL16+UMSL!AL16</f>
        <v>222</v>
      </c>
      <c r="AM16" s="39">
        <f>MU!AM16+UMKC!AM16+'S&amp;T'!AM16+UMSL!AM16</f>
        <v>130</v>
      </c>
      <c r="AN16" s="41">
        <f t="shared" si="4"/>
        <v>352</v>
      </c>
      <c r="AO16" s="39">
        <f>MU!AO16+UMKC!AO16+'S&amp;T'!AO16+UMSL!AO16</f>
        <v>194</v>
      </c>
      <c r="AP16" s="39">
        <f>MU!AP16+UMKC!AP16+'S&amp;T'!AP16+UMSL!AP16</f>
        <v>176</v>
      </c>
      <c r="AQ16" s="41">
        <f t="shared" si="5"/>
        <v>370</v>
      </c>
      <c r="AR16" s="39">
        <f>MU!AR16+UMKC!AR16+'S&amp;T'!AR16+UMSL!AR16</f>
        <v>224</v>
      </c>
      <c r="AS16" s="39">
        <f>MU!AS16+UMKC!AS16+'S&amp;T'!AS16+UMSL!AS16</f>
        <v>167</v>
      </c>
      <c r="AT16" s="41">
        <f t="shared" si="6"/>
        <v>391</v>
      </c>
      <c r="AU16" s="39">
        <f>MU!AU16+UMKC!AU16+'S&amp;T'!AU16+UMSL!AU16</f>
        <v>245</v>
      </c>
      <c r="AV16" s="39">
        <f>MU!AV16+UMKC!AV16+'S&amp;T'!AV16+UMSL!AV16</f>
        <v>173</v>
      </c>
      <c r="AW16" s="41">
        <f t="shared" si="7"/>
        <v>418</v>
      </c>
      <c r="AX16" s="39">
        <f>MU!AX16+UMKC!AX16+'S&amp;T'!AX16+UMSL!AX16</f>
        <v>173</v>
      </c>
      <c r="AY16" s="39">
        <f>MU!AY16+UMKC!AY16+'S&amp;T'!AY16+UMSL!AY16</f>
        <v>137</v>
      </c>
      <c r="AZ16" s="41">
        <f t="shared" si="8"/>
        <v>310</v>
      </c>
      <c r="BA16" s="39">
        <f>MU!BA16+UMKC!BA16+'S&amp;T'!BA16+UMSL!BA16</f>
        <v>194</v>
      </c>
      <c r="BB16" s="39">
        <f>MU!BB16+UMKC!BB16+'S&amp;T'!BB16+UMSL!BB16</f>
        <v>129</v>
      </c>
      <c r="BC16" s="41">
        <f t="shared" si="9"/>
        <v>323</v>
      </c>
      <c r="BD16" s="39">
        <f>MU!BD16+UMKC!BD16+'S&amp;T'!BD16+UMSL!BD16</f>
        <v>182</v>
      </c>
      <c r="BE16" s="39">
        <f>MU!BE16+UMKC!BE16+'S&amp;T'!BE16+UMSL!BE16</f>
        <v>127</v>
      </c>
      <c r="BF16" s="41">
        <f t="shared" si="10"/>
        <v>309</v>
      </c>
      <c r="BG16" s="39">
        <f>MU!BG16+UMKC!BG16+'S&amp;T'!BG16+UMSL!BG16</f>
        <v>202</v>
      </c>
      <c r="BH16" s="39">
        <f>MU!BH16+UMKC!BH16+'S&amp;T'!BH16+UMSL!BH16</f>
        <v>148</v>
      </c>
      <c r="BI16" s="41">
        <f t="shared" si="11"/>
        <v>350</v>
      </c>
      <c r="BJ16" s="39">
        <f>MU!BJ16+UMKC!BJ16+'S&amp;T'!BJ16+UMSL!BJ16</f>
        <v>195</v>
      </c>
      <c r="BK16" s="39">
        <f>MU!BK16+UMKC!BK16+'S&amp;T'!BK16+UMSL!BK16</f>
        <v>143</v>
      </c>
      <c r="BL16" s="41">
        <f t="shared" si="12"/>
        <v>338</v>
      </c>
      <c r="BM16" s="39">
        <f>MU!BM16+UMKC!BM16+'S&amp;T'!BM16+UMSL!BM16</f>
        <v>192</v>
      </c>
      <c r="BN16" s="39">
        <f>MU!BN16+UMKC!BN16+'S&amp;T'!BN16+UMSL!BN16</f>
        <v>111</v>
      </c>
      <c r="BO16" s="41">
        <f t="shared" si="13"/>
        <v>303</v>
      </c>
      <c r="BP16" s="39">
        <f>MU!BP16+UMKC!BP16+'S&amp;T'!BP16+UMSL!BP16</f>
        <v>193</v>
      </c>
      <c r="BQ16" s="39">
        <f>MU!BQ16+UMKC!BQ16+'S&amp;T'!BQ16+UMSL!BQ16</f>
        <v>130</v>
      </c>
      <c r="BR16" s="41">
        <f t="shared" si="14"/>
        <v>323</v>
      </c>
      <c r="BS16" s="39">
        <f>MU!BS16+UMKC!BS16+'S&amp;T'!BS16+UMSL!BS16</f>
        <v>207</v>
      </c>
      <c r="BT16" s="39">
        <f>MU!BT16+UMKC!BT16+'S&amp;T'!BT16+UMSL!BT16</f>
        <v>144</v>
      </c>
      <c r="BU16" s="41">
        <f t="shared" si="15"/>
        <v>351</v>
      </c>
      <c r="BV16" s="39">
        <f>MU!BV16+UMKC!BV16+'S&amp;T'!BV16+UMSL!BV16</f>
        <v>181</v>
      </c>
      <c r="BW16" s="39">
        <f>MU!BW16+UMKC!BW16+'S&amp;T'!BW16+UMSL!BW16</f>
        <v>113</v>
      </c>
      <c r="BX16" s="41">
        <f t="shared" si="16"/>
        <v>294</v>
      </c>
      <c r="BY16" s="39">
        <f>MU!BY16+UMKC!BY16+'S&amp;T'!BY16+UMSL!BY16</f>
        <v>167</v>
      </c>
      <c r="BZ16" s="39">
        <f>MU!BZ16+UMKC!BZ16+'S&amp;T'!BZ16+UMSL!BZ16</f>
        <v>110</v>
      </c>
      <c r="CA16" s="41">
        <f t="shared" si="17"/>
        <v>277</v>
      </c>
      <c r="CB16" s="39">
        <f>MU!CB16+UMKC!CB16+'S&amp;T'!CB16+UMSL!CB16</f>
        <v>190</v>
      </c>
      <c r="CC16" s="39">
        <f>MU!CC16+UMKC!CC16+'S&amp;T'!CC16+UMSL!CC16</f>
        <v>140</v>
      </c>
      <c r="CD16" s="41">
        <f>CB16+CC16</f>
        <v>330</v>
      </c>
      <c r="CE16" s="39">
        <f>MU!CE16+UMKC!CE16+'S&amp;T'!CE16+UMSL!CE16</f>
        <v>211</v>
      </c>
      <c r="CF16" s="39">
        <f>MU!CF16+UMKC!CF16+'S&amp;T'!CF16+UMSL!CF16</f>
        <v>147</v>
      </c>
      <c r="CG16" s="41">
        <f t="shared" si="19"/>
        <v>358</v>
      </c>
      <c r="CH16" s="39">
        <f>MU!CH16+UMKC!CH16+'S&amp;T'!CH16+UMSL!CH16</f>
        <v>230</v>
      </c>
      <c r="CI16" s="39">
        <f>MU!CI16+UMKC!CI16+'S&amp;T'!CI16+UMSL!CI16</f>
        <v>142</v>
      </c>
      <c r="CJ16" s="41">
        <f t="shared" si="20"/>
        <v>372</v>
      </c>
      <c r="CK16" s="39">
        <f>MU!CK16+UMKC!CK16+'S&amp;T'!CK16+UMSL!CK16</f>
        <v>288</v>
      </c>
      <c r="CL16" s="39">
        <f>MU!CL16+UMKC!CL16+'S&amp;T'!CL16+UMSL!CL16</f>
        <v>161</v>
      </c>
      <c r="CM16" s="41">
        <f t="shared" si="21"/>
        <v>449</v>
      </c>
      <c r="CN16" s="39">
        <f>MU!CN16+UMKC!CN16+'S&amp;T'!CN16+UMSL!CN16</f>
        <v>243</v>
      </c>
      <c r="CO16" s="39">
        <f>MU!CO16+UMKC!CO16+'S&amp;T'!CO16+UMSL!CO16</f>
        <v>131</v>
      </c>
      <c r="CP16" s="41">
        <f t="shared" si="22"/>
        <v>374</v>
      </c>
      <c r="CQ16" s="39">
        <f>MU!CQ16+UMKC!CQ16+'S&amp;T'!CQ16+UMSL!CQ16</f>
        <v>218</v>
      </c>
      <c r="CR16" s="39">
        <f>MU!CR16+UMKC!CR16+'S&amp;T'!CR16+UMSL!CR16</f>
        <v>95</v>
      </c>
      <c r="CS16" s="41">
        <f t="shared" si="23"/>
        <v>313</v>
      </c>
    </row>
    <row r="17" spans="1:97" ht="13.5" customHeight="1" x14ac:dyDescent="0.2">
      <c r="A17" s="23"/>
      <c r="B17" s="3"/>
      <c r="D17" s="3"/>
      <c r="E17" s="3"/>
      <c r="F17" s="15">
        <f>IF(AH13&gt;0,(AH17/AH13),"")</f>
        <v>0.51910889187632037</v>
      </c>
      <c r="G17" s="15">
        <f>IF(AK13&gt;0,(AK17/AK13),"")</f>
        <v>0.53847802786709542</v>
      </c>
      <c r="H17" s="15">
        <f>IF(AN13&gt;0,(AN17/AN13),"")</f>
        <v>0.54004724071290533</v>
      </c>
      <c r="I17" s="15">
        <f>IF(AQ13&gt;0,(AQ17/AQ13),"")</f>
        <v>0.54496669133974829</v>
      </c>
      <c r="J17" s="15">
        <f>IF(AT13&gt;0,(AT17/AT13),"")</f>
        <v>0.58271994391868209</v>
      </c>
      <c r="K17" s="15">
        <f>IF(AW13&gt;0,(AW17/AW13),"")</f>
        <v>0.58530554574355353</v>
      </c>
      <c r="L17" s="15">
        <f>IF(AZ13&gt;0,(AZ17/AZ13),"")</f>
        <v>0.60251284980011421</v>
      </c>
      <c r="M17" s="15">
        <f>IF(BC13&gt;0,(BC17/BC13),"")</f>
        <v>0.62528735632183907</v>
      </c>
      <c r="N17" s="15">
        <f>IF(BF13&gt;0,(BF17/BF13),"")</f>
        <v>0.61272885789014819</v>
      </c>
      <c r="O17" s="15">
        <f>IF(BI13&gt;0,(BI17/BI13),"")</f>
        <v>0.63274776267815713</v>
      </c>
      <c r="P17" s="15">
        <f>IF(BL13&gt;0,(BL17/BL13),"")</f>
        <v>0.61472433146252892</v>
      </c>
      <c r="Q17" s="15">
        <f>IF(BO13&gt;0,(BO17/BO13),"")</f>
        <v>0.6362632160328231</v>
      </c>
      <c r="R17" s="15">
        <f>IF(BR13&gt;0,(BR17/BR13),"")</f>
        <v>0.62834104823055104</v>
      </c>
      <c r="S17" s="15">
        <f>IF(BU13&gt;0,(BU17/BU13),"")</f>
        <v>0.64290995120508654</v>
      </c>
      <c r="T17" s="15">
        <f>IF(BX13&gt;0,(BX17/BX13),"")</f>
        <v>0.63751242368308958</v>
      </c>
      <c r="U17" s="15">
        <f>IF(CA13&gt;0,(CA17/CA13),"")</f>
        <v>0.65444069702079821</v>
      </c>
      <c r="V17" s="15">
        <f t="shared" ref="V17" si="28">IF(CD13&gt;0,(CD17/CD13),"")</f>
        <v>0.65158371040723984</v>
      </c>
      <c r="W17" s="15">
        <f t="shared" si="25"/>
        <v>0.65143699336772287</v>
      </c>
      <c r="X17" s="15">
        <f>CJ17/CJ$13</f>
        <v>0.64347718253968256</v>
      </c>
      <c r="Y17" s="15">
        <f>CM17/CM$13</f>
        <v>0.64411832148589776</v>
      </c>
      <c r="Z17" s="15">
        <f>CP17/CP$13</f>
        <v>0.64508365803346324</v>
      </c>
      <c r="AA17" s="15">
        <f t="shared" si="26"/>
        <v>0.64827813116911603</v>
      </c>
      <c r="AB17" s="51"/>
      <c r="AD17" s="3"/>
      <c r="AE17" s="35" t="s">
        <v>88</v>
      </c>
      <c r="AF17" s="41">
        <f>SUM(AF14:AF16)</f>
        <v>1321</v>
      </c>
      <c r="AG17" s="41">
        <f t="shared" ref="AG17:CC17" si="29">SUM(AG14:AG16)</f>
        <v>1382</v>
      </c>
      <c r="AH17" s="41">
        <f t="shared" si="29"/>
        <v>2703</v>
      </c>
      <c r="AI17" s="41">
        <f t="shared" si="29"/>
        <v>1226</v>
      </c>
      <c r="AJ17" s="41">
        <f t="shared" si="29"/>
        <v>1286</v>
      </c>
      <c r="AK17" s="41">
        <f t="shared" si="29"/>
        <v>2512</v>
      </c>
      <c r="AL17" s="41">
        <f t="shared" si="29"/>
        <v>1246</v>
      </c>
      <c r="AM17" s="41">
        <f t="shared" si="29"/>
        <v>1269</v>
      </c>
      <c r="AN17" s="41">
        <f t="shared" si="29"/>
        <v>2515</v>
      </c>
      <c r="AO17" s="41">
        <f t="shared" si="29"/>
        <v>1327</v>
      </c>
      <c r="AP17" s="41">
        <f t="shared" si="29"/>
        <v>1618</v>
      </c>
      <c r="AQ17" s="41">
        <f t="shared" si="29"/>
        <v>2945</v>
      </c>
      <c r="AR17" s="41">
        <f t="shared" si="29"/>
        <v>1555</v>
      </c>
      <c r="AS17" s="41">
        <f t="shared" si="29"/>
        <v>1770</v>
      </c>
      <c r="AT17" s="41">
        <f t="shared" si="29"/>
        <v>3325</v>
      </c>
      <c r="AU17" s="41">
        <f t="shared" si="29"/>
        <v>1542</v>
      </c>
      <c r="AV17" s="41">
        <f t="shared" si="29"/>
        <v>1772</v>
      </c>
      <c r="AW17" s="41">
        <f t="shared" si="29"/>
        <v>3314</v>
      </c>
      <c r="AX17" s="41">
        <f t="shared" si="29"/>
        <v>1447</v>
      </c>
      <c r="AY17" s="41">
        <f t="shared" si="29"/>
        <v>1718</v>
      </c>
      <c r="AZ17" s="41">
        <f t="shared" si="29"/>
        <v>3165</v>
      </c>
      <c r="BA17" s="41">
        <f t="shared" si="29"/>
        <v>1665</v>
      </c>
      <c r="BB17" s="41">
        <f t="shared" si="29"/>
        <v>1871</v>
      </c>
      <c r="BC17" s="41">
        <f t="shared" si="29"/>
        <v>3536</v>
      </c>
      <c r="BD17" s="41">
        <f t="shared" si="29"/>
        <v>1653</v>
      </c>
      <c r="BE17" s="41">
        <f t="shared" si="29"/>
        <v>1861</v>
      </c>
      <c r="BF17" s="41">
        <f t="shared" si="29"/>
        <v>3514</v>
      </c>
      <c r="BG17" s="41">
        <f t="shared" si="29"/>
        <v>1812</v>
      </c>
      <c r="BH17" s="41">
        <f t="shared" si="29"/>
        <v>2006</v>
      </c>
      <c r="BI17" s="41">
        <f t="shared" si="29"/>
        <v>3818</v>
      </c>
      <c r="BJ17" s="41">
        <f t="shared" si="29"/>
        <v>1777</v>
      </c>
      <c r="BK17" s="41">
        <f t="shared" si="29"/>
        <v>1947</v>
      </c>
      <c r="BL17" s="41">
        <f t="shared" si="29"/>
        <v>3724</v>
      </c>
      <c r="BM17" s="41">
        <f t="shared" si="29"/>
        <v>1929</v>
      </c>
      <c r="BN17" s="41">
        <f t="shared" si="29"/>
        <v>2103</v>
      </c>
      <c r="BO17" s="41">
        <f t="shared" si="29"/>
        <v>4032</v>
      </c>
      <c r="BP17" s="41">
        <f t="shared" si="29"/>
        <v>2001</v>
      </c>
      <c r="BQ17" s="41">
        <f t="shared" si="29"/>
        <v>2207</v>
      </c>
      <c r="BR17" s="41">
        <f t="shared" si="29"/>
        <v>4208</v>
      </c>
      <c r="BS17" s="41">
        <f t="shared" si="29"/>
        <v>2097</v>
      </c>
      <c r="BT17" s="41">
        <f t="shared" si="29"/>
        <v>2251</v>
      </c>
      <c r="BU17" s="41">
        <f t="shared" si="29"/>
        <v>4348</v>
      </c>
      <c r="BV17" s="41">
        <f t="shared" si="29"/>
        <v>2188</v>
      </c>
      <c r="BW17" s="41">
        <f t="shared" si="29"/>
        <v>2302</v>
      </c>
      <c r="BX17" s="41">
        <f t="shared" si="29"/>
        <v>4490</v>
      </c>
      <c r="BY17" s="41">
        <f t="shared" si="29"/>
        <v>2194</v>
      </c>
      <c r="BZ17" s="41">
        <f t="shared" si="29"/>
        <v>2463</v>
      </c>
      <c r="CA17" s="41">
        <f t="shared" si="29"/>
        <v>4657</v>
      </c>
      <c r="CB17" s="41">
        <f t="shared" si="29"/>
        <v>2224</v>
      </c>
      <c r="CC17" s="41">
        <f t="shared" si="29"/>
        <v>2528</v>
      </c>
      <c r="CD17" s="41">
        <f>SUM(CD14:CD16)</f>
        <v>4752</v>
      </c>
      <c r="CE17" s="41">
        <f t="shared" ref="CE17:CF17" si="30">SUM(CE14:CE16)</f>
        <v>2521</v>
      </c>
      <c r="CF17" s="41">
        <f t="shared" si="30"/>
        <v>2783</v>
      </c>
      <c r="CG17" s="41">
        <f>SUM(CG14:CG16)</f>
        <v>5304</v>
      </c>
      <c r="CH17" s="41">
        <f t="shared" ref="CH17:CI17" si="31">SUM(CH14:CH16)</f>
        <v>2399</v>
      </c>
      <c r="CI17" s="41">
        <f t="shared" si="31"/>
        <v>2790</v>
      </c>
      <c r="CJ17" s="41">
        <f>SUM(CJ14:CJ16)</f>
        <v>5189</v>
      </c>
      <c r="CK17" s="41">
        <f t="shared" ref="CK17:CL17" si="32">SUM(CK14:CK16)</f>
        <v>2682</v>
      </c>
      <c r="CL17" s="41">
        <f t="shared" si="32"/>
        <v>2936</v>
      </c>
      <c r="CM17" s="41">
        <f>SUM(CM14:CM16)</f>
        <v>5618</v>
      </c>
      <c r="CN17" s="41">
        <f t="shared" ref="CN17:CO17" si="33">SUM(CN14:CN16)</f>
        <v>2641</v>
      </c>
      <c r="CO17" s="41">
        <f t="shared" si="33"/>
        <v>2988</v>
      </c>
      <c r="CP17" s="41">
        <f>SUM(CP14:CP16)</f>
        <v>5629</v>
      </c>
      <c r="CQ17" s="41">
        <f t="shared" ref="CQ17:CR17" si="34">SUM(CQ14:CQ16)</f>
        <v>2792</v>
      </c>
      <c r="CR17" s="41">
        <f t="shared" si="34"/>
        <v>3119</v>
      </c>
      <c r="CS17" s="41">
        <f>SUM(CS14:CS16)</f>
        <v>5911</v>
      </c>
    </row>
    <row r="18" spans="1:97" ht="13.5" customHeight="1" x14ac:dyDescent="0.25">
      <c r="A18" s="23"/>
      <c r="B18" s="3"/>
      <c r="C18" s="4" t="s">
        <v>96</v>
      </c>
      <c r="D18" s="3"/>
      <c r="E18" s="3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37"/>
      <c r="X18" s="37"/>
      <c r="Y18" s="37"/>
      <c r="Z18" s="37"/>
      <c r="AA18" s="37"/>
      <c r="AB18" s="52"/>
      <c r="AD18" s="3"/>
      <c r="AE18" s="3"/>
      <c r="AF18" s="85" t="s">
        <v>96</v>
      </c>
      <c r="AG18" s="85"/>
      <c r="AH18" s="85"/>
      <c r="AI18" s="85"/>
      <c r="AJ18" s="85"/>
      <c r="AK18" s="85"/>
      <c r="AL18" s="85"/>
      <c r="AM18" s="85"/>
      <c r="AN18" s="85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</row>
    <row r="19" spans="1:97" ht="13.5" customHeight="1" x14ac:dyDescent="0.2">
      <c r="A19" s="23"/>
      <c r="B19" s="3"/>
      <c r="D19" s="3" t="s">
        <v>65</v>
      </c>
      <c r="E19" s="3"/>
      <c r="F19" s="11">
        <f>AH19</f>
        <v>390</v>
      </c>
      <c r="G19" s="11">
        <f>AK19</f>
        <v>329</v>
      </c>
      <c r="H19" s="11">
        <f>AN19</f>
        <v>293</v>
      </c>
      <c r="I19" s="11">
        <f>AQ19</f>
        <v>536</v>
      </c>
      <c r="J19" s="11">
        <f>AT19</f>
        <v>554</v>
      </c>
      <c r="K19" s="11">
        <f>AW19</f>
        <v>568</v>
      </c>
      <c r="L19" s="11">
        <f>AZ19</f>
        <v>486</v>
      </c>
      <c r="M19" s="11">
        <f>BC19</f>
        <v>502</v>
      </c>
      <c r="N19" s="11">
        <f>BF19</f>
        <v>507</v>
      </c>
      <c r="O19" s="11">
        <f>BI19</f>
        <v>499</v>
      </c>
      <c r="P19" s="11">
        <f>BL19</f>
        <v>528</v>
      </c>
      <c r="Q19" s="11">
        <f>BO19</f>
        <v>609</v>
      </c>
      <c r="R19" s="11">
        <f>BR19</f>
        <v>648</v>
      </c>
      <c r="S19" s="11">
        <f>BU19</f>
        <v>710</v>
      </c>
      <c r="T19" s="11">
        <f>BX19</f>
        <v>808</v>
      </c>
      <c r="U19" s="11">
        <f>CA19</f>
        <v>865</v>
      </c>
      <c r="V19" s="11">
        <f>CD19</f>
        <v>799</v>
      </c>
      <c r="W19" s="11">
        <f>CG19</f>
        <v>955</v>
      </c>
      <c r="X19" s="11">
        <f>CJ19</f>
        <v>1086</v>
      </c>
      <c r="Y19" s="11">
        <f>CM19</f>
        <v>1185</v>
      </c>
      <c r="Z19" s="11">
        <f>CP19</f>
        <v>1270</v>
      </c>
      <c r="AA19" s="11">
        <f>CS19</f>
        <v>1377</v>
      </c>
      <c r="AB19" s="12"/>
      <c r="AC19" s="13"/>
      <c r="AD19" s="3" t="s">
        <v>65</v>
      </c>
      <c r="AE19" s="3"/>
      <c r="AF19" s="39">
        <f>MU!AF19+UMKC!AF19+'S&amp;T'!AF19+UMSL!AF19</f>
        <v>168</v>
      </c>
      <c r="AG19" s="39">
        <f>MU!AG19+UMKC!AG19+'S&amp;T'!AG19+UMSL!AG19</f>
        <v>222</v>
      </c>
      <c r="AH19" s="41">
        <f>AF19+AG19</f>
        <v>390</v>
      </c>
      <c r="AI19" s="39">
        <f>MU!AI19+UMKC!AI19+'S&amp;T'!AI19+UMSL!AI19</f>
        <v>134</v>
      </c>
      <c r="AJ19" s="39">
        <f>MU!AJ19+UMKC!AJ19+'S&amp;T'!AJ19+UMSL!AJ19</f>
        <v>195</v>
      </c>
      <c r="AK19" s="41">
        <f>AI19+AJ19</f>
        <v>329</v>
      </c>
      <c r="AL19" s="39">
        <f>MU!AL19+UMKC!AL19+'S&amp;T'!AL19+UMSL!AL19</f>
        <v>130</v>
      </c>
      <c r="AM19" s="39">
        <f>MU!AM19+UMKC!AM19+'S&amp;T'!AM19+UMSL!AM19</f>
        <v>163</v>
      </c>
      <c r="AN19" s="41">
        <f>AL19+AM19</f>
        <v>293</v>
      </c>
      <c r="AO19" s="39">
        <f>MU!AO19+UMKC!AO19+'S&amp;T'!AO19+UMSL!AO19</f>
        <v>209</v>
      </c>
      <c r="AP19" s="39">
        <f>MU!AP19+UMKC!AP19+'S&amp;T'!AP19+UMSL!AP19</f>
        <v>327</v>
      </c>
      <c r="AQ19" s="41">
        <f>AO19+AP19</f>
        <v>536</v>
      </c>
      <c r="AR19" s="39">
        <f>MU!AR19+UMKC!AR19+'S&amp;T'!AR19+UMSL!AR19</f>
        <v>219</v>
      </c>
      <c r="AS19" s="39">
        <f>MU!AS19+UMKC!AS19+'S&amp;T'!AS19+UMSL!AS19</f>
        <v>335</v>
      </c>
      <c r="AT19" s="41">
        <f>AR19+AS19</f>
        <v>554</v>
      </c>
      <c r="AU19" s="39">
        <f>MU!AU19+UMKC!AU19+'S&amp;T'!AU19+UMSL!AU19</f>
        <v>216</v>
      </c>
      <c r="AV19" s="39">
        <f>MU!AV19+UMKC!AV19+'S&amp;T'!AV19+UMSL!AV19</f>
        <v>352</v>
      </c>
      <c r="AW19" s="41">
        <f>AU19+AV19</f>
        <v>568</v>
      </c>
      <c r="AX19" s="39">
        <f>MU!AX19+UMKC!AX19+'S&amp;T'!AX19+UMSL!AX19</f>
        <v>193</v>
      </c>
      <c r="AY19" s="39">
        <f>MU!AY19+UMKC!AY19+'S&amp;T'!AY19+UMSL!AY19</f>
        <v>293</v>
      </c>
      <c r="AZ19" s="41">
        <f>AX19+AY19</f>
        <v>486</v>
      </c>
      <c r="BA19" s="39">
        <f>MU!BA19+UMKC!BA19+'S&amp;T'!BA19+UMSL!BA19</f>
        <v>206</v>
      </c>
      <c r="BB19" s="39">
        <f>MU!BB19+UMKC!BB19+'S&amp;T'!BB19+UMSL!BB19</f>
        <v>296</v>
      </c>
      <c r="BC19" s="41">
        <f>BA19+BB19</f>
        <v>502</v>
      </c>
      <c r="BD19" s="39">
        <f>MU!BD19+UMKC!BD19+'S&amp;T'!BD19+UMSL!BD19</f>
        <v>194</v>
      </c>
      <c r="BE19" s="39">
        <f>MU!BE19+UMKC!BE19+'S&amp;T'!BE19+UMSL!BE19</f>
        <v>313</v>
      </c>
      <c r="BF19" s="41">
        <f>BD19+BE19</f>
        <v>507</v>
      </c>
      <c r="BG19" s="39">
        <f>MU!BG19+UMKC!BG19+'S&amp;T'!BG19+UMSL!BG19</f>
        <v>183</v>
      </c>
      <c r="BH19" s="39">
        <f>MU!BH19+UMKC!BH19+'S&amp;T'!BH19+UMSL!BH19</f>
        <v>316</v>
      </c>
      <c r="BI19" s="41">
        <f>BG19+BH19</f>
        <v>499</v>
      </c>
      <c r="BJ19" s="39">
        <f>MU!BJ19+UMKC!BJ19+'S&amp;T'!BJ19+UMSL!BJ19</f>
        <v>215</v>
      </c>
      <c r="BK19" s="39">
        <f>MU!BK19+UMKC!BK19+'S&amp;T'!BK19+UMSL!BK19</f>
        <v>313</v>
      </c>
      <c r="BL19" s="41">
        <f>BJ19+BK19</f>
        <v>528</v>
      </c>
      <c r="BM19" s="39">
        <f>MU!BM19+UMKC!BM19+'S&amp;T'!BM19+UMSL!BM19</f>
        <v>252</v>
      </c>
      <c r="BN19" s="39">
        <f>MU!BN19+UMKC!BN19+'S&amp;T'!BN19+UMSL!BN19</f>
        <v>357</v>
      </c>
      <c r="BO19" s="41">
        <f>BM19+BN19</f>
        <v>609</v>
      </c>
      <c r="BP19" s="39">
        <f>MU!BP19+UMKC!BP19+'S&amp;T'!BP19+UMSL!BP19</f>
        <v>265</v>
      </c>
      <c r="BQ19" s="39">
        <f>MU!BQ19+UMKC!BQ19+'S&amp;T'!BQ19+UMSL!BQ19</f>
        <v>383</v>
      </c>
      <c r="BR19" s="41">
        <f>BP19+BQ19</f>
        <v>648</v>
      </c>
      <c r="BS19" s="39">
        <f>MU!BS19+UMKC!BS19+'S&amp;T'!BS19+UMSL!BS19</f>
        <v>277</v>
      </c>
      <c r="BT19" s="39">
        <f>MU!BT19+UMKC!BT19+'S&amp;T'!BT19+UMSL!BT19</f>
        <v>433</v>
      </c>
      <c r="BU19" s="41">
        <f>BS19+BT19</f>
        <v>710</v>
      </c>
      <c r="BV19" s="39">
        <f>MU!BV19+UMKC!BV19+'S&amp;T'!BV19+UMSL!BV19</f>
        <v>325</v>
      </c>
      <c r="BW19" s="39">
        <f>MU!BW19+UMKC!BW19+'S&amp;T'!BW19+UMSL!BW19</f>
        <v>483</v>
      </c>
      <c r="BX19" s="41">
        <f>BV19+BW19</f>
        <v>808</v>
      </c>
      <c r="BY19" s="39">
        <f>MU!BY19+UMKC!BY19+'S&amp;T'!BY19+UMSL!BY19</f>
        <v>344</v>
      </c>
      <c r="BZ19" s="39">
        <f>MU!BZ19+UMKC!BZ19+'S&amp;T'!BZ19+UMSL!BZ19</f>
        <v>521</v>
      </c>
      <c r="CA19" s="41">
        <f>BY19+BZ19</f>
        <v>865</v>
      </c>
      <c r="CB19" s="39">
        <f>MU!CB19+UMKC!CB19+'S&amp;T'!CB19+UMSL!CB19</f>
        <v>311</v>
      </c>
      <c r="CC19" s="39">
        <f>MU!CC19+UMKC!CC19+'S&amp;T'!CC19+UMSL!CC19</f>
        <v>488</v>
      </c>
      <c r="CD19" s="41">
        <f>CB19+CC19</f>
        <v>799</v>
      </c>
      <c r="CE19" s="39">
        <f>MU!CE19+UMKC!CE19+'S&amp;T'!CE19+UMSL!CE19</f>
        <v>388</v>
      </c>
      <c r="CF19" s="39">
        <f>MU!CF19+UMKC!CF19+'S&amp;T'!CF19+UMSL!CF19</f>
        <v>567</v>
      </c>
      <c r="CG19" s="41">
        <f>CE19+CF19</f>
        <v>955</v>
      </c>
      <c r="CH19" s="39">
        <f>MU!CH19+UMKC!CH19+'S&amp;T'!CH19+UMSL!CH19</f>
        <v>444</v>
      </c>
      <c r="CI19" s="39">
        <f>MU!CI19+UMKC!CI19+'S&amp;T'!CI19+UMSL!CI19</f>
        <v>642</v>
      </c>
      <c r="CJ19" s="41">
        <f>CH19+CI19</f>
        <v>1086</v>
      </c>
      <c r="CK19" s="39">
        <f>MU!CK19+UMKC!CK19+'S&amp;T'!CK19+UMSL!CK19</f>
        <v>502</v>
      </c>
      <c r="CL19" s="39">
        <f>MU!CL19+UMKC!CL19+'S&amp;T'!CL19+UMSL!CL19</f>
        <v>683</v>
      </c>
      <c r="CM19" s="41">
        <f>CK19+CL19</f>
        <v>1185</v>
      </c>
      <c r="CN19" s="39">
        <f>MU!CN19+UMKC!CN19+'S&amp;T'!CN19+UMSL!CN19</f>
        <v>473</v>
      </c>
      <c r="CO19" s="39">
        <f>MU!CO19+UMKC!CO19+'S&amp;T'!CO19+UMSL!CO19</f>
        <v>797</v>
      </c>
      <c r="CP19" s="41">
        <f>CN19+CO19</f>
        <v>1270</v>
      </c>
      <c r="CQ19" s="39">
        <f>MU!CQ19+UMKC!CQ19+'S&amp;T'!CQ19+UMSL!CQ19</f>
        <v>538</v>
      </c>
      <c r="CR19" s="39">
        <f>MU!CR19+UMKC!CR19+'S&amp;T'!CR19+UMSL!CR19</f>
        <v>839</v>
      </c>
      <c r="CS19" s="41">
        <f>CQ19+CR19</f>
        <v>1377</v>
      </c>
    </row>
    <row r="20" spans="1:97" ht="13.5" customHeight="1" x14ac:dyDescent="0.2">
      <c r="A20" s="23"/>
      <c r="B20" s="3"/>
      <c r="D20" s="15" t="s">
        <v>59</v>
      </c>
      <c r="E20" s="3" t="s">
        <v>60</v>
      </c>
      <c r="F20" s="15">
        <f>IF(AH19&gt;0,(AH20/AH19),"")</f>
        <v>9.2307692307692313E-2</v>
      </c>
      <c r="G20" s="15">
        <f>IF(AK19&gt;0,(AK20/AK19),"")</f>
        <v>0.11854103343465046</v>
      </c>
      <c r="H20" s="15">
        <f>IF(AN19&gt;0,(AN20/AN19),"")</f>
        <v>0.12286689419795221</v>
      </c>
      <c r="I20" s="15">
        <f>IF(AQ19&gt;0,(AQ20/AQ19),"")</f>
        <v>0.13619402985074627</v>
      </c>
      <c r="J20" s="15">
        <f>IF(AT19&gt;0,(AT20/AT19),"")</f>
        <v>0.15162454873646208</v>
      </c>
      <c r="K20" s="15">
        <f>IF(AW19&gt;0,(AW20/AW19),"")</f>
        <v>0.16549295774647887</v>
      </c>
      <c r="L20" s="15">
        <f>IF(AZ19&gt;0,(AZ20/AZ19),"")</f>
        <v>0.20781893004115226</v>
      </c>
      <c r="M20" s="15">
        <f>IF(BC19&gt;0,(BC20/BC19),"")</f>
        <v>0.24302788844621515</v>
      </c>
      <c r="N20" s="15">
        <f>IF(BF19&gt;0,(BF20/BF19),"")</f>
        <v>0.22090729783037474</v>
      </c>
      <c r="O20" s="15">
        <f>IF(BI19&gt;0,(BI20/BI19),"")</f>
        <v>0.23847695390781562</v>
      </c>
      <c r="P20" s="15">
        <f>IF(BL19&gt;0,(BL20/BL19),"")</f>
        <v>0.18939393939393939</v>
      </c>
      <c r="Q20" s="15">
        <f>IF(BO19&gt;0,(BO20/BO19),"")</f>
        <v>0.22660098522167488</v>
      </c>
      <c r="R20" s="15">
        <f>IF(BR19&gt;0,(BR20/BR19),"")</f>
        <v>0.24382716049382716</v>
      </c>
      <c r="S20" s="15">
        <f>IF(BU19&gt;0,(BU20/BU19),"")</f>
        <v>0.22394366197183099</v>
      </c>
      <c r="T20" s="15">
        <f>IF(BX19&gt;0,(BX20/BX19),"")</f>
        <v>0.22400990099009901</v>
      </c>
      <c r="U20" s="15">
        <f>IF(CA19&gt;0,(CA20/CA19),"")</f>
        <v>0.25317919075144507</v>
      </c>
      <c r="V20" s="15">
        <f>IF(CD19&gt;0,(CD20/CD19),"")</f>
        <v>0.24780976220275344</v>
      </c>
      <c r="W20" s="15">
        <f>CG20/CG$19</f>
        <v>0.26596858638743454</v>
      </c>
      <c r="X20" s="15">
        <f>CJ20/CJ$19</f>
        <v>0.24033149171270718</v>
      </c>
      <c r="Y20" s="15">
        <f>CM20/CM$19</f>
        <v>0.2438818565400844</v>
      </c>
      <c r="Z20" s="15">
        <f>CP20/CP$19</f>
        <v>0.25433070866141733</v>
      </c>
      <c r="AA20" s="15">
        <f>CS20/CS$19</f>
        <v>0.25780682643427744</v>
      </c>
      <c r="AB20" s="50"/>
      <c r="AD20" s="15" t="s">
        <v>59</v>
      </c>
      <c r="AE20" s="3" t="s">
        <v>60</v>
      </c>
      <c r="AF20" s="39">
        <f>MU!AF20+UMKC!AF20+'S&amp;T'!AF20+UMSL!AF20</f>
        <v>14</v>
      </c>
      <c r="AG20" s="39">
        <f>MU!AG20+UMKC!AG20+'S&amp;T'!AG20+UMSL!AG20</f>
        <v>22</v>
      </c>
      <c r="AH20" s="41">
        <f t="shared" ref="AH20:AH22" si="35">AF20+AG20</f>
        <v>36</v>
      </c>
      <c r="AI20" s="39">
        <f>MU!AI20+UMKC!AI20+'S&amp;T'!AI20+UMSL!AI20</f>
        <v>10</v>
      </c>
      <c r="AJ20" s="39">
        <f>MU!AJ20+UMKC!AJ20+'S&amp;T'!AJ20+UMSL!AJ20</f>
        <v>29</v>
      </c>
      <c r="AK20" s="41">
        <f t="shared" ref="AK20:AK22" si="36">AI20+AJ20</f>
        <v>39</v>
      </c>
      <c r="AL20" s="39">
        <f>MU!AL20+UMKC!AL20+'S&amp;T'!AL20+UMSL!AL20</f>
        <v>7</v>
      </c>
      <c r="AM20" s="39">
        <f>MU!AM20+UMKC!AM20+'S&amp;T'!AM20+UMSL!AM20</f>
        <v>29</v>
      </c>
      <c r="AN20" s="41">
        <f t="shared" ref="AN20:AN22" si="37">AL20+AM20</f>
        <v>36</v>
      </c>
      <c r="AO20" s="39">
        <f>MU!AO20+UMKC!AO20+'S&amp;T'!AO20+UMSL!AO20</f>
        <v>13</v>
      </c>
      <c r="AP20" s="39">
        <f>MU!AP20+UMKC!AP20+'S&amp;T'!AP20+UMSL!AP20</f>
        <v>60</v>
      </c>
      <c r="AQ20" s="41">
        <f t="shared" ref="AQ20:AQ22" si="38">AO20+AP20</f>
        <v>73</v>
      </c>
      <c r="AR20" s="39">
        <f>MU!AR20+UMKC!AR20+'S&amp;T'!AR20+UMSL!AR20</f>
        <v>24</v>
      </c>
      <c r="AS20" s="39">
        <f>MU!AS20+UMKC!AS20+'S&amp;T'!AS20+UMSL!AS20</f>
        <v>60</v>
      </c>
      <c r="AT20" s="41">
        <f t="shared" ref="AT20:AT22" si="39">AR20+AS20</f>
        <v>84</v>
      </c>
      <c r="AU20" s="39">
        <f>MU!AU20+UMKC!AU20+'S&amp;T'!AU20+UMSL!AU20</f>
        <v>18</v>
      </c>
      <c r="AV20" s="39">
        <f>MU!AV20+UMKC!AV20+'S&amp;T'!AV20+UMSL!AV20</f>
        <v>76</v>
      </c>
      <c r="AW20" s="41">
        <f t="shared" ref="AW20:AW22" si="40">AU20+AV20</f>
        <v>94</v>
      </c>
      <c r="AX20" s="39">
        <f>MU!AX20+UMKC!AX20+'S&amp;T'!AX20+UMSL!AX20</f>
        <v>25</v>
      </c>
      <c r="AY20" s="39">
        <f>MU!AY20+UMKC!AY20+'S&amp;T'!AY20+UMSL!AY20</f>
        <v>76</v>
      </c>
      <c r="AZ20" s="41">
        <f t="shared" ref="AZ20:AZ22" si="41">AX20+AY20</f>
        <v>101</v>
      </c>
      <c r="BA20" s="39">
        <f>MU!BA20+UMKC!BA20+'S&amp;T'!BA20+UMSL!BA20</f>
        <v>31</v>
      </c>
      <c r="BB20" s="39">
        <f>MU!BB20+UMKC!BB20+'S&amp;T'!BB20+UMSL!BB20</f>
        <v>91</v>
      </c>
      <c r="BC20" s="41">
        <f t="shared" ref="BC20:BC22" si="42">BA20+BB20</f>
        <v>122</v>
      </c>
      <c r="BD20" s="39">
        <f>MU!BD20+UMKC!BD20+'S&amp;T'!BD20+UMSL!BD20</f>
        <v>29</v>
      </c>
      <c r="BE20" s="39">
        <f>MU!BE20+UMKC!BE20+'S&amp;T'!BE20+UMSL!BE20</f>
        <v>83</v>
      </c>
      <c r="BF20" s="41">
        <f t="shared" ref="BF20:BF22" si="43">BD20+BE20</f>
        <v>112</v>
      </c>
      <c r="BG20" s="39">
        <f>MU!BG20+UMKC!BG20+'S&amp;T'!BG20+UMSL!BG20</f>
        <v>33</v>
      </c>
      <c r="BH20" s="39">
        <f>MU!BH20+UMKC!BH20+'S&amp;T'!BH20+UMSL!BH20</f>
        <v>86</v>
      </c>
      <c r="BI20" s="41">
        <f t="shared" ref="BI20:BI22" si="44">BG20+BH20</f>
        <v>119</v>
      </c>
      <c r="BJ20" s="39">
        <f>MU!BJ20+UMKC!BJ20+'S&amp;T'!BJ20+UMSL!BJ20</f>
        <v>24</v>
      </c>
      <c r="BK20" s="39">
        <f>MU!BK20+UMKC!BK20+'S&amp;T'!BK20+UMSL!BK20</f>
        <v>76</v>
      </c>
      <c r="BL20" s="41">
        <f t="shared" ref="BL20:BL22" si="45">BJ20+BK20</f>
        <v>100</v>
      </c>
      <c r="BM20" s="39">
        <f>MU!BM20+UMKC!BM20+'S&amp;T'!BM20+UMSL!BM20</f>
        <v>33</v>
      </c>
      <c r="BN20" s="39">
        <f>MU!BN20+UMKC!BN20+'S&amp;T'!BN20+UMSL!BN20</f>
        <v>105</v>
      </c>
      <c r="BO20" s="41">
        <f t="shared" ref="BO20:BO22" si="46">BM20+BN20</f>
        <v>138</v>
      </c>
      <c r="BP20" s="39">
        <f>MU!BP20+UMKC!BP20+'S&amp;T'!BP20+UMSL!BP20</f>
        <v>48</v>
      </c>
      <c r="BQ20" s="39">
        <f>MU!BQ20+UMKC!BQ20+'S&amp;T'!BQ20+UMSL!BQ20</f>
        <v>110</v>
      </c>
      <c r="BR20" s="41">
        <f t="shared" ref="BR20:BR22" si="47">BP20+BQ20</f>
        <v>158</v>
      </c>
      <c r="BS20" s="39">
        <f>MU!BS20+UMKC!BS20+'S&amp;T'!BS20+UMSL!BS20</f>
        <v>44</v>
      </c>
      <c r="BT20" s="39">
        <f>MU!BT20+UMKC!BT20+'S&amp;T'!BT20+UMSL!BT20</f>
        <v>115</v>
      </c>
      <c r="BU20" s="41">
        <f t="shared" ref="BU20:BU21" si="48">BS20+BT20</f>
        <v>159</v>
      </c>
      <c r="BV20" s="39">
        <f>MU!BV20+UMKC!BV20+'S&amp;T'!BV20+UMSL!BV20</f>
        <v>48</v>
      </c>
      <c r="BW20" s="39">
        <f>MU!BW20+UMKC!BW20+'S&amp;T'!BW20+UMSL!BW20</f>
        <v>133</v>
      </c>
      <c r="BX20" s="41">
        <f t="shared" ref="BX20:BX22" si="49">BV20+BW20</f>
        <v>181</v>
      </c>
      <c r="BY20" s="39">
        <f>MU!BY20+UMKC!BY20+'S&amp;T'!BY20+UMSL!BY20</f>
        <v>66</v>
      </c>
      <c r="BZ20" s="39">
        <f>MU!BZ20+UMKC!BZ20+'S&amp;T'!BZ20+UMSL!BZ20</f>
        <v>153</v>
      </c>
      <c r="CA20" s="41">
        <f t="shared" ref="CA20:CA22" si="50">BY20+BZ20</f>
        <v>219</v>
      </c>
      <c r="CB20" s="39">
        <f>MU!CB20+UMKC!CB20+'S&amp;T'!CB20+UMSL!CB20</f>
        <v>57</v>
      </c>
      <c r="CC20" s="39">
        <f>MU!CC20+UMKC!CC20+'S&amp;T'!CC20+UMSL!CC20</f>
        <v>141</v>
      </c>
      <c r="CD20" s="41">
        <f t="shared" ref="CD20:CD22" si="51">CB20+CC20</f>
        <v>198</v>
      </c>
      <c r="CE20" s="39">
        <f>MU!CE20+UMKC!CE20+'S&amp;T'!CE20+UMSL!CE20</f>
        <v>79</v>
      </c>
      <c r="CF20" s="39">
        <f>MU!CF20+UMKC!CF20+'S&amp;T'!CF20+UMSL!CF20</f>
        <v>175</v>
      </c>
      <c r="CG20" s="41">
        <f t="shared" ref="CG20" si="52">CE20+CF20</f>
        <v>254</v>
      </c>
      <c r="CH20" s="39">
        <f>MU!CH20+UMKC!CH20+'S&amp;T'!CH20+UMSL!CH20</f>
        <v>78</v>
      </c>
      <c r="CI20" s="39">
        <f>MU!CI20+UMKC!CI20+'S&amp;T'!CI20+UMSL!CI20</f>
        <v>183</v>
      </c>
      <c r="CJ20" s="41">
        <f t="shared" ref="CJ20" si="53">CH20+CI20</f>
        <v>261</v>
      </c>
      <c r="CK20" s="39">
        <f>MU!CK20+UMKC!CK20+'S&amp;T'!CK20+UMSL!CK20</f>
        <v>98</v>
      </c>
      <c r="CL20" s="39">
        <f>MU!CL20+UMKC!CL20+'S&amp;T'!CL20+UMSL!CL20</f>
        <v>191</v>
      </c>
      <c r="CM20" s="41">
        <f t="shared" ref="CM20" si="54">CK20+CL20</f>
        <v>289</v>
      </c>
      <c r="CN20" s="39">
        <f>MU!CN20+UMKC!CN20+'S&amp;T'!CN20+UMSL!CN20</f>
        <v>86</v>
      </c>
      <c r="CO20" s="39">
        <f>MU!CO20+UMKC!CO20+'S&amp;T'!CO20+UMSL!CO20</f>
        <v>237</v>
      </c>
      <c r="CP20" s="41">
        <f t="shared" ref="CP20" si="55">CN20+CO20</f>
        <v>323</v>
      </c>
      <c r="CQ20" s="39">
        <f>MU!CQ20+UMKC!CQ20+'S&amp;T'!CQ20+UMSL!CQ20</f>
        <v>97</v>
      </c>
      <c r="CR20" s="39">
        <f>MU!CR20+UMKC!CR20+'S&amp;T'!CR20+UMSL!CR20</f>
        <v>258</v>
      </c>
      <c r="CS20" s="41">
        <f t="shared" ref="CS20" si="56">CQ20+CR20</f>
        <v>355</v>
      </c>
    </row>
    <row r="21" spans="1:97" ht="13.5" customHeight="1" x14ac:dyDescent="0.2">
      <c r="A21" s="23"/>
      <c r="B21" s="3"/>
      <c r="D21" s="3"/>
      <c r="E21" s="3" t="s">
        <v>61</v>
      </c>
      <c r="F21" s="15">
        <f>IF(AH19&gt;0,(AH21/AH19),"")</f>
        <v>0.18974358974358974</v>
      </c>
      <c r="G21" s="15">
        <f>IF(AK19&gt;0,(AK21/AK19),"")</f>
        <v>0.20668693009118541</v>
      </c>
      <c r="H21" s="15">
        <f>IF(AN19&gt;0,(AN21/AN19),"")</f>
        <v>0.17406143344709898</v>
      </c>
      <c r="I21" s="15">
        <f>IF(AQ19&gt;0,(AQ21/AQ19),"")</f>
        <v>0.22014925373134328</v>
      </c>
      <c r="J21" s="15">
        <f>IF(AT19&gt;0,(AT21/AT19),"")</f>
        <v>0.21841155234657039</v>
      </c>
      <c r="K21" s="15">
        <f>IF(AW19&gt;0,(AW21/AW19),"")</f>
        <v>0.20246478873239437</v>
      </c>
      <c r="L21" s="15">
        <f>IF(AZ19&gt;0,(AZ21/AZ19),"")</f>
        <v>0.22633744855967078</v>
      </c>
      <c r="M21" s="15">
        <f>IF(BC19&gt;0,(BC21/BC19),"")</f>
        <v>0.23306772908366533</v>
      </c>
      <c r="N21" s="15">
        <f>IF(BF19&gt;0,(BF21/BF19),"")</f>
        <v>0.22682445759368836</v>
      </c>
      <c r="O21" s="15">
        <f>IF(BI19&gt;0,(BI21/BI19),"")</f>
        <v>0.20240480961923848</v>
      </c>
      <c r="P21" s="15">
        <f>IF(BL19&gt;0,(BL21/BL19),"")</f>
        <v>0.20075757575757575</v>
      </c>
      <c r="Q21" s="15">
        <f>IF(BO19&gt;0,(BO21/BO19),"")</f>
        <v>0.19704433497536947</v>
      </c>
      <c r="R21" s="15">
        <f>IF(BR19&gt;0,(BR21/BR19),"")</f>
        <v>0.18364197530864199</v>
      </c>
      <c r="S21" s="15">
        <f>IF(BU19&gt;0,(BU21/BU19),"")</f>
        <v>0.19859154929577466</v>
      </c>
      <c r="T21" s="15">
        <f>IF(BX19&gt;0,(BX21/BX19),"")</f>
        <v>0.20792079207920791</v>
      </c>
      <c r="U21" s="15">
        <f>IF(CA19&gt;0,(CA21/CA19),"")</f>
        <v>0.1791907514450867</v>
      </c>
      <c r="V21" s="15">
        <f t="shared" ref="V21" si="57">IF(CD19&gt;0,(CD21/CD19),"")</f>
        <v>0.20275344180225283</v>
      </c>
      <c r="W21" s="15">
        <f t="shared" ref="W21:W22" si="58">CG21/CG$19</f>
        <v>0.1643979057591623</v>
      </c>
      <c r="X21" s="15">
        <f>CJ21/CJ$19</f>
        <v>0.18324125230202579</v>
      </c>
      <c r="Y21" s="15">
        <f>CM21/CM$19</f>
        <v>0.20084388185654009</v>
      </c>
      <c r="Z21" s="15">
        <f>CP21/CP$19</f>
        <v>0.1889763779527559</v>
      </c>
      <c r="AA21" s="15">
        <f>CS21/CS$19</f>
        <v>0.20624546114742193</v>
      </c>
      <c r="AB21" s="50"/>
      <c r="AD21" s="3"/>
      <c r="AE21" s="3" t="s">
        <v>61</v>
      </c>
      <c r="AF21" s="39">
        <f>MU!AF21+UMKC!AF21+'S&amp;T'!AF21+UMSL!AF21</f>
        <v>36</v>
      </c>
      <c r="AG21" s="39">
        <f>MU!AG21+UMKC!AG21+'S&amp;T'!AG21+UMSL!AG21</f>
        <v>38</v>
      </c>
      <c r="AH21" s="41">
        <f t="shared" si="35"/>
        <v>74</v>
      </c>
      <c r="AI21" s="39">
        <f>MU!AI21+UMKC!AI21+'S&amp;T'!AI21+UMSL!AI21</f>
        <v>31</v>
      </c>
      <c r="AJ21" s="39">
        <f>MU!AJ21+UMKC!AJ21+'S&amp;T'!AJ21+UMSL!AJ21</f>
        <v>37</v>
      </c>
      <c r="AK21" s="41">
        <f t="shared" si="36"/>
        <v>68</v>
      </c>
      <c r="AL21" s="39">
        <f>MU!AL21+UMKC!AL21+'S&amp;T'!AL21+UMSL!AL21</f>
        <v>21</v>
      </c>
      <c r="AM21" s="39">
        <f>MU!AM21+UMKC!AM21+'S&amp;T'!AM21+UMSL!AM21</f>
        <v>30</v>
      </c>
      <c r="AN21" s="41">
        <f t="shared" si="37"/>
        <v>51</v>
      </c>
      <c r="AO21" s="39">
        <f>MU!AO21+UMKC!AO21+'S&amp;T'!AO21+UMSL!AO21</f>
        <v>40</v>
      </c>
      <c r="AP21" s="39">
        <f>MU!AP21+UMKC!AP21+'S&amp;T'!AP21+UMSL!AP21</f>
        <v>78</v>
      </c>
      <c r="AQ21" s="41">
        <f t="shared" si="38"/>
        <v>118</v>
      </c>
      <c r="AR21" s="39">
        <f>MU!AR21+UMKC!AR21+'S&amp;T'!AR21+UMSL!AR21</f>
        <v>55</v>
      </c>
      <c r="AS21" s="39">
        <f>MU!AS21+UMKC!AS21+'S&amp;T'!AS21+UMSL!AS21</f>
        <v>66</v>
      </c>
      <c r="AT21" s="41">
        <f t="shared" si="39"/>
        <v>121</v>
      </c>
      <c r="AU21" s="39">
        <f>MU!AU21+UMKC!AU21+'S&amp;T'!AU21+UMSL!AU21</f>
        <v>41</v>
      </c>
      <c r="AV21" s="39">
        <f>MU!AV21+UMKC!AV21+'S&amp;T'!AV21+UMSL!AV21</f>
        <v>74</v>
      </c>
      <c r="AW21" s="41">
        <f t="shared" si="40"/>
        <v>115</v>
      </c>
      <c r="AX21" s="39">
        <f>MU!AX21+UMKC!AX21+'S&amp;T'!AX21+UMSL!AX21</f>
        <v>39</v>
      </c>
      <c r="AY21" s="39">
        <f>MU!AY21+UMKC!AY21+'S&amp;T'!AY21+UMSL!AY21</f>
        <v>71</v>
      </c>
      <c r="AZ21" s="41">
        <f t="shared" si="41"/>
        <v>110</v>
      </c>
      <c r="BA21" s="39">
        <f>MU!BA21+UMKC!BA21+'S&amp;T'!BA21+UMSL!BA21</f>
        <v>44</v>
      </c>
      <c r="BB21" s="39">
        <f>MU!BB21+UMKC!BB21+'S&amp;T'!BB21+UMSL!BB21</f>
        <v>73</v>
      </c>
      <c r="BC21" s="41">
        <f t="shared" si="42"/>
        <v>117</v>
      </c>
      <c r="BD21" s="39">
        <f>MU!BD21+UMKC!BD21+'S&amp;T'!BD21+UMSL!BD21</f>
        <v>44</v>
      </c>
      <c r="BE21" s="39">
        <f>MU!BE21+UMKC!BE21+'S&amp;T'!BE21+UMSL!BE21</f>
        <v>71</v>
      </c>
      <c r="BF21" s="41">
        <f t="shared" si="43"/>
        <v>115</v>
      </c>
      <c r="BG21" s="39">
        <f>MU!BG21+UMKC!BG21+'S&amp;T'!BG21+UMSL!BG21</f>
        <v>43</v>
      </c>
      <c r="BH21" s="39">
        <f>MU!BH21+UMKC!BH21+'S&amp;T'!BH21+UMSL!BH21</f>
        <v>58</v>
      </c>
      <c r="BI21" s="41">
        <f t="shared" si="44"/>
        <v>101</v>
      </c>
      <c r="BJ21" s="39">
        <f>MU!BJ21+UMKC!BJ21+'S&amp;T'!BJ21+UMSL!BJ21</f>
        <v>43</v>
      </c>
      <c r="BK21" s="39">
        <f>MU!BK21+UMKC!BK21+'S&amp;T'!BK21+UMSL!BK21</f>
        <v>63</v>
      </c>
      <c r="BL21" s="41">
        <f t="shared" si="45"/>
        <v>106</v>
      </c>
      <c r="BM21" s="39">
        <f>MU!BM21+UMKC!BM21+'S&amp;T'!BM21+UMSL!BM21</f>
        <v>50</v>
      </c>
      <c r="BN21" s="39">
        <f>MU!BN21+UMKC!BN21+'S&amp;T'!BN21+UMSL!BN21</f>
        <v>70</v>
      </c>
      <c r="BO21" s="41">
        <f t="shared" si="46"/>
        <v>120</v>
      </c>
      <c r="BP21" s="39">
        <f>MU!BP21+UMKC!BP21+'S&amp;T'!BP21+UMSL!BP21</f>
        <v>55</v>
      </c>
      <c r="BQ21" s="39">
        <f>MU!BQ21+UMKC!BQ21+'S&amp;T'!BQ21+UMSL!BQ21</f>
        <v>64</v>
      </c>
      <c r="BR21" s="41">
        <f t="shared" si="47"/>
        <v>119</v>
      </c>
      <c r="BS21" s="39">
        <f>MU!BS21+UMKC!BS21+'S&amp;T'!BS21+UMSL!BS21</f>
        <v>63</v>
      </c>
      <c r="BT21" s="39">
        <f>MU!BT21+UMKC!BT21+'S&amp;T'!BT21+UMSL!BT21</f>
        <v>78</v>
      </c>
      <c r="BU21" s="41">
        <f t="shared" si="48"/>
        <v>141</v>
      </c>
      <c r="BV21" s="39">
        <f>MU!BV21+UMKC!BV21+'S&amp;T'!BV21+UMSL!BV21</f>
        <v>73</v>
      </c>
      <c r="BW21" s="39">
        <f>MU!BW21+UMKC!BW21+'S&amp;T'!BW21+UMSL!BW21</f>
        <v>95</v>
      </c>
      <c r="BX21" s="41">
        <f t="shared" si="49"/>
        <v>168</v>
      </c>
      <c r="BY21" s="39">
        <f>MU!BY21+UMKC!BY21+'S&amp;T'!BY21+UMSL!BY21</f>
        <v>62</v>
      </c>
      <c r="BZ21" s="39">
        <f>MU!BZ21+UMKC!BZ21+'S&amp;T'!BZ21+UMSL!BZ21</f>
        <v>93</v>
      </c>
      <c r="CA21" s="41">
        <f t="shared" si="50"/>
        <v>155</v>
      </c>
      <c r="CB21" s="39">
        <f>MU!CB21+UMKC!CB21+'S&amp;T'!CB21+UMSL!CB21</f>
        <v>77</v>
      </c>
      <c r="CC21" s="39">
        <f>MU!CC21+UMKC!CC21+'S&amp;T'!CC21+UMSL!CC21</f>
        <v>85</v>
      </c>
      <c r="CD21" s="41">
        <f t="shared" si="51"/>
        <v>162</v>
      </c>
      <c r="CE21" s="39">
        <f>MU!CE21+UMKC!CE21+'S&amp;T'!CE21+UMSL!CE21</f>
        <v>73</v>
      </c>
      <c r="CF21" s="39">
        <f>MU!CF21+UMKC!CF21+'S&amp;T'!CF21+UMSL!CF21</f>
        <v>84</v>
      </c>
      <c r="CG21" s="41">
        <f>CE21+CF21</f>
        <v>157</v>
      </c>
      <c r="CH21" s="39">
        <f>MU!CH21+UMKC!CH21+'S&amp;T'!CH21+UMSL!CH21</f>
        <v>86</v>
      </c>
      <c r="CI21" s="39">
        <f>MU!CI21+UMKC!CI21+'S&amp;T'!CI21+UMSL!CI21</f>
        <v>113</v>
      </c>
      <c r="CJ21" s="41">
        <f>CH21+CI21</f>
        <v>199</v>
      </c>
      <c r="CK21" s="39">
        <f>MU!CK21+UMKC!CK21+'S&amp;T'!CK21+UMSL!CK21</f>
        <v>115</v>
      </c>
      <c r="CL21" s="39">
        <f>MU!CL21+UMKC!CL21+'S&amp;T'!CL21+UMSL!CL21</f>
        <v>123</v>
      </c>
      <c r="CM21" s="41">
        <f>CK21+CL21</f>
        <v>238</v>
      </c>
      <c r="CN21" s="39">
        <f>MU!CN21+UMKC!CN21+'S&amp;T'!CN21+UMSL!CN21</f>
        <v>107</v>
      </c>
      <c r="CO21" s="39">
        <f>MU!CO21+UMKC!CO21+'S&amp;T'!CO21+UMSL!CO21</f>
        <v>133</v>
      </c>
      <c r="CP21" s="41">
        <f>CN21+CO21</f>
        <v>240</v>
      </c>
      <c r="CQ21" s="39">
        <f>MU!CQ21+UMKC!CQ21+'S&amp;T'!CQ21+UMSL!CQ21</f>
        <v>123</v>
      </c>
      <c r="CR21" s="39">
        <f>MU!CR21+UMKC!CR21+'S&amp;T'!CR21+UMSL!CR21</f>
        <v>161</v>
      </c>
      <c r="CS21" s="41">
        <f>CQ21+CR21</f>
        <v>284</v>
      </c>
    </row>
    <row r="22" spans="1:97" ht="13.5" customHeight="1" x14ac:dyDescent="0.2">
      <c r="A22" s="23"/>
      <c r="B22" s="3"/>
      <c r="D22" s="3"/>
      <c r="E22" s="3" t="s">
        <v>62</v>
      </c>
      <c r="F22" s="18">
        <f>IF(AH19&gt;0,(AH22/AH19),"")</f>
        <v>5.8974358974358973E-2</v>
      </c>
      <c r="G22" s="18">
        <f>IF(AK19&gt;0,(AK22/AK19),"")</f>
        <v>6.3829787234042548E-2</v>
      </c>
      <c r="H22" s="18">
        <f>IF(AN19&gt;0,(AN22/AN19),"")</f>
        <v>8.5324232081911269E-2</v>
      </c>
      <c r="I22" s="18">
        <f>IF(AQ19&gt;0,(AQ22/AQ19),"")</f>
        <v>6.3432835820895525E-2</v>
      </c>
      <c r="J22" s="18">
        <f>IF(AT19&gt;0,(AT22/AT19),"")</f>
        <v>8.4837545126353789E-2</v>
      </c>
      <c r="K22" s="18">
        <f>IF(AW19&gt;0,(AW22/AW19),"")</f>
        <v>8.4507042253521125E-2</v>
      </c>
      <c r="L22" s="18">
        <f>IF(AZ19&gt;0,(AZ22/AZ19),"")</f>
        <v>6.584362139917696E-2</v>
      </c>
      <c r="M22" s="18">
        <f>IF(BC19&gt;0,(BC22/BC19),"")</f>
        <v>5.9760956175298807E-2</v>
      </c>
      <c r="N22" s="18">
        <f>IF(BF19&gt;0,(BF22/BF19),"")</f>
        <v>5.3254437869822487E-2</v>
      </c>
      <c r="O22" s="18">
        <f>IF(BI19&gt;0,(BI22/BI19),"")</f>
        <v>7.0140280561122245E-2</v>
      </c>
      <c r="P22" s="18">
        <f>IF(BL19&gt;0,(BL22/BL19),"")</f>
        <v>6.8181818181818177E-2</v>
      </c>
      <c r="Q22" s="18">
        <f>IF(BO19&gt;0,(BO22/BO19),"")</f>
        <v>6.8965517241379309E-2</v>
      </c>
      <c r="R22" s="18">
        <f>IF(BR19&gt;0,(BR22/BR19),"")</f>
        <v>6.4814814814814811E-2</v>
      </c>
      <c r="S22" s="18">
        <f>IF(BU19&gt;0,(BU22/BU19),"")</f>
        <v>6.3380281690140844E-2</v>
      </c>
      <c r="T22" s="18">
        <f>IF(BX19&gt;0,(BX22/BX19),"")</f>
        <v>5.3217821782178217E-2</v>
      </c>
      <c r="U22" s="18">
        <f>IF(CA19&gt;0,(CA22/CA19),"")</f>
        <v>6.0115606936416183E-2</v>
      </c>
      <c r="V22" s="18">
        <f>IF(CD19&gt;0,(CD22/CD19),"")</f>
        <v>5.7571964956195244E-2</v>
      </c>
      <c r="W22" s="18">
        <f t="shared" si="58"/>
        <v>5.0261780104712044E-2</v>
      </c>
      <c r="X22" s="18">
        <f>CJ22/CJ$19</f>
        <v>4.9723756906077346E-2</v>
      </c>
      <c r="Y22" s="18">
        <f>CM22/CM$19</f>
        <v>5.9071729957805907E-2</v>
      </c>
      <c r="Z22" s="18">
        <f>CP22/CP$19</f>
        <v>4.6456692913385826E-2</v>
      </c>
      <c r="AA22" s="18">
        <f t="shared" ref="AA22:AA23" si="59">CS22/CS$19</f>
        <v>3.4132171387073348E-2</v>
      </c>
      <c r="AB22" s="50"/>
      <c r="AD22" s="3"/>
      <c r="AE22" s="3" t="s">
        <v>62</v>
      </c>
      <c r="AF22" s="39">
        <f>MU!AF22+UMKC!AF22+'S&amp;T'!AF22+UMSL!AF22</f>
        <v>7</v>
      </c>
      <c r="AG22" s="39">
        <f>MU!AG22+UMKC!AG22+'S&amp;T'!AG22+UMSL!AG22</f>
        <v>16</v>
      </c>
      <c r="AH22" s="41">
        <f t="shared" si="35"/>
        <v>23</v>
      </c>
      <c r="AI22" s="39">
        <f>MU!AI22+UMKC!AI22+'S&amp;T'!AI22+UMSL!AI22</f>
        <v>8</v>
      </c>
      <c r="AJ22" s="39">
        <f>MU!AJ22+UMKC!AJ22+'S&amp;T'!AJ22+UMSL!AJ22</f>
        <v>13</v>
      </c>
      <c r="AK22" s="41">
        <f t="shared" si="36"/>
        <v>21</v>
      </c>
      <c r="AL22" s="39">
        <f>MU!AL22+UMKC!AL22+'S&amp;T'!AL22+UMSL!AL22</f>
        <v>12</v>
      </c>
      <c r="AM22" s="39">
        <f>MU!AM22+UMKC!AM22+'S&amp;T'!AM22+UMSL!AM22</f>
        <v>13</v>
      </c>
      <c r="AN22" s="41">
        <f t="shared" si="37"/>
        <v>25</v>
      </c>
      <c r="AO22" s="39">
        <f>MU!AO22+UMKC!AO22+'S&amp;T'!AO22+UMSL!AO22</f>
        <v>16</v>
      </c>
      <c r="AP22" s="39">
        <f>MU!AP22+UMKC!AP22+'S&amp;T'!AP22+UMSL!AP22</f>
        <v>18</v>
      </c>
      <c r="AQ22" s="41">
        <f t="shared" si="38"/>
        <v>34</v>
      </c>
      <c r="AR22" s="39">
        <f>MU!AR22+UMKC!AR22+'S&amp;T'!AR22+UMSL!AR22</f>
        <v>17</v>
      </c>
      <c r="AS22" s="39">
        <f>MU!AS22+UMKC!AS22+'S&amp;T'!AS22+UMSL!AS22</f>
        <v>30</v>
      </c>
      <c r="AT22" s="41">
        <f t="shared" si="39"/>
        <v>47</v>
      </c>
      <c r="AU22" s="39">
        <f>MU!AU22+UMKC!AU22+'S&amp;T'!AU22+UMSL!AU22</f>
        <v>27</v>
      </c>
      <c r="AV22" s="39">
        <f>MU!AV22+UMKC!AV22+'S&amp;T'!AV22+UMSL!AV22</f>
        <v>21</v>
      </c>
      <c r="AW22" s="41">
        <f t="shared" si="40"/>
        <v>48</v>
      </c>
      <c r="AX22" s="39">
        <f>MU!AX22+UMKC!AX22+'S&amp;T'!AX22+UMSL!AX22</f>
        <v>16</v>
      </c>
      <c r="AY22" s="39">
        <f>MU!AY22+UMKC!AY22+'S&amp;T'!AY22+UMSL!AY22</f>
        <v>16</v>
      </c>
      <c r="AZ22" s="41">
        <f t="shared" si="41"/>
        <v>32</v>
      </c>
      <c r="BA22" s="39">
        <f>MU!BA22+UMKC!BA22+'S&amp;T'!BA22+UMSL!BA22</f>
        <v>17</v>
      </c>
      <c r="BB22" s="39">
        <f>MU!BB22+UMKC!BB22+'S&amp;T'!BB22+UMSL!BB22</f>
        <v>13</v>
      </c>
      <c r="BC22" s="41">
        <f t="shared" si="42"/>
        <v>30</v>
      </c>
      <c r="BD22" s="39">
        <f>MU!BD22+UMKC!BD22+'S&amp;T'!BD22+UMSL!BD22</f>
        <v>18</v>
      </c>
      <c r="BE22" s="39">
        <f>MU!BE22+UMKC!BE22+'S&amp;T'!BE22+UMSL!BE22</f>
        <v>9</v>
      </c>
      <c r="BF22" s="41">
        <f t="shared" si="43"/>
        <v>27</v>
      </c>
      <c r="BG22" s="39">
        <f>MU!BG22+UMKC!BG22+'S&amp;T'!BG22+UMSL!BG22</f>
        <v>18</v>
      </c>
      <c r="BH22" s="39">
        <f>MU!BH22+UMKC!BH22+'S&amp;T'!BH22+UMSL!BH22</f>
        <v>17</v>
      </c>
      <c r="BI22" s="41">
        <f t="shared" si="44"/>
        <v>35</v>
      </c>
      <c r="BJ22" s="39">
        <f>MU!BJ22+UMKC!BJ22+'S&amp;T'!BJ22+UMSL!BJ22</f>
        <v>23</v>
      </c>
      <c r="BK22" s="39">
        <f>MU!BK22+UMKC!BK22+'S&amp;T'!BK22+UMSL!BK22</f>
        <v>13</v>
      </c>
      <c r="BL22" s="41">
        <f t="shared" si="45"/>
        <v>36</v>
      </c>
      <c r="BM22" s="39">
        <f>MU!BM22+UMKC!BM22+'S&amp;T'!BM22+UMSL!BM22</f>
        <v>19</v>
      </c>
      <c r="BN22" s="39">
        <f>MU!BN22+UMKC!BN22+'S&amp;T'!BN22+UMSL!BN22</f>
        <v>23</v>
      </c>
      <c r="BO22" s="41">
        <f t="shared" si="46"/>
        <v>42</v>
      </c>
      <c r="BP22" s="39">
        <f>MU!BP22+UMKC!BP22+'S&amp;T'!BP22+UMSL!BP22</f>
        <v>22</v>
      </c>
      <c r="BQ22" s="39">
        <f>MU!BQ22+UMKC!BQ22+'S&amp;T'!BQ22+UMSL!BQ22</f>
        <v>20</v>
      </c>
      <c r="BR22" s="41">
        <f t="shared" si="47"/>
        <v>42</v>
      </c>
      <c r="BS22" s="39">
        <f>MU!BS22+UMKC!BS22+'S&amp;T'!BS22+UMSL!BS22</f>
        <v>21</v>
      </c>
      <c r="BT22" s="39">
        <f>MU!BT22+UMKC!BT22+'S&amp;T'!BT22+UMSL!BT22</f>
        <v>24</v>
      </c>
      <c r="BU22" s="41">
        <f>BS22+BT22</f>
        <v>45</v>
      </c>
      <c r="BV22" s="39">
        <f>MU!BV22+UMKC!BV22+'S&amp;T'!BV22+UMSL!BV22</f>
        <v>21</v>
      </c>
      <c r="BW22" s="39">
        <f>MU!BW22+UMKC!BW22+'S&amp;T'!BW22+UMSL!BW22</f>
        <v>22</v>
      </c>
      <c r="BX22" s="41">
        <f t="shared" si="49"/>
        <v>43</v>
      </c>
      <c r="BY22" s="39">
        <f>MU!BY22+UMKC!BY22+'S&amp;T'!BY22+UMSL!BY22</f>
        <v>25</v>
      </c>
      <c r="BZ22" s="39">
        <f>MU!BZ22+UMKC!BZ22+'S&amp;T'!BZ22+UMSL!BZ22</f>
        <v>27</v>
      </c>
      <c r="CA22" s="41">
        <f t="shared" si="50"/>
        <v>52</v>
      </c>
      <c r="CB22" s="39">
        <f>MU!CB22+UMKC!CB22+'S&amp;T'!CB22+UMSL!CB22</f>
        <v>24</v>
      </c>
      <c r="CC22" s="39">
        <f>MU!CC22+UMKC!CC22+'S&amp;T'!CC22+UMSL!CC22</f>
        <v>22</v>
      </c>
      <c r="CD22" s="41">
        <f t="shared" si="51"/>
        <v>46</v>
      </c>
      <c r="CE22" s="39">
        <f>MU!CE22+UMKC!CE22+'S&amp;T'!CE22+UMSL!CE22</f>
        <v>23</v>
      </c>
      <c r="CF22" s="39">
        <f>MU!CF22+UMKC!CF22+'S&amp;T'!CF22+UMSL!CF22</f>
        <v>25</v>
      </c>
      <c r="CG22" s="41">
        <f>CE22+CF22</f>
        <v>48</v>
      </c>
      <c r="CH22" s="39">
        <f>MU!CH22+UMKC!CH22+'S&amp;T'!CH22+UMSL!CH22</f>
        <v>28</v>
      </c>
      <c r="CI22" s="39">
        <f>MU!CI22+UMKC!CI22+'S&amp;T'!CI22+UMSL!CI22</f>
        <v>26</v>
      </c>
      <c r="CJ22" s="41">
        <f>CH22+CI22</f>
        <v>54</v>
      </c>
      <c r="CK22" s="39">
        <f>MU!CK22+UMKC!CK22+'S&amp;T'!CK22+UMSL!CK22</f>
        <v>34</v>
      </c>
      <c r="CL22" s="39">
        <f>MU!CL22+UMKC!CL22+'S&amp;T'!CL22+UMSL!CL22</f>
        <v>36</v>
      </c>
      <c r="CM22" s="41">
        <f>CK22+CL22</f>
        <v>70</v>
      </c>
      <c r="CN22" s="39">
        <f>MU!CN22+UMKC!CN22+'S&amp;T'!CN22+UMSL!CN22</f>
        <v>25</v>
      </c>
      <c r="CO22" s="39">
        <f>MU!CO22+UMKC!CO22+'S&amp;T'!CO22+UMSL!CO22</f>
        <v>34</v>
      </c>
      <c r="CP22" s="41">
        <f>CN22+CO22</f>
        <v>59</v>
      </c>
      <c r="CQ22" s="39">
        <f>MU!CQ22+UMKC!CQ22+'S&amp;T'!CQ22+UMSL!CQ22</f>
        <v>28</v>
      </c>
      <c r="CR22" s="39">
        <f>MU!CR22+UMKC!CR22+'S&amp;T'!CR22+UMSL!CR22</f>
        <v>19</v>
      </c>
      <c r="CS22" s="41">
        <f>CQ22+CR22</f>
        <v>47</v>
      </c>
    </row>
    <row r="23" spans="1:97" ht="13.5" customHeight="1" x14ac:dyDescent="0.2">
      <c r="A23" s="23"/>
      <c r="B23" s="3"/>
      <c r="D23" s="3"/>
      <c r="E23" s="3"/>
      <c r="F23" s="15">
        <f>IF(AH19&gt;0,(AH23/AH19),"")</f>
        <v>0.34102564102564104</v>
      </c>
      <c r="G23" s="15">
        <f>IF(AK19&gt;0,(AK23/AK19),"")</f>
        <v>0.38905775075987842</v>
      </c>
      <c r="H23" s="15">
        <f>IF(AN19&gt;0,(AN23/AN19),"")</f>
        <v>0.38225255972696248</v>
      </c>
      <c r="I23" s="15">
        <f>IF(AQ19&gt;0,(AQ23/AQ19),"")</f>
        <v>0.41977611940298509</v>
      </c>
      <c r="J23" s="15">
        <f>IF(AT19&gt;0,(AT23/AT19),"")</f>
        <v>0.45487364620938631</v>
      </c>
      <c r="K23" s="15">
        <f>IF(AW19&gt;0,(AW23/AW19),"")</f>
        <v>0.45246478873239437</v>
      </c>
      <c r="L23" s="15">
        <f>IF(AZ19&gt;0,(AZ23/AZ19),"")</f>
        <v>0.5</v>
      </c>
      <c r="M23" s="15">
        <f>IF(BC19&gt;0,(BC23/BC19),"")</f>
        <v>0.53585657370517925</v>
      </c>
      <c r="N23" s="15">
        <f>IF(BF19&gt;0,(BF23/BF19),"")</f>
        <v>0.50098619329388561</v>
      </c>
      <c r="O23" s="15">
        <f>IF(BI19&gt;0,(BI23/BI19),"")</f>
        <v>0.51102204408817631</v>
      </c>
      <c r="P23" s="15">
        <f>IF(BL19&gt;0,(BL23/BL19),"")</f>
        <v>0.45833333333333331</v>
      </c>
      <c r="Q23" s="15">
        <f>IF(BO19&gt;0,(BO23/BO19),"")</f>
        <v>0.49261083743842365</v>
      </c>
      <c r="R23" s="15">
        <f>IF(BR19&gt;0,(BR23/BR19),"")</f>
        <v>0.49228395061728397</v>
      </c>
      <c r="S23" s="15">
        <f>IF(BU19&gt;0,(BU23/BU19),"")</f>
        <v>0.4859154929577465</v>
      </c>
      <c r="T23" s="15">
        <f>IF(BX19&gt;0,(BX23/BX19),"")</f>
        <v>0.48514851485148514</v>
      </c>
      <c r="U23" s="15">
        <f>IF(CA19&gt;0,(CA23/CA19),"")</f>
        <v>0.49248554913294795</v>
      </c>
      <c r="V23" s="15">
        <f t="shared" ref="V23" si="60">IF(CD19&gt;0,(CD23/CD19),"")</f>
        <v>0.50813516896120148</v>
      </c>
      <c r="W23" s="15">
        <f>CG23/CG$19</f>
        <v>0.48062827225130889</v>
      </c>
      <c r="X23" s="15">
        <f>CJ23/CJ$19</f>
        <v>0.47329650092081033</v>
      </c>
      <c r="Y23" s="15">
        <f>CM23/CM$19</f>
        <v>0.5037974683544304</v>
      </c>
      <c r="Z23" s="15">
        <f>CP23/CP$19</f>
        <v>0.48976377952755906</v>
      </c>
      <c r="AA23" s="15">
        <f t="shared" si="59"/>
        <v>0.49818445896877267</v>
      </c>
      <c r="AB23" s="51"/>
      <c r="AD23" s="3"/>
      <c r="AE23" s="35" t="s">
        <v>88</v>
      </c>
      <c r="AF23" s="41">
        <f>SUM(AF20:AF22)</f>
        <v>57</v>
      </c>
      <c r="AG23" s="41">
        <f t="shared" ref="AG23:CC23" si="61">SUM(AG20:AG22)</f>
        <v>76</v>
      </c>
      <c r="AH23" s="41">
        <f t="shared" si="61"/>
        <v>133</v>
      </c>
      <c r="AI23" s="41">
        <f t="shared" si="61"/>
        <v>49</v>
      </c>
      <c r="AJ23" s="41">
        <f t="shared" si="61"/>
        <v>79</v>
      </c>
      <c r="AK23" s="41">
        <f t="shared" si="61"/>
        <v>128</v>
      </c>
      <c r="AL23" s="41">
        <f t="shared" si="61"/>
        <v>40</v>
      </c>
      <c r="AM23" s="41">
        <f t="shared" si="61"/>
        <v>72</v>
      </c>
      <c r="AN23" s="41">
        <f t="shared" si="61"/>
        <v>112</v>
      </c>
      <c r="AO23" s="41">
        <f t="shared" si="61"/>
        <v>69</v>
      </c>
      <c r="AP23" s="41">
        <f t="shared" si="61"/>
        <v>156</v>
      </c>
      <c r="AQ23" s="41">
        <f t="shared" si="61"/>
        <v>225</v>
      </c>
      <c r="AR23" s="41">
        <f t="shared" si="61"/>
        <v>96</v>
      </c>
      <c r="AS23" s="41">
        <f t="shared" si="61"/>
        <v>156</v>
      </c>
      <c r="AT23" s="41">
        <f t="shared" si="61"/>
        <v>252</v>
      </c>
      <c r="AU23" s="41">
        <f t="shared" si="61"/>
        <v>86</v>
      </c>
      <c r="AV23" s="41">
        <f t="shared" si="61"/>
        <v>171</v>
      </c>
      <c r="AW23" s="41">
        <f t="shared" si="61"/>
        <v>257</v>
      </c>
      <c r="AX23" s="41">
        <f t="shared" si="61"/>
        <v>80</v>
      </c>
      <c r="AY23" s="41">
        <f t="shared" si="61"/>
        <v>163</v>
      </c>
      <c r="AZ23" s="41">
        <f t="shared" si="61"/>
        <v>243</v>
      </c>
      <c r="BA23" s="41">
        <f t="shared" si="61"/>
        <v>92</v>
      </c>
      <c r="BB23" s="41">
        <f t="shared" si="61"/>
        <v>177</v>
      </c>
      <c r="BC23" s="41">
        <f t="shared" si="61"/>
        <v>269</v>
      </c>
      <c r="BD23" s="41">
        <f t="shared" si="61"/>
        <v>91</v>
      </c>
      <c r="BE23" s="41">
        <f t="shared" si="61"/>
        <v>163</v>
      </c>
      <c r="BF23" s="41">
        <f t="shared" si="61"/>
        <v>254</v>
      </c>
      <c r="BG23" s="41">
        <f t="shared" si="61"/>
        <v>94</v>
      </c>
      <c r="BH23" s="41">
        <f t="shared" si="61"/>
        <v>161</v>
      </c>
      <c r="BI23" s="41">
        <f t="shared" si="61"/>
        <v>255</v>
      </c>
      <c r="BJ23" s="41">
        <f t="shared" si="61"/>
        <v>90</v>
      </c>
      <c r="BK23" s="41">
        <f t="shared" si="61"/>
        <v>152</v>
      </c>
      <c r="BL23" s="41">
        <f t="shared" si="61"/>
        <v>242</v>
      </c>
      <c r="BM23" s="41">
        <f t="shared" si="61"/>
        <v>102</v>
      </c>
      <c r="BN23" s="41">
        <f t="shared" si="61"/>
        <v>198</v>
      </c>
      <c r="BO23" s="41">
        <f t="shared" si="61"/>
        <v>300</v>
      </c>
      <c r="BP23" s="41">
        <f t="shared" si="61"/>
        <v>125</v>
      </c>
      <c r="BQ23" s="41">
        <f t="shared" si="61"/>
        <v>194</v>
      </c>
      <c r="BR23" s="41">
        <f t="shared" si="61"/>
        <v>319</v>
      </c>
      <c r="BS23" s="41">
        <f t="shared" si="61"/>
        <v>128</v>
      </c>
      <c r="BT23" s="41">
        <f t="shared" si="61"/>
        <v>217</v>
      </c>
      <c r="BU23" s="41">
        <f t="shared" si="61"/>
        <v>345</v>
      </c>
      <c r="BV23" s="41">
        <f t="shared" si="61"/>
        <v>142</v>
      </c>
      <c r="BW23" s="41">
        <f t="shared" si="61"/>
        <v>250</v>
      </c>
      <c r="BX23" s="41">
        <f t="shared" si="61"/>
        <v>392</v>
      </c>
      <c r="BY23" s="41">
        <f t="shared" si="61"/>
        <v>153</v>
      </c>
      <c r="BZ23" s="41">
        <f t="shared" si="61"/>
        <v>273</v>
      </c>
      <c r="CA23" s="41">
        <f t="shared" si="61"/>
        <v>426</v>
      </c>
      <c r="CB23" s="41">
        <f t="shared" si="61"/>
        <v>158</v>
      </c>
      <c r="CC23" s="41">
        <f t="shared" si="61"/>
        <v>248</v>
      </c>
      <c r="CD23" s="41">
        <f>SUM(CD20:CD22)</f>
        <v>406</v>
      </c>
      <c r="CE23" s="41">
        <f t="shared" ref="CE23" si="62">SUM(CE20:CE22)</f>
        <v>175</v>
      </c>
      <c r="CF23" s="41">
        <f>SUM(CF20:CF22)</f>
        <v>284</v>
      </c>
      <c r="CG23" s="41">
        <f t="shared" ref="CG23:CH23" si="63">SUM(CG20:CG22)</f>
        <v>459</v>
      </c>
      <c r="CH23" s="41">
        <f t="shared" si="63"/>
        <v>192</v>
      </c>
      <c r="CI23" s="41">
        <f>SUM(CI20:CI22)</f>
        <v>322</v>
      </c>
      <c r="CJ23" s="41">
        <f t="shared" ref="CJ23:CK23" si="64">SUM(CJ20:CJ22)</f>
        <v>514</v>
      </c>
      <c r="CK23" s="41">
        <f t="shared" si="64"/>
        <v>247</v>
      </c>
      <c r="CL23" s="41">
        <f>SUM(CL20:CL22)</f>
        <v>350</v>
      </c>
      <c r="CM23" s="41">
        <f t="shared" ref="CM23:CN23" si="65">SUM(CM20:CM22)</f>
        <v>597</v>
      </c>
      <c r="CN23" s="41">
        <f t="shared" si="65"/>
        <v>218</v>
      </c>
      <c r="CO23" s="41">
        <f>SUM(CO20:CO22)</f>
        <v>404</v>
      </c>
      <c r="CP23" s="41">
        <f t="shared" ref="CP23:CQ23" si="66">SUM(CP20:CP22)</f>
        <v>622</v>
      </c>
      <c r="CQ23" s="41">
        <f t="shared" si="66"/>
        <v>248</v>
      </c>
      <c r="CR23" s="41">
        <f>SUM(CR20:CR22)</f>
        <v>438</v>
      </c>
      <c r="CS23" s="41">
        <f t="shared" ref="CS23" si="67">SUM(CS20:CS22)</f>
        <v>686</v>
      </c>
    </row>
    <row r="24" spans="1:97" ht="13.5" customHeight="1" x14ac:dyDescent="0.2">
      <c r="A24" s="23"/>
      <c r="B24" s="3"/>
      <c r="C24" s="4" t="s">
        <v>25</v>
      </c>
      <c r="D24" s="3"/>
      <c r="E24" s="3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4"/>
      <c r="X24" s="14"/>
      <c r="Y24" s="14"/>
      <c r="Z24" s="14"/>
      <c r="AA24" s="14"/>
      <c r="AB24" s="50"/>
      <c r="AD24" s="3"/>
      <c r="AE24" s="4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</row>
    <row r="25" spans="1:97" ht="13.5" customHeight="1" x14ac:dyDescent="0.2">
      <c r="A25" s="23"/>
      <c r="B25" s="3"/>
      <c r="D25" s="3" t="s">
        <v>65</v>
      </c>
      <c r="E25" s="3"/>
      <c r="F25" s="11">
        <f>AF13</f>
        <v>2641</v>
      </c>
      <c r="G25" s="11">
        <f>AI13</f>
        <v>2412</v>
      </c>
      <c r="H25" s="11">
        <f>AL13</f>
        <v>2459</v>
      </c>
      <c r="I25" s="11">
        <f>AO13</f>
        <v>2637</v>
      </c>
      <c r="J25" s="11">
        <f>AR13</f>
        <v>2784</v>
      </c>
      <c r="K25" s="11">
        <f>AU13</f>
        <v>2787</v>
      </c>
      <c r="L25" s="11">
        <f>AX13</f>
        <v>2586</v>
      </c>
      <c r="M25" s="11">
        <f>BA13</f>
        <v>2816</v>
      </c>
      <c r="N25" s="11">
        <f>BD13</f>
        <v>2824</v>
      </c>
      <c r="O25" s="11">
        <f>BG13</f>
        <v>2969</v>
      </c>
      <c r="P25" s="11">
        <f>BJ13</f>
        <v>2998</v>
      </c>
      <c r="Q25" s="11">
        <f>BM13</f>
        <v>3215</v>
      </c>
      <c r="R25" s="11">
        <f>BP13</f>
        <v>3338</v>
      </c>
      <c r="S25" s="11">
        <f>BS13</f>
        <v>3377</v>
      </c>
      <c r="T25" s="11">
        <f>BV13</f>
        <v>3500</v>
      </c>
      <c r="U25" s="11">
        <f>BY13</f>
        <v>3520</v>
      </c>
      <c r="V25" s="11">
        <f>CB13</f>
        <v>3565</v>
      </c>
      <c r="W25" s="11">
        <f>CE13</f>
        <v>4044</v>
      </c>
      <c r="X25" s="11">
        <f>CH13</f>
        <v>3941</v>
      </c>
      <c r="Y25" s="11">
        <f>CK13</f>
        <v>4342</v>
      </c>
      <c r="Z25" s="11">
        <f>CN13</f>
        <v>4264</v>
      </c>
      <c r="AA25" s="11">
        <f>CQ13</f>
        <v>4520</v>
      </c>
      <c r="AB25" s="50"/>
      <c r="AD25" s="3"/>
      <c r="AE25" s="4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</row>
    <row r="26" spans="1:97" ht="13.5" customHeight="1" x14ac:dyDescent="0.2">
      <c r="A26" s="23"/>
      <c r="B26" s="3"/>
      <c r="D26" s="15" t="s">
        <v>59</v>
      </c>
      <c r="E26" s="3" t="s">
        <v>60</v>
      </c>
      <c r="F26" s="15">
        <f>IF(AF13&gt;0,(AF14/AF13),"")</f>
        <v>0.17076864823930329</v>
      </c>
      <c r="G26" s="15">
        <f>IF(AI13&gt;0,(AI14/AI13),"")</f>
        <v>0.1558872305140962</v>
      </c>
      <c r="H26" s="15">
        <f>IF(AL13&gt;0,(AL14/AL13),"")</f>
        <v>0.16795445302968687</v>
      </c>
      <c r="I26" s="15">
        <f>IF(AO13&gt;0,(AO14/AO13),"")</f>
        <v>0.17595752749336366</v>
      </c>
      <c r="J26" s="15">
        <f>IF(AR13&gt;0,(AR14/AR13),"")</f>
        <v>0.19827586206896552</v>
      </c>
      <c r="K26" s="15">
        <f>IF(AU13&gt;0,(AU14/AU13),"")</f>
        <v>0.21205597416576966</v>
      </c>
      <c r="L26" s="15">
        <f>IF(AX13&gt;0,(AX14/AX13),"")</f>
        <v>0.22273781902552203</v>
      </c>
      <c r="M26" s="15">
        <f>IF(BA13&gt;0,(BA14/BA13),"")</f>
        <v>0.23650568181818182</v>
      </c>
      <c r="N26" s="15">
        <f>IF(BD13&gt;0,(BD14/BD13),"")</f>
        <v>0.24433427762039661</v>
      </c>
      <c r="O26" s="15">
        <f>IF(BG13&gt;0,(BG14/BG13),"")</f>
        <v>0.26507241495453016</v>
      </c>
      <c r="P26" s="15">
        <f>IF(BJ13&gt;0,(BJ14/BJ13),"")</f>
        <v>0.27118078719146099</v>
      </c>
      <c r="Q26" s="15">
        <f>IF(BM13&gt;0,(BM14/BM13),"")</f>
        <v>0.27744945567651635</v>
      </c>
      <c r="R26" s="15">
        <f>IF(BP13&gt;0,(BP14/BP13),"")</f>
        <v>0.28819652486518876</v>
      </c>
      <c r="S26" s="15">
        <f>IF(BS13&gt;0,(BS14/BS13),"")</f>
        <v>0.29760142137992301</v>
      </c>
      <c r="T26" s="15">
        <f>IF(BV13&gt;0,(BV14/BV13),"")</f>
        <v>0.30714285714285716</v>
      </c>
      <c r="U26" s="15">
        <f>IF(BY13&gt;0,(BY14/BY13),"")</f>
        <v>0.32386363636363635</v>
      </c>
      <c r="V26" s="15">
        <f>IF(CB13&gt;0,(CB14/CB13),"")</f>
        <v>0.30715287517531559</v>
      </c>
      <c r="W26" s="15">
        <f>CE14/CE$13</f>
        <v>0.31948565776458954</v>
      </c>
      <c r="X26" s="15">
        <f>CH14/CH$13</f>
        <v>0.30043136259832531</v>
      </c>
      <c r="Y26" s="15">
        <f>CK14/CK$13</f>
        <v>0.29364348226623677</v>
      </c>
      <c r="Z26" s="15">
        <f>CN14/CN$13</f>
        <v>0.30229831144465291</v>
      </c>
      <c r="AA26" s="15">
        <f>CQ14/CQ$13</f>
        <v>0.3086283185840708</v>
      </c>
      <c r="AB26" s="50"/>
      <c r="AD26" s="3"/>
      <c r="AE26" s="4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</row>
    <row r="27" spans="1:97" ht="13.5" customHeight="1" x14ac:dyDescent="0.2">
      <c r="A27" s="23"/>
      <c r="B27" s="3"/>
      <c r="D27" s="3"/>
      <c r="E27" s="3" t="s">
        <v>61</v>
      </c>
      <c r="F27" s="15">
        <f>IF(AF13&gt;0,(AF15/AF13),"")</f>
        <v>0.2464975388110564</v>
      </c>
      <c r="G27" s="15">
        <f>IF(AI13&gt;0,(AI15/AI13),"")</f>
        <v>0.26533996683250416</v>
      </c>
      <c r="H27" s="15">
        <f>IF(AL13&gt;0,(AL15/AL13),"")</f>
        <v>0.24847498983326555</v>
      </c>
      <c r="I27" s="15">
        <f>IF(AO13&gt;0,(AO15/AO13),"")</f>
        <v>0.25369738339021614</v>
      </c>
      <c r="J27" s="15">
        <f>IF(AR13&gt;0,(AR15/AR13),"")</f>
        <v>0.27981321839080459</v>
      </c>
      <c r="K27" s="15">
        <f>IF(AU13&gt;0,(AU15/AU13),"")</f>
        <v>0.25331898098313599</v>
      </c>
      <c r="L27" s="15">
        <f>IF(AX13&gt;0,(AX15/AX13),"")</f>
        <v>0.26991492652745552</v>
      </c>
      <c r="M27" s="15">
        <f>IF(BA13&gt;0,(BA15/BA13),"")</f>
        <v>0.28586647727272729</v>
      </c>
      <c r="N27" s="15">
        <f>IF(BD13&gt;0,(BD15/BD13),"")</f>
        <v>0.27655807365439095</v>
      </c>
      <c r="O27" s="15">
        <f>IF(BG13&gt;0,(BG15/BG13),"")</f>
        <v>0.27719770966655438</v>
      </c>
      <c r="P27" s="15">
        <f>IF(BJ13&gt;0,(BJ15/BJ13),"")</f>
        <v>0.25650433622414942</v>
      </c>
      <c r="Q27" s="15">
        <f>IF(BM13&gt;0,(BM15/BM13),"")</f>
        <v>0.26283048211508553</v>
      </c>
      <c r="R27" s="15">
        <f>IF(BP13&gt;0,(BP15/BP13),"")</f>
        <v>0.25344517675254641</v>
      </c>
      <c r="S27" s="15">
        <f>IF(BS13&gt;0,(BS15/BS13),"")</f>
        <v>0.26206692330470832</v>
      </c>
      <c r="T27" s="15">
        <f>IF(BV13&gt;0,(BV15/BV13),"")</f>
        <v>0.26628571428571429</v>
      </c>
      <c r="U27" s="15">
        <f>IF(BY13&gt;0,(BY15/BY13),"")</f>
        <v>0.25198863636363639</v>
      </c>
      <c r="V27" s="15">
        <f>IF(CB13&gt;0,(CB15/CB13),"")</f>
        <v>0.26339410939691443</v>
      </c>
      <c r="W27" s="15">
        <f t="shared" ref="W27:W28" si="68">CE15/CE$13</f>
        <v>0.25173095944609297</v>
      </c>
      <c r="X27" s="15">
        <f>CH15/CH$13</f>
        <v>0.2499365643237757</v>
      </c>
      <c r="Y27" s="15">
        <f>CK15/CK$13</f>
        <v>0.25771533855366191</v>
      </c>
      <c r="Z27" s="15">
        <f>CN15/CN$13</f>
        <v>0.26008442776735458</v>
      </c>
      <c r="AA27" s="15">
        <f t="shared" ref="AA27:AA29" si="69">CQ15/CQ$13</f>
        <v>0.26084070796460179</v>
      </c>
      <c r="AB27" s="50"/>
      <c r="AD27" s="3"/>
      <c r="AE27" s="4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</row>
    <row r="28" spans="1:97" ht="13.5" customHeight="1" x14ac:dyDescent="0.2">
      <c r="A28" s="23"/>
      <c r="B28" s="3"/>
      <c r="D28" s="3"/>
      <c r="E28" s="3" t="s">
        <v>62</v>
      </c>
      <c r="F28" s="18">
        <f>IF(AF13&gt;0,(AF16/AF13),"")</f>
        <v>8.2923135176069668E-2</v>
      </c>
      <c r="G28" s="18">
        <f>IF(AI13&gt;0,(AI16/AI13),"")</f>
        <v>8.7064676616915429E-2</v>
      </c>
      <c r="H28" s="18">
        <f>IF(AL13&gt;0,(AL16/AL13),"")</f>
        <v>9.0280601870679142E-2</v>
      </c>
      <c r="I28" s="18">
        <f>IF(AO13&gt;0,(AO16/AO13),"")</f>
        <v>7.356844899507016E-2</v>
      </c>
      <c r="J28" s="18">
        <f>IF(AR13&gt;0,(AR16/AR13),"")</f>
        <v>8.0459770114942528E-2</v>
      </c>
      <c r="K28" s="18">
        <f>IF(AU13&gt;0,(AU16/AU13),"")</f>
        <v>8.7908144958737E-2</v>
      </c>
      <c r="L28" s="18">
        <f>IF(AX13&gt;0,(AX16/AX13),"")</f>
        <v>6.689868522815158E-2</v>
      </c>
      <c r="M28" s="18">
        <f>IF(BA13&gt;0,(BA16/BA13),"")</f>
        <v>6.8892045454545456E-2</v>
      </c>
      <c r="N28" s="18">
        <f>IF(BD13&gt;0,(BD16/BD13),"")</f>
        <v>6.4447592067988668E-2</v>
      </c>
      <c r="O28" s="18">
        <f>IF(BG13&gt;0,(BG16/BG13),"")</f>
        <v>6.8036375884136066E-2</v>
      </c>
      <c r="P28" s="18">
        <f>IF(BJ13&gt;0,(BJ16/BJ13),"")</f>
        <v>6.5043362241494332E-2</v>
      </c>
      <c r="Q28" s="18">
        <f>IF(BM13&gt;0,(BM16/BM13),"")</f>
        <v>5.9720062208398136E-2</v>
      </c>
      <c r="R28" s="18">
        <f>IF(BP13&gt;0,(BP16/BP13),"")</f>
        <v>5.7819053325344517E-2</v>
      </c>
      <c r="S28" s="18">
        <f>IF(BS13&gt;0,(BS16/BS13),"")</f>
        <v>6.1297009179745336E-2</v>
      </c>
      <c r="T28" s="18">
        <f>IF(BV13&gt;0,(BV16/BV13),"")</f>
        <v>5.1714285714285713E-2</v>
      </c>
      <c r="U28" s="18">
        <f>IF(BY13&gt;0,(BY16/BY13),"")</f>
        <v>4.7443181818181815E-2</v>
      </c>
      <c r="V28" s="18">
        <f>IF(CB13&gt;0,(CB16/CB13),"")</f>
        <v>5.3295932678821878E-2</v>
      </c>
      <c r="W28" s="18">
        <f t="shared" si="68"/>
        <v>5.2176063303659745E-2</v>
      </c>
      <c r="X28" s="18">
        <f>CH16/CH$13</f>
        <v>5.836082212636387E-2</v>
      </c>
      <c r="Y28" s="18">
        <f>CK16/CK$13</f>
        <v>6.632888070013819E-2</v>
      </c>
      <c r="Z28" s="18">
        <f>CN16/CN$13</f>
        <v>5.6988742964352718E-2</v>
      </c>
      <c r="AA28" s="18">
        <f t="shared" si="69"/>
        <v>4.8230088495575224E-2</v>
      </c>
      <c r="AB28" s="50"/>
      <c r="AD28" s="3"/>
      <c r="AE28" s="4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</row>
    <row r="29" spans="1:97" ht="13.5" customHeight="1" x14ac:dyDescent="0.2">
      <c r="A29" s="23"/>
      <c r="B29" s="3"/>
      <c r="D29" s="3"/>
      <c r="E29" s="3"/>
      <c r="F29" s="15">
        <f>IF(AF13&gt;0,(AF17/AF13),"")</f>
        <v>0.50018932222642942</v>
      </c>
      <c r="G29" s="15">
        <f>IF(AI13&gt;0,(AI17/AI13),"")</f>
        <v>0.50829187396351572</v>
      </c>
      <c r="H29" s="15">
        <f>IF(AL13&gt;0,(AL17/AL13),"")</f>
        <v>0.50671004473363157</v>
      </c>
      <c r="I29" s="15">
        <f>IF(AO13&gt;0,(AO17/AO13),"")</f>
        <v>0.50322335987864997</v>
      </c>
      <c r="J29" s="15">
        <f>IF(AR13&gt;0,(AR17/AR13),"")</f>
        <v>0.5585488505747126</v>
      </c>
      <c r="K29" s="15">
        <f>IF(AU13&gt;0,(AU17/AU13),"")</f>
        <v>0.55328310010764259</v>
      </c>
      <c r="L29" s="15">
        <f>IF(AX13&gt;0,(AX17/AX13),"")</f>
        <v>0.55955143078112912</v>
      </c>
      <c r="M29" s="15">
        <f>IF(BA13&gt;0,(BA17/BA13),"")</f>
        <v>0.59126420454545459</v>
      </c>
      <c r="N29" s="15">
        <f>IF(BD13&gt;0,(BD17/BD13),"")</f>
        <v>0.58533994334277617</v>
      </c>
      <c r="O29" s="15">
        <f>IF(BG13&gt;0,(BG17/BG13),"")</f>
        <v>0.61030650050522062</v>
      </c>
      <c r="P29" s="15">
        <f>IF(BJ13&gt;0,(BJ17/BJ13),"")</f>
        <v>0.59272848565710479</v>
      </c>
      <c r="Q29" s="15">
        <f>IF(BM13&gt;0,(BM17/BM13),"")</f>
        <v>0.6</v>
      </c>
      <c r="R29" s="15">
        <f>IF(BP13&gt;0,(BP17/BP13),"")</f>
        <v>0.59946075494307971</v>
      </c>
      <c r="S29" s="15">
        <f>IF(BS13&gt;0,(BS17/BS13),"")</f>
        <v>0.62096535386437668</v>
      </c>
      <c r="T29" s="15">
        <f>IF(BV13&gt;0,(BV17/BV13),"")</f>
        <v>0.62514285714285711</v>
      </c>
      <c r="U29" s="15">
        <f>IF(BY13&gt;0,(BY17/BY13),"")</f>
        <v>0.62329545454545454</v>
      </c>
      <c r="V29" s="15">
        <f>IF(CB13&gt;0,(CB17/CB13),"")</f>
        <v>0.6238429172510519</v>
      </c>
      <c r="W29" s="15">
        <f>CE17/CE$13</f>
        <v>0.62339268051434227</v>
      </c>
      <c r="X29" s="15">
        <f>CH17/CH$13</f>
        <v>0.60872874904846486</v>
      </c>
      <c r="Y29" s="15">
        <f>CK17/CK$13</f>
        <v>0.61768770152003682</v>
      </c>
      <c r="Z29" s="15">
        <f>CN17/CN$13</f>
        <v>0.61937148217636018</v>
      </c>
      <c r="AA29" s="15">
        <f t="shared" si="69"/>
        <v>0.61769911504424779</v>
      </c>
      <c r="AB29" s="50"/>
      <c r="AD29" s="3"/>
      <c r="AE29" s="4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</row>
    <row r="30" spans="1:97" ht="13.5" customHeight="1" x14ac:dyDescent="0.2">
      <c r="A30" s="23"/>
      <c r="B30" s="3"/>
      <c r="C30" s="4" t="s">
        <v>26</v>
      </c>
      <c r="D30" s="3"/>
      <c r="E30" s="3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4"/>
      <c r="X30" s="14"/>
      <c r="Y30" s="14"/>
      <c r="Z30" s="14"/>
      <c r="AA30" s="14"/>
      <c r="AB30" s="50"/>
      <c r="AD30" s="3"/>
      <c r="AE30" s="4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</row>
    <row r="31" spans="1:97" ht="13.5" customHeight="1" x14ac:dyDescent="0.2">
      <c r="A31" s="23"/>
      <c r="B31" s="3"/>
      <c r="D31" s="3" t="s">
        <v>65</v>
      </c>
      <c r="E31" s="3"/>
      <c r="F31" s="11">
        <f>AG13</f>
        <v>2566</v>
      </c>
      <c r="G31" s="11">
        <f>AJ13</f>
        <v>2253</v>
      </c>
      <c r="H31" s="11">
        <f>AM13</f>
        <v>2198</v>
      </c>
      <c r="I31" s="11">
        <f>AP13</f>
        <v>2767</v>
      </c>
      <c r="J31" s="11">
        <f>AS13</f>
        <v>2922</v>
      </c>
      <c r="K31" s="11">
        <f>AV13</f>
        <v>2875</v>
      </c>
      <c r="L31" s="11">
        <f>AY13</f>
        <v>2667</v>
      </c>
      <c r="M31" s="11">
        <f>BB13</f>
        <v>2839</v>
      </c>
      <c r="N31" s="11">
        <f>BE13</f>
        <v>2911</v>
      </c>
      <c r="O31" s="11">
        <f>BH13</f>
        <v>3065</v>
      </c>
      <c r="P31" s="11">
        <f>BK13</f>
        <v>3060</v>
      </c>
      <c r="Q31" s="11">
        <f>BN13</f>
        <v>3122</v>
      </c>
      <c r="R31" s="11">
        <f>BQ13</f>
        <v>3359</v>
      </c>
      <c r="S31" s="11">
        <f>BT13</f>
        <v>3386</v>
      </c>
      <c r="T31" s="11">
        <f>BW13</f>
        <v>3543</v>
      </c>
      <c r="U31" s="11">
        <f>BZ13</f>
        <v>3596</v>
      </c>
      <c r="V31" s="11">
        <f>CC13</f>
        <v>3728</v>
      </c>
      <c r="W31" s="11">
        <f>CF13</f>
        <v>4098</v>
      </c>
      <c r="X31" s="11">
        <f>CI13</f>
        <v>4123</v>
      </c>
      <c r="Y31" s="11">
        <f>CL13</f>
        <v>4380</v>
      </c>
      <c r="Z31" s="11">
        <f>CO13</f>
        <v>4462</v>
      </c>
      <c r="AA31" s="11">
        <f>CR13</f>
        <v>4598</v>
      </c>
      <c r="AB31" s="50"/>
      <c r="AD31" s="3"/>
      <c r="AE31" s="4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</row>
    <row r="32" spans="1:97" ht="13.5" customHeight="1" x14ac:dyDescent="0.2">
      <c r="A32" s="23"/>
      <c r="B32" s="3"/>
      <c r="D32" s="15" t="s">
        <v>59</v>
      </c>
      <c r="E32" s="3" t="s">
        <v>60</v>
      </c>
      <c r="F32" s="15">
        <f>IF(AG13&gt;0,(AG14/AG13),"")</f>
        <v>0.26890101325019483</v>
      </c>
      <c r="G32" s="15">
        <f>IF(AJ13&gt;0,(AJ14/AJ13),"")</f>
        <v>0.26941855304039058</v>
      </c>
      <c r="H32" s="15">
        <f>IF(AM13&gt;0,(AM14/AM13),"")</f>
        <v>0.27206551410373064</v>
      </c>
      <c r="I32" s="15">
        <f>IF(AP13&gt;0,(AP14/AP13),"")</f>
        <v>0.28876039031441997</v>
      </c>
      <c r="J32" s="15">
        <f>IF(AS13&gt;0,(AS14/AS13),"")</f>
        <v>0.31998631074606432</v>
      </c>
      <c r="K32" s="15">
        <f>IF(AV13&gt;0,(AV14/AV13),"")</f>
        <v>0.33913043478260868</v>
      </c>
      <c r="L32" s="15">
        <f>IF(AY13&gt;0,(AY14/AY13),"")</f>
        <v>0.35695538057742782</v>
      </c>
      <c r="M32" s="15">
        <f>IF(BB13&gt;0,(BB14/BB13),"")</f>
        <v>0.3846424797463896</v>
      </c>
      <c r="N32" s="15">
        <f>IF(BE13&gt;0,(BE14/BE13),"")</f>
        <v>0.38337341119890073</v>
      </c>
      <c r="O32" s="15">
        <f>IF(BH13&gt;0,(BH14/BH13),"")</f>
        <v>0.40261011419249593</v>
      </c>
      <c r="P32" s="15">
        <f>IF(BK13&gt;0,(BK14/BK13),"")</f>
        <v>0.3983660130718954</v>
      </c>
      <c r="Q32" s="15">
        <f>IF(BN13&gt;0,(BN14/BN13),"")</f>
        <v>0.44490711082639334</v>
      </c>
      <c r="R32" s="15">
        <f>IF(BQ13&gt;0,(BQ14/BQ13),"")</f>
        <v>0.44269127716582318</v>
      </c>
      <c r="S32" s="15">
        <f>IF(BT13&gt;0,(BT14/BT13),"")</f>
        <v>0.43207324276432368</v>
      </c>
      <c r="T32" s="15">
        <f>IF(BW13&gt;0,(BW14/BW13),"")</f>
        <v>0.43889359300028224</v>
      </c>
      <c r="U32" s="15">
        <f>IF(BZ13&gt;0,(BZ14/BZ13),"")</f>
        <v>0.47608453837597331</v>
      </c>
      <c r="V32" s="15">
        <f>IF(CC13&gt;0,(CC14/CC13),"")</f>
        <v>0.4707618025751073</v>
      </c>
      <c r="W32" s="15">
        <f>CF14/CF$13</f>
        <v>0.46510492923377256</v>
      </c>
      <c r="X32" s="15">
        <f>CI14/CI$13</f>
        <v>0.47174387581857868</v>
      </c>
      <c r="Y32" s="15">
        <f>CL14/CL$13</f>
        <v>0.45821917808219176</v>
      </c>
      <c r="Z32" s="15">
        <f>CO14/CO$13</f>
        <v>0.4614522635589422</v>
      </c>
      <c r="AA32" s="15">
        <f>CR14/CR$13</f>
        <v>0.48194867333623315</v>
      </c>
      <c r="AB32" s="50"/>
      <c r="AD32" s="3"/>
      <c r="AE32" s="4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</row>
    <row r="33" spans="1:97" ht="13.5" customHeight="1" x14ac:dyDescent="0.2">
      <c r="A33" s="23"/>
      <c r="B33" s="3"/>
      <c r="D33" s="3"/>
      <c r="E33" s="3" t="s">
        <v>61</v>
      </c>
      <c r="F33" s="15">
        <f>IF(AG13&gt;0,(AG15/AG13),"")</f>
        <v>0.21044427123928294</v>
      </c>
      <c r="G33" s="15">
        <f>IF(AJ13&gt;0,(AJ15/AJ13),"")</f>
        <v>0.24323124722592099</v>
      </c>
      <c r="H33" s="15">
        <f>IF(AM13&gt;0,(AM15/AM13),"")</f>
        <v>0.24613284804367608</v>
      </c>
      <c r="I33" s="15">
        <f>IF(AP13&gt;0,(AP15/AP13),"")</f>
        <v>0.23238164076617274</v>
      </c>
      <c r="J33" s="15">
        <f>IF(AS13&gt;0,(AS15/AS13),"")</f>
        <v>0.22861054072553047</v>
      </c>
      <c r="K33" s="15">
        <f>IF(AV13&gt;0,(AV15/AV13),"")</f>
        <v>0.21704347826086956</v>
      </c>
      <c r="L33" s="15">
        <f>IF(AY13&gt;0,(AY15/AY13),"")</f>
        <v>0.23584551931008624</v>
      </c>
      <c r="M33" s="15">
        <f>IF(BB13&gt;0,(BB15/BB13),"")</f>
        <v>0.22895385699189855</v>
      </c>
      <c r="N33" s="15">
        <f>IF(BE13&gt;0,(BE15/BE13),"")</f>
        <v>0.21229817931982137</v>
      </c>
      <c r="O33" s="15">
        <f>IF(BH13&gt;0,(BH15/BH13),"")</f>
        <v>0.20358890701468188</v>
      </c>
      <c r="P33" s="15">
        <f>IF(BK13&gt;0,(BK15/BK13),"")</f>
        <v>0.19117647058823528</v>
      </c>
      <c r="Q33" s="15">
        <f>IF(BN13&gt;0,(BN15/BN13),"")</f>
        <v>0.1931454196028187</v>
      </c>
      <c r="R33" s="15">
        <f>IF(BQ13&gt;0,(BQ15/BQ13),"")</f>
        <v>0.17564751414111343</v>
      </c>
      <c r="S33" s="15">
        <f>IF(BT13&gt;0,(BT15/BT13),"")</f>
        <v>0.19019492025989368</v>
      </c>
      <c r="T33" s="15">
        <f>IF(BW13&gt;0,(BW15/BW13),"")</f>
        <v>0.17894439740333051</v>
      </c>
      <c r="U33" s="15">
        <f>IF(BZ13&gt;0,(BZ15/BZ13),"")</f>
        <v>0.1782536151279199</v>
      </c>
      <c r="V33" s="15">
        <f>IF(CC13&gt;0,(CC15/CC13),"")</f>
        <v>0.1697961373390558</v>
      </c>
      <c r="W33" s="15">
        <f t="shared" ref="W33:W34" si="70">CF15/CF$13</f>
        <v>0.17813567593948268</v>
      </c>
      <c r="X33" s="15">
        <f>CI15/CI$13</f>
        <v>0.17050691244239632</v>
      </c>
      <c r="Y33" s="15">
        <f>CL15/CL$13</f>
        <v>0.17534246575342466</v>
      </c>
      <c r="Z33" s="15">
        <f>CO15/CO$13</f>
        <v>0.17884356790676825</v>
      </c>
      <c r="AA33" s="15">
        <f>CR15/CR$13</f>
        <v>0.17572857764245325</v>
      </c>
      <c r="AB33" s="50"/>
      <c r="AD33" s="3"/>
      <c r="AE33" s="4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</row>
    <row r="34" spans="1:97" ht="13.5" customHeight="1" x14ac:dyDescent="0.2">
      <c r="A34" s="23"/>
      <c r="B34" s="3"/>
      <c r="D34" s="3"/>
      <c r="E34" s="3" t="s">
        <v>62</v>
      </c>
      <c r="F34" s="18">
        <f>IF(AG13&gt;0,(AG16/AG13),"")</f>
        <v>5.9236165237724084E-2</v>
      </c>
      <c r="G34" s="18">
        <f>IF(AJ13&gt;0,(AJ16/AJ13),"")</f>
        <v>5.8144695960940969E-2</v>
      </c>
      <c r="H34" s="18">
        <f>IF(AM13&gt;0,(AM16/AM13),"")</f>
        <v>5.9144676979071886E-2</v>
      </c>
      <c r="I34" s="18">
        <f>IF(AP13&gt;0,(AP16/AP13),"")</f>
        <v>6.3606794362125046E-2</v>
      </c>
      <c r="J34" s="18">
        <f>IF(AS13&gt;0,(AS16/AS13),"")</f>
        <v>5.7152635181382618E-2</v>
      </c>
      <c r="K34" s="18">
        <f>IF(AV13&gt;0,(AV16/AV13),"")</f>
        <v>6.0173913043478258E-2</v>
      </c>
      <c r="L34" s="18">
        <f>IF(AY13&gt;0,(AY16/AY13),"")</f>
        <v>5.1368578927634044E-2</v>
      </c>
      <c r="M34" s="18">
        <f>IF(BB13&gt;0,(BB16/BB13),"")</f>
        <v>4.5438534695315252E-2</v>
      </c>
      <c r="N34" s="18">
        <f>IF(BE13&gt;0,(BE16/BE13),"")</f>
        <v>4.3627619374785299E-2</v>
      </c>
      <c r="O34" s="18">
        <f>IF(BH13&gt;0,(BH16/BH13),"")</f>
        <v>4.8287112561174551E-2</v>
      </c>
      <c r="P34" s="18">
        <f>IF(BK13&gt;0,(BK16/BK13),"")</f>
        <v>4.673202614379085E-2</v>
      </c>
      <c r="Q34" s="18">
        <f>IF(BN13&gt;0,(BN16/BN13),"")</f>
        <v>3.5554131966688017E-2</v>
      </c>
      <c r="R34" s="18">
        <f>IF(BQ13&gt;0,(BQ16/BQ13),"")</f>
        <v>3.8701994641262283E-2</v>
      </c>
      <c r="S34" s="18">
        <f>IF(BT13&gt;0,(BT16/BT13),"")</f>
        <v>4.2528056704075605E-2</v>
      </c>
      <c r="T34" s="18">
        <f>IF(BW13&gt;0,(BW16/BW13),"")</f>
        <v>3.1893875246965846E-2</v>
      </c>
      <c r="U34" s="18">
        <f>IF(BZ13&gt;0,(BZ16/BZ13),"")</f>
        <v>3.0589543937708564E-2</v>
      </c>
      <c r="V34" s="18">
        <f>IF(CC13&gt;0,(CC16/CC13),"")</f>
        <v>3.755364806866953E-2</v>
      </c>
      <c r="W34" s="18">
        <f t="shared" si="70"/>
        <v>3.5871156661786238E-2</v>
      </c>
      <c r="X34" s="18">
        <f>CI16/CI$13</f>
        <v>3.4440941062333252E-2</v>
      </c>
      <c r="Y34" s="18">
        <f>CL16/CL$13</f>
        <v>3.6757990867579908E-2</v>
      </c>
      <c r="Z34" s="18">
        <f>CO16/CO$13</f>
        <v>2.935903182429404E-2</v>
      </c>
      <c r="AA34" s="18">
        <f t="shared" ref="AA34" si="71">CR16/CR$13</f>
        <v>2.0661157024793389E-2</v>
      </c>
      <c r="AB34" s="50"/>
      <c r="AD34" s="3"/>
      <c r="AE34" s="4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</row>
    <row r="35" spans="1:97" ht="13.5" customHeight="1" x14ac:dyDescent="0.2">
      <c r="A35" s="23"/>
      <c r="B35" s="3"/>
      <c r="D35" s="3"/>
      <c r="E35" s="3"/>
      <c r="F35" s="15">
        <f>IF(AG13&gt;0,(AG17/AG13),"")</f>
        <v>0.5385814497272019</v>
      </c>
      <c r="G35" s="15">
        <f>IF(AJ13&gt;0,(AJ17/AJ13),"")</f>
        <v>0.57079449622725253</v>
      </c>
      <c r="H35" s="15">
        <f>IF(AM13&gt;0,(AM17/AM13),"")</f>
        <v>0.57734303912647866</v>
      </c>
      <c r="I35" s="15">
        <f>IF(AP13&gt;0,(AP17/AP13),"")</f>
        <v>0.58474882544271778</v>
      </c>
      <c r="J35" s="15">
        <f>IF(AS13&gt;0,(AS17/AS13),"")</f>
        <v>0.60574948665297745</v>
      </c>
      <c r="K35" s="15">
        <f>IF(AV13&gt;0,(AV17/AV13),"")</f>
        <v>0.61634782608695649</v>
      </c>
      <c r="L35" s="15">
        <f>IF(AY13&gt;0,(AY17/AY13),"")</f>
        <v>0.64416947881514808</v>
      </c>
      <c r="M35" s="15">
        <f>IF(BB13&gt;0,(BB17/BB13),"")</f>
        <v>0.6590348714336034</v>
      </c>
      <c r="N35" s="15">
        <f>IF(BE13&gt;0,(BE17/BE13),"")</f>
        <v>0.63929920989350741</v>
      </c>
      <c r="O35" s="15">
        <f>IF(BH13&gt;0,(BH17/BH13),"")</f>
        <v>0.65448613376835241</v>
      </c>
      <c r="P35" s="15">
        <f>IF(BK13&gt;0,(BK17/BK13),"")</f>
        <v>0.63627450980392153</v>
      </c>
      <c r="Q35" s="15">
        <f>IF(BN13&gt;0,(BN17/BN13),"")</f>
        <v>0.67360666239590006</v>
      </c>
      <c r="R35" s="15">
        <f>IF(BQ13&gt;0,(BQ17/BQ13),"")</f>
        <v>0.65704078594819881</v>
      </c>
      <c r="S35" s="15">
        <f>IF(BT13&gt;0,(BT17/BT13),"")</f>
        <v>0.66479621972829295</v>
      </c>
      <c r="T35" s="15">
        <f>IF(BW13&gt;0,(BW17/BW13),"")</f>
        <v>0.64973186565057861</v>
      </c>
      <c r="U35" s="15">
        <f>IF(BZ13&gt;0,(BZ17/BZ13),"")</f>
        <v>0.68492769744160176</v>
      </c>
      <c r="V35" s="15">
        <f>IF(CC13&gt;0,(CC17/CC13),"")</f>
        <v>0.67811158798283266</v>
      </c>
      <c r="W35" s="15">
        <f>CF17/CF$13</f>
        <v>0.67911176183504152</v>
      </c>
      <c r="X35" s="15">
        <f>CI17/CI$13</f>
        <v>0.67669172932330823</v>
      </c>
      <c r="Y35" s="15">
        <f>CL17/CL$13</f>
        <v>0.67031963470319633</v>
      </c>
      <c r="Z35" s="15">
        <f>CO17/CO$13</f>
        <v>0.66965486329000445</v>
      </c>
      <c r="AA35" s="15">
        <f>CR17/CR$13</f>
        <v>0.67833840800347978</v>
      </c>
      <c r="AB35" s="50"/>
      <c r="AD35" s="3"/>
      <c r="AE35" s="4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</row>
    <row r="36" spans="1:97" ht="13.5" customHeight="1" thickBot="1" x14ac:dyDescent="0.25">
      <c r="A36" s="23"/>
      <c r="B36" s="5"/>
      <c r="C36" s="5"/>
      <c r="D36" s="5"/>
      <c r="E36" s="5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3"/>
      <c r="AA36" s="3"/>
      <c r="AB36" s="50"/>
      <c r="AD36" s="3"/>
      <c r="BG36" s="1"/>
      <c r="BH36" s="19"/>
      <c r="BI36" s="19"/>
      <c r="BJ36" s="1"/>
      <c r="BK36" s="19"/>
      <c r="BL36" s="19"/>
      <c r="BM36" s="1"/>
      <c r="BN36" s="19"/>
      <c r="BO36" s="19"/>
      <c r="BP36" s="1"/>
      <c r="BQ36" s="19"/>
      <c r="BR36" s="19"/>
      <c r="BS36" s="1"/>
      <c r="BT36" s="19"/>
      <c r="BU36" s="19"/>
      <c r="BV36" s="1"/>
      <c r="BW36" s="19"/>
      <c r="BX36" s="19"/>
      <c r="CF36" s="19"/>
      <c r="CG36" s="19"/>
      <c r="CI36" s="19"/>
      <c r="CJ36" s="19"/>
      <c r="CL36" s="19"/>
      <c r="CM36" s="19"/>
      <c r="CO36" s="19"/>
      <c r="CP36" s="19"/>
      <c r="CR36" s="19"/>
      <c r="CS36" s="19"/>
    </row>
    <row r="37" spans="1:97" ht="13.5" customHeight="1" thickTop="1" x14ac:dyDescent="0.2">
      <c r="A37" s="23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5" t="s">
        <v>70</v>
      </c>
      <c r="P37" s="35" t="s">
        <v>69</v>
      </c>
      <c r="Q37" s="35" t="s">
        <v>40</v>
      </c>
      <c r="R37" s="35" t="s">
        <v>39</v>
      </c>
      <c r="S37" s="35" t="s">
        <v>38</v>
      </c>
      <c r="T37" s="35" t="s">
        <v>37</v>
      </c>
      <c r="U37" s="35" t="s">
        <v>36</v>
      </c>
      <c r="V37" s="35" t="s">
        <v>34</v>
      </c>
      <c r="W37" s="35" t="s">
        <v>33</v>
      </c>
      <c r="X37" s="35" t="s">
        <v>32</v>
      </c>
      <c r="Y37" s="35" t="s">
        <v>31</v>
      </c>
      <c r="Z37" s="3"/>
      <c r="AA37" s="3"/>
      <c r="AB37" s="24"/>
      <c r="AV37" s="61"/>
      <c r="AW37" s="61"/>
      <c r="AY37" s="61"/>
      <c r="AZ37" s="61"/>
      <c r="BB37" s="61"/>
      <c r="BC37" s="61"/>
      <c r="BE37" s="61"/>
      <c r="BF37" s="61"/>
      <c r="BG37" s="81" t="s">
        <v>50</v>
      </c>
      <c r="BH37" s="81"/>
      <c r="BI37" s="81"/>
      <c r="BJ37" s="81" t="s">
        <v>51</v>
      </c>
      <c r="BK37" s="81"/>
      <c r="BL37" s="81"/>
      <c r="BM37" s="81" t="s">
        <v>52</v>
      </c>
      <c r="BN37" s="81"/>
      <c r="BO37" s="81"/>
      <c r="BP37" s="81" t="s">
        <v>53</v>
      </c>
      <c r="BQ37" s="81"/>
      <c r="BR37" s="81"/>
      <c r="BS37" s="81" t="s">
        <v>54</v>
      </c>
      <c r="BT37" s="81"/>
      <c r="BU37" s="81"/>
      <c r="BV37" s="81" t="s">
        <v>55</v>
      </c>
      <c r="BW37" s="81"/>
      <c r="BX37" s="81"/>
      <c r="BY37" s="81" t="s">
        <v>56</v>
      </c>
      <c r="BZ37" s="81"/>
      <c r="CA37" s="81"/>
      <c r="CB37" s="81" t="s">
        <v>27</v>
      </c>
      <c r="CC37" s="81"/>
      <c r="CD37" s="81"/>
      <c r="CE37" s="81" t="s">
        <v>91</v>
      </c>
      <c r="CF37" s="81"/>
      <c r="CG37" s="81"/>
      <c r="CH37" s="81" t="s">
        <v>98</v>
      </c>
      <c r="CI37" s="81"/>
      <c r="CJ37" s="81"/>
      <c r="CK37" s="81" t="s">
        <v>102</v>
      </c>
      <c r="CL37" s="81"/>
      <c r="CM37" s="81"/>
      <c r="CO37" s="19"/>
      <c r="CP37" s="19"/>
      <c r="CR37" s="19"/>
      <c r="CS37" s="19"/>
    </row>
    <row r="38" spans="1:97" ht="13.5" customHeight="1" x14ac:dyDescent="0.2">
      <c r="A38" s="23"/>
      <c r="B38" s="4"/>
      <c r="C38" s="4"/>
      <c r="D38" s="4"/>
      <c r="E38" s="4"/>
      <c r="F38" s="3"/>
      <c r="G38" s="3"/>
      <c r="H38" s="3"/>
      <c r="I38" s="3"/>
      <c r="J38" s="3"/>
      <c r="K38" s="3"/>
      <c r="L38" s="3"/>
      <c r="M38" s="3"/>
      <c r="N38" s="3"/>
      <c r="O38" s="35" t="s">
        <v>35</v>
      </c>
      <c r="P38" s="35" t="s">
        <v>35</v>
      </c>
      <c r="Q38" s="35" t="s">
        <v>35</v>
      </c>
      <c r="R38" s="35" t="s">
        <v>35</v>
      </c>
      <c r="S38" s="35" t="s">
        <v>35</v>
      </c>
      <c r="T38" s="35" t="s">
        <v>35</v>
      </c>
      <c r="U38" s="35" t="s">
        <v>35</v>
      </c>
      <c r="V38" s="35" t="s">
        <v>35</v>
      </c>
      <c r="W38" s="35" t="s">
        <v>35</v>
      </c>
      <c r="X38" s="35" t="s">
        <v>35</v>
      </c>
      <c r="Y38" s="35" t="s">
        <v>35</v>
      </c>
      <c r="Z38" s="3"/>
      <c r="AA38" s="3"/>
      <c r="AB38" s="24"/>
      <c r="AC38" s="3"/>
      <c r="AD38" s="3"/>
      <c r="AV38" s="61"/>
      <c r="AW38" s="61"/>
      <c r="AY38" s="61"/>
      <c r="AZ38" s="61"/>
      <c r="BB38" s="61"/>
      <c r="BC38" s="61"/>
      <c r="BE38" s="61"/>
      <c r="BF38" s="61"/>
      <c r="BG38" s="81" t="s">
        <v>12</v>
      </c>
      <c r="BH38" s="81"/>
      <c r="BI38" s="81"/>
      <c r="BJ38" s="81" t="s">
        <v>13</v>
      </c>
      <c r="BK38" s="81"/>
      <c r="BL38" s="81"/>
      <c r="BM38" s="81" t="s">
        <v>14</v>
      </c>
      <c r="BN38" s="81"/>
      <c r="BO38" s="81"/>
      <c r="BP38" s="81" t="s">
        <v>15</v>
      </c>
      <c r="BQ38" s="81"/>
      <c r="BR38" s="81"/>
      <c r="BS38" s="81" t="s">
        <v>16</v>
      </c>
      <c r="BT38" s="81"/>
      <c r="BU38" s="81"/>
      <c r="BV38" s="81" t="s">
        <v>17</v>
      </c>
      <c r="BW38" s="81"/>
      <c r="BX38" s="81"/>
      <c r="BY38" s="81" t="s">
        <v>92</v>
      </c>
      <c r="BZ38" s="81"/>
      <c r="CA38" s="81"/>
      <c r="CB38" s="81" t="s">
        <v>99</v>
      </c>
      <c r="CC38" s="81"/>
      <c r="CD38" s="81"/>
      <c r="CE38" s="81" t="s">
        <v>101</v>
      </c>
      <c r="CF38" s="81"/>
      <c r="CG38" s="81"/>
      <c r="CH38" s="81" t="s">
        <v>104</v>
      </c>
      <c r="CI38" s="81"/>
      <c r="CJ38" s="81"/>
      <c r="CK38" s="81" t="s">
        <v>108</v>
      </c>
      <c r="CL38" s="81"/>
      <c r="CM38" s="81"/>
      <c r="CO38" s="19"/>
      <c r="CP38" s="19"/>
      <c r="CR38" s="19"/>
      <c r="CS38" s="19"/>
    </row>
    <row r="39" spans="1:97" ht="13.5" customHeight="1" x14ac:dyDescent="0.2">
      <c r="A39" s="23"/>
      <c r="B39" s="6"/>
      <c r="C39" s="6"/>
      <c r="D39" s="6"/>
      <c r="E39" s="6"/>
      <c r="F39" s="3"/>
      <c r="G39" s="3"/>
      <c r="H39" s="3"/>
      <c r="I39" s="3"/>
      <c r="J39" s="3"/>
      <c r="K39" s="3"/>
      <c r="L39" s="3"/>
      <c r="M39" s="3"/>
      <c r="N39" s="3"/>
      <c r="O39" s="31" t="s">
        <v>33</v>
      </c>
      <c r="P39" s="31" t="s">
        <v>32</v>
      </c>
      <c r="Q39" s="31" t="s">
        <v>31</v>
      </c>
      <c r="R39" s="31" t="s">
        <v>30</v>
      </c>
      <c r="S39" s="31" t="s">
        <v>29</v>
      </c>
      <c r="T39" s="31" t="s">
        <v>28</v>
      </c>
      <c r="U39" s="31" t="s">
        <v>90</v>
      </c>
      <c r="V39" s="31" t="s">
        <v>97</v>
      </c>
      <c r="W39" s="31" t="s">
        <v>100</v>
      </c>
      <c r="X39" s="31" t="s">
        <v>103</v>
      </c>
      <c r="Y39" s="31" t="s">
        <v>106</v>
      </c>
      <c r="Z39" s="3"/>
      <c r="AA39" s="3"/>
      <c r="AB39" s="49"/>
      <c r="AC39" s="7"/>
      <c r="AD39" s="7"/>
      <c r="AE39" s="3"/>
      <c r="AV39" s="61"/>
      <c r="AW39" s="61"/>
      <c r="AY39" s="61"/>
      <c r="AZ39" s="61"/>
      <c r="BB39" s="61"/>
      <c r="BC39" s="61"/>
      <c r="BE39" s="61"/>
      <c r="BF39" s="61"/>
      <c r="BG39" s="35"/>
      <c r="BH39" s="35"/>
      <c r="BI39" s="35" t="s">
        <v>18</v>
      </c>
      <c r="BJ39" s="35"/>
      <c r="BK39" s="35"/>
      <c r="BL39" s="35" t="s">
        <v>18</v>
      </c>
      <c r="BM39" s="35"/>
      <c r="BN39" s="35"/>
      <c r="BO39" s="35" t="s">
        <v>18</v>
      </c>
      <c r="BP39" s="35"/>
      <c r="BQ39" s="35"/>
      <c r="BR39" s="35" t="s">
        <v>18</v>
      </c>
      <c r="BS39" s="35"/>
      <c r="BT39" s="35"/>
      <c r="BU39" s="35" t="s">
        <v>18</v>
      </c>
      <c r="BV39" s="35"/>
      <c r="BW39" s="35"/>
      <c r="BX39" s="35" t="s">
        <v>18</v>
      </c>
      <c r="BY39" s="35"/>
      <c r="BZ39" s="35"/>
      <c r="CA39" s="35" t="s">
        <v>18</v>
      </c>
      <c r="CB39" s="35"/>
      <c r="CC39" s="35"/>
      <c r="CD39" s="35" t="s">
        <v>18</v>
      </c>
      <c r="CE39" s="35"/>
      <c r="CF39" s="35"/>
      <c r="CG39" s="35" t="s">
        <v>18</v>
      </c>
      <c r="CH39" s="35"/>
      <c r="CI39" s="35"/>
      <c r="CJ39" s="35" t="s">
        <v>18</v>
      </c>
      <c r="CK39" s="35"/>
      <c r="CL39" s="35"/>
      <c r="CM39" s="35" t="s">
        <v>18</v>
      </c>
      <c r="CO39" s="19"/>
      <c r="CP39" s="19"/>
      <c r="CR39" s="19"/>
      <c r="CS39" s="19"/>
    </row>
    <row r="40" spans="1:97" ht="13.5" customHeight="1" x14ac:dyDescent="0.2">
      <c r="A40" s="2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24"/>
      <c r="AE40" s="7"/>
      <c r="AF40" s="72"/>
      <c r="AG40" s="72"/>
      <c r="AH40" s="72"/>
      <c r="AI40" s="72"/>
      <c r="AJ40" s="72"/>
      <c r="AK40" s="72"/>
      <c r="AL40" s="72"/>
      <c r="AM40" s="72"/>
      <c r="BG40" s="1"/>
      <c r="BH40" s="19"/>
      <c r="BI40" s="19"/>
      <c r="BJ40" s="1"/>
      <c r="BK40" s="19"/>
      <c r="BL40" s="19"/>
      <c r="BM40" s="1"/>
      <c r="BN40" s="19"/>
      <c r="BO40" s="19"/>
      <c r="BP40" s="1"/>
      <c r="BQ40" s="19"/>
      <c r="BR40" s="19"/>
      <c r="BS40" s="1"/>
      <c r="BT40" s="19"/>
      <c r="BU40" s="19"/>
      <c r="BV40" s="1"/>
      <c r="BW40" s="19"/>
      <c r="BX40" s="19"/>
      <c r="CE40" s="39"/>
      <c r="CF40" s="39"/>
      <c r="CG40" s="39"/>
      <c r="CI40" s="19"/>
      <c r="CJ40" s="19"/>
      <c r="CL40" s="19"/>
      <c r="CM40" s="19"/>
      <c r="CO40" s="19"/>
      <c r="CP40" s="19"/>
      <c r="CR40" s="19"/>
      <c r="CS40" s="19"/>
    </row>
    <row r="41" spans="1:97" ht="13.5" customHeight="1" x14ac:dyDescent="0.2">
      <c r="A41" s="23"/>
      <c r="B41" s="78" t="s">
        <v>23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24"/>
      <c r="AF41" s="72"/>
      <c r="AG41" s="72"/>
      <c r="AH41" s="72"/>
      <c r="AI41" s="72"/>
      <c r="AJ41" s="72"/>
      <c r="AK41" s="72"/>
      <c r="AL41" s="72"/>
      <c r="AM41" s="72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CE41" s="39"/>
      <c r="CF41" s="39"/>
      <c r="CG41" s="39"/>
      <c r="CI41" s="19"/>
      <c r="CJ41" s="19"/>
      <c r="CL41" s="19"/>
      <c r="CM41" s="19"/>
      <c r="CO41" s="19"/>
      <c r="CP41" s="19"/>
      <c r="CR41" s="19"/>
      <c r="CS41" s="19"/>
    </row>
    <row r="42" spans="1:97" ht="13.5" customHeight="1" x14ac:dyDescent="0.25">
      <c r="A42" s="23"/>
      <c r="B42" s="3"/>
      <c r="C42" s="4" t="s">
        <v>19</v>
      </c>
      <c r="D42" s="3"/>
      <c r="E42" s="3"/>
      <c r="F42" s="73"/>
      <c r="G42" s="73"/>
      <c r="H42" s="73"/>
      <c r="I42" s="73"/>
      <c r="J42" s="73"/>
      <c r="K42" s="73"/>
      <c r="L42" s="73"/>
      <c r="M42" s="73"/>
      <c r="N42" s="71"/>
      <c r="O42" s="71"/>
      <c r="P42" s="71"/>
      <c r="Q42" s="71"/>
      <c r="R42" s="71"/>
      <c r="S42" s="71"/>
      <c r="T42" s="71"/>
      <c r="U42" s="71"/>
      <c r="V42" s="73"/>
      <c r="W42" s="73"/>
      <c r="X42" s="73"/>
      <c r="Y42" s="73"/>
      <c r="Z42" s="73"/>
      <c r="AA42" s="73"/>
      <c r="AB42" s="48"/>
      <c r="AF42" s="82" t="s">
        <v>19</v>
      </c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</row>
    <row r="43" spans="1:97" ht="13.5" customHeight="1" x14ac:dyDescent="0.2">
      <c r="A43" s="23"/>
      <c r="D43" s="3" t="s">
        <v>64</v>
      </c>
      <c r="E43" s="3"/>
      <c r="F43" s="3"/>
      <c r="G43" s="3"/>
      <c r="H43" s="26"/>
      <c r="I43" s="3"/>
      <c r="J43" s="3"/>
      <c r="K43" s="3"/>
      <c r="L43" s="3"/>
      <c r="M43" s="3"/>
      <c r="N43" s="3"/>
      <c r="O43" s="11">
        <f>BI43</f>
        <v>6023</v>
      </c>
      <c r="P43" s="11">
        <f>BL43</f>
        <v>6051</v>
      </c>
      <c r="Q43" s="11">
        <f>BO43</f>
        <v>6332</v>
      </c>
      <c r="R43" s="11">
        <f>BR43</f>
        <v>6697</v>
      </c>
      <c r="S43" s="11">
        <f>BU43</f>
        <v>6761</v>
      </c>
      <c r="T43" s="11">
        <f>BX43</f>
        <v>7042</v>
      </c>
      <c r="U43" s="11">
        <f>CA43</f>
        <v>7116</v>
      </c>
      <c r="V43" s="11">
        <f>CD43</f>
        <v>7281</v>
      </c>
      <c r="W43" s="11">
        <f>CG43</f>
        <v>8139</v>
      </c>
      <c r="X43" s="11">
        <f>CJ43</f>
        <v>8062</v>
      </c>
      <c r="Y43" s="11">
        <f>CM43</f>
        <v>8722</v>
      </c>
      <c r="Z43" s="3"/>
      <c r="AA43" s="3"/>
      <c r="AB43" s="24"/>
      <c r="AD43" s="3" t="s">
        <v>64</v>
      </c>
      <c r="BI43" s="41">
        <f>MU!BI43+UMKC!BI43+'S&amp;T'!BI43+UMSL!BI43</f>
        <v>6023</v>
      </c>
      <c r="BJ43" s="41"/>
      <c r="BK43" s="41"/>
      <c r="BL43" s="41">
        <f>MU!BL43+UMKC!BL43+'S&amp;T'!BL43+UMSL!BL43</f>
        <v>6051</v>
      </c>
      <c r="BM43" s="41"/>
      <c r="BN43" s="41"/>
      <c r="BO43" s="41">
        <f>MU!BO43+UMKC!BO43+'S&amp;T'!BO43+UMSL!BO43</f>
        <v>6332</v>
      </c>
      <c r="BP43" s="41"/>
      <c r="BQ43" s="41"/>
      <c r="BR43" s="41">
        <f>MU!BR43+UMKC!BR43+'S&amp;T'!BR43+UMSL!BR43</f>
        <v>6697</v>
      </c>
      <c r="BS43" s="41"/>
      <c r="BT43" s="41"/>
      <c r="BU43" s="41">
        <f>MU!BU43+UMKC!BU43+'S&amp;T'!BU43+UMSL!BU43</f>
        <v>6761</v>
      </c>
      <c r="BV43" s="41"/>
      <c r="BW43" s="41"/>
      <c r="BX43" s="41">
        <f>MU!BX43+UMKC!BX43+'S&amp;T'!BX43+UMSL!BX43</f>
        <v>7042</v>
      </c>
      <c r="CA43" s="41">
        <f>MU!CA43+UMKC!CA43+'S&amp;T'!CA43+UMSL!CA43</f>
        <v>7116</v>
      </c>
      <c r="CD43" s="41">
        <f>MU!CD43+UMKC!CD43+'S&amp;T'!CD43+UMSL!CD43</f>
        <v>7281</v>
      </c>
      <c r="CE43" s="39"/>
      <c r="CF43" s="39"/>
      <c r="CG43" s="41">
        <f>MU!CG43+UMKC!CG43+'S&amp;T'!CG43+UMSL!CG43</f>
        <v>8139</v>
      </c>
      <c r="CJ43" s="41">
        <f>MU!CJ43+UMKC!CJ43+'S&amp;T'!CJ43+UMSL!CJ43</f>
        <v>8062</v>
      </c>
      <c r="CM43" s="41">
        <f>MU!CM43+UMKC!CM43+'S&amp;T'!CM43+UMSL!CM43</f>
        <v>8722</v>
      </c>
    </row>
    <row r="44" spans="1:97" ht="13.5" customHeight="1" x14ac:dyDescent="0.2">
      <c r="A44" s="23"/>
      <c r="D44" s="15" t="s">
        <v>59</v>
      </c>
      <c r="E44" s="3" t="s">
        <v>63</v>
      </c>
      <c r="F44" s="3"/>
      <c r="G44" s="3"/>
      <c r="H44" s="26"/>
      <c r="I44" s="3"/>
      <c r="J44" s="3"/>
      <c r="K44" s="3"/>
      <c r="L44" s="3"/>
      <c r="M44" s="3"/>
      <c r="N44" s="3"/>
      <c r="O44" s="18">
        <f>IF(BI43&gt;0,(BI44/BI43),"")</f>
        <v>2.0587746969948532E-2</v>
      </c>
      <c r="P44" s="18">
        <f>IF(BL43&gt;0,(BL44/BL43),"")</f>
        <v>2.5285076846802181E-2</v>
      </c>
      <c r="Q44" s="18">
        <f>IF(BO43&gt;0,(BO44/BO43),"")</f>
        <v>2.2425773847125709E-2</v>
      </c>
      <c r="R44" s="18">
        <f>IF(BR43&gt;0,(BR44/BR43),"")</f>
        <v>2.9266835896670149E-2</v>
      </c>
      <c r="S44" s="18">
        <f>IF(BU43&gt;0,(BU44/BU43),"")</f>
        <v>1.7600946605531725E-2</v>
      </c>
      <c r="T44" s="18">
        <f>IF(BX43&gt;0,(BX44/BX43),"")</f>
        <v>2.05907412666856E-2</v>
      </c>
      <c r="U44" s="18">
        <f>CA44/CA$43</f>
        <v>3.0213603147835864E-2</v>
      </c>
      <c r="V44" s="18">
        <f>CD44/CD$43</f>
        <v>1.9365471775854966E-2</v>
      </c>
      <c r="W44" s="18">
        <f>CG44/CG$43</f>
        <v>2.1624278166850964E-2</v>
      </c>
      <c r="X44" s="18">
        <f>CJ44/CJ$43</f>
        <v>1.9474075911684447E-2</v>
      </c>
      <c r="Y44" s="18">
        <f>CM44/CM$43</f>
        <v>1.7427195597340059E-2</v>
      </c>
      <c r="Z44" s="3"/>
      <c r="AA44" s="3"/>
      <c r="AB44" s="24"/>
      <c r="AD44" s="15" t="s">
        <v>59</v>
      </c>
      <c r="AE44" s="3" t="s">
        <v>63</v>
      </c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>
        <f>MU!BI44+UMKC!BI44+'S&amp;T'!BI44+UMSL!BI44</f>
        <v>124</v>
      </c>
      <c r="BJ44" s="41"/>
      <c r="BK44" s="41"/>
      <c r="BL44" s="41">
        <f>MU!BL44+UMKC!BL44+'S&amp;T'!BL44+UMSL!BL44</f>
        <v>153</v>
      </c>
      <c r="BM44" s="41"/>
      <c r="BN44" s="41"/>
      <c r="BO44" s="41">
        <f>MU!BO44+UMKC!BO44+'S&amp;T'!BO44+UMSL!BO44</f>
        <v>142</v>
      </c>
      <c r="BP44" s="41"/>
      <c r="BQ44" s="41"/>
      <c r="BR44" s="41">
        <f>MU!BR44+UMKC!BR44+'S&amp;T'!BR44+UMSL!BR44</f>
        <v>196</v>
      </c>
      <c r="BS44" s="41"/>
      <c r="BT44" s="41"/>
      <c r="BU44" s="41">
        <f>MU!BU44+UMKC!BU44+'S&amp;T'!BU44+UMSL!BU44</f>
        <v>119</v>
      </c>
      <c r="BV44" s="41"/>
      <c r="BW44" s="41"/>
      <c r="BX44" s="41">
        <f>MU!BX44+UMKC!BX44+'S&amp;T'!BX44+UMSL!BX44</f>
        <v>145</v>
      </c>
      <c r="BY44" s="41"/>
      <c r="BZ44" s="41"/>
      <c r="CA44" s="41">
        <f>MU!CA44+UMKC!CA44+'S&amp;T'!CA44+UMSL!CA44</f>
        <v>215</v>
      </c>
      <c r="CD44" s="41">
        <f>MU!CD44+UMKC!CD44+'S&amp;T'!CD44+UMSL!CD44</f>
        <v>141</v>
      </c>
      <c r="CE44" s="39"/>
      <c r="CF44" s="39"/>
      <c r="CG44" s="41">
        <f>MU!CG44+UMKC!CG44+'S&amp;T'!CG44+UMSL!CG44</f>
        <v>176</v>
      </c>
      <c r="CJ44" s="41">
        <f>MU!CJ44+UMKC!CJ44+'S&amp;T'!CJ44+UMSL!CJ44</f>
        <v>157</v>
      </c>
      <c r="CM44" s="41">
        <f>MU!CM44+UMKC!CM44+'S&amp;T'!CM44+UMSL!CM44</f>
        <v>152</v>
      </c>
    </row>
    <row r="45" spans="1:97" ht="13.5" customHeight="1" x14ac:dyDescent="0.2">
      <c r="A45" s="23"/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15">
        <f>IF(BI43&gt;0,(BI45/BI43),"")</f>
        <v>0.65449111738336374</v>
      </c>
      <c r="P45" s="15">
        <f>IF(BL43&gt;0,(BL45/BL43),"")</f>
        <v>0.64072054205916373</v>
      </c>
      <c r="Q45" s="15">
        <f>IF(BO43&gt;0,(BO45/BO43),"")</f>
        <v>0.65919140871762472</v>
      </c>
      <c r="R45" s="15">
        <f>IF(BR43&gt;0,(BR45/BR43),"")</f>
        <v>0.65760788412722115</v>
      </c>
      <c r="S45" s="15">
        <f>IF(BU43&gt;0,(BU45/BU43),"")</f>
        <v>0.66070107972193459</v>
      </c>
      <c r="T45" s="15">
        <f>IF(BX43&gt;0,(BX45/BX43),"")</f>
        <v>0.65819369497301905</v>
      </c>
      <c r="U45" s="15">
        <f>CA45/CA$43</f>
        <v>0.68465430016863404</v>
      </c>
      <c r="V45" s="15">
        <f>CD45/CD$43</f>
        <v>0.67202307375360526</v>
      </c>
      <c r="W45" s="15">
        <f>CG45/CG$43</f>
        <v>0.67330138837695053</v>
      </c>
      <c r="X45" s="15">
        <f>CJ45/CJ$43</f>
        <v>0.66311089059786654</v>
      </c>
      <c r="Y45" s="15">
        <f>CM45/CM$43</f>
        <v>0.66154551708323783</v>
      </c>
      <c r="Z45" s="3"/>
      <c r="AA45" s="3"/>
      <c r="AB45" s="24"/>
      <c r="AE45" s="35" t="s">
        <v>89</v>
      </c>
      <c r="AF45" s="41"/>
      <c r="AG45" s="41"/>
      <c r="AH45" s="41"/>
      <c r="AI45" s="41"/>
      <c r="AJ45" s="41"/>
      <c r="AK45" s="41"/>
      <c r="AL45" s="80"/>
      <c r="AM45" s="80"/>
      <c r="AN45" s="80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>
        <f>BI17+BI44</f>
        <v>3942</v>
      </c>
      <c r="BJ45" s="41"/>
      <c r="BK45" s="41"/>
      <c r="BL45" s="41">
        <f>BL17+BL44</f>
        <v>3877</v>
      </c>
      <c r="BM45" s="41"/>
      <c r="BN45" s="41"/>
      <c r="BO45" s="41">
        <f>BO17+BO44</f>
        <v>4174</v>
      </c>
      <c r="BP45" s="41"/>
      <c r="BQ45" s="41"/>
      <c r="BR45" s="41">
        <f>BR17+BR44</f>
        <v>4404</v>
      </c>
      <c r="BS45" s="41"/>
      <c r="BT45" s="41"/>
      <c r="BU45" s="41">
        <f>BU17+BU44</f>
        <v>4467</v>
      </c>
      <c r="BV45" s="41"/>
      <c r="BW45" s="41"/>
      <c r="BX45" s="41">
        <f>BX17+BX44</f>
        <v>4635</v>
      </c>
      <c r="BY45" s="41"/>
      <c r="BZ45" s="41"/>
      <c r="CA45" s="41">
        <f>MU!CA45+UMKC!CA45+'S&amp;T'!CA45+UMSL!CA45</f>
        <v>4872</v>
      </c>
      <c r="CD45" s="41">
        <f>MU!CD45+UMKC!CD45+'S&amp;T'!CD45+UMSL!CD45</f>
        <v>4893</v>
      </c>
      <c r="CE45" s="39"/>
      <c r="CF45" s="39"/>
      <c r="CG45" s="41">
        <f>MU!CG45+UMKC!CG45+'S&amp;T'!CG45+UMSL!CG45</f>
        <v>5480</v>
      </c>
      <c r="CJ45" s="41">
        <f>MU!CJ45+UMKC!CJ45+'S&amp;T'!CJ45+UMSL!CJ45</f>
        <v>5346</v>
      </c>
      <c r="CM45" s="41">
        <f>MU!CM45+UMKC!CM45+'S&amp;T'!CM45+UMSL!CM45</f>
        <v>5770</v>
      </c>
    </row>
    <row r="46" spans="1:97" ht="13.5" customHeight="1" x14ac:dyDescent="0.2">
      <c r="A46" s="23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24"/>
      <c r="AL46" s="41"/>
      <c r="AM46" s="41"/>
      <c r="AN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</row>
    <row r="47" spans="1:97" ht="13.5" customHeight="1" x14ac:dyDescent="0.2">
      <c r="A47" s="2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24"/>
      <c r="AL47" s="41"/>
      <c r="AM47" s="41"/>
      <c r="AN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</row>
    <row r="48" spans="1:97" ht="13.5" customHeight="1" x14ac:dyDescent="0.2">
      <c r="A48" s="23"/>
      <c r="B48" s="3" t="s">
        <v>95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24"/>
      <c r="AL48" s="41"/>
      <c r="AM48" s="41"/>
      <c r="AN48" s="41"/>
    </row>
    <row r="49" spans="1:40" ht="13.5" customHeight="1" x14ac:dyDescent="0.2">
      <c r="A49" s="23"/>
      <c r="B49" s="3" t="s">
        <v>82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24"/>
      <c r="AL49" s="41"/>
      <c r="AM49" s="41"/>
      <c r="AN49" s="41"/>
    </row>
    <row r="50" spans="1:40" ht="13.5" customHeight="1" x14ac:dyDescent="0.2">
      <c r="A50" s="2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24"/>
      <c r="AL50" s="41"/>
      <c r="AM50" s="41"/>
      <c r="AN50" s="41"/>
    </row>
    <row r="51" spans="1:40" ht="13.5" customHeight="1" x14ac:dyDescent="0.25">
      <c r="A51" s="23"/>
      <c r="B51" s="91" t="s">
        <v>66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84"/>
      <c r="U51" s="84"/>
      <c r="V51" s="84"/>
      <c r="W51" s="3"/>
      <c r="X51" s="3"/>
      <c r="Y51" s="3"/>
      <c r="Z51" s="3"/>
      <c r="AA51" s="3"/>
      <c r="AB51" s="24"/>
      <c r="AF51" s="72"/>
      <c r="AG51" s="72"/>
      <c r="AH51" s="72"/>
      <c r="AI51" s="72"/>
      <c r="AJ51" s="72"/>
      <c r="AK51" s="72"/>
      <c r="AL51" s="72"/>
      <c r="AM51" s="72"/>
    </row>
    <row r="52" spans="1:40" ht="13.5" hidden="1" customHeight="1" x14ac:dyDescent="0.2">
      <c r="A52" s="23"/>
      <c r="B52" s="3" t="s">
        <v>68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25"/>
    </row>
    <row r="53" spans="1:40" ht="13.5" customHeight="1" x14ac:dyDescent="0.25">
      <c r="A53" s="27"/>
      <c r="B53" s="92" t="s">
        <v>67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3"/>
      <c r="U53" s="93"/>
      <c r="V53" s="93"/>
      <c r="W53" s="31"/>
      <c r="X53" s="31"/>
      <c r="Y53" s="31"/>
      <c r="Z53" s="31"/>
      <c r="AA53" s="31" t="s">
        <v>109</v>
      </c>
      <c r="AB53" s="28"/>
    </row>
  </sheetData>
  <mergeCells count="73">
    <mergeCell ref="B51:V51"/>
    <mergeCell ref="B53:V53"/>
    <mergeCell ref="CN7:CP7"/>
    <mergeCell ref="CN8:CP8"/>
    <mergeCell ref="CE38:CG38"/>
    <mergeCell ref="BV37:BX37"/>
    <mergeCell ref="BY37:CA37"/>
    <mergeCell ref="BV38:BX38"/>
    <mergeCell ref="BY38:CA38"/>
    <mergeCell ref="CH37:CJ37"/>
    <mergeCell ref="CH38:CJ38"/>
    <mergeCell ref="CE7:CG7"/>
    <mergeCell ref="BP7:BR7"/>
    <mergeCell ref="BS7:BU7"/>
    <mergeCell ref="BV7:BX7"/>
    <mergeCell ref="BY7:CA7"/>
    <mergeCell ref="CB7:CD7"/>
    <mergeCell ref="CE8:CG8"/>
    <mergeCell ref="BV8:BX8"/>
    <mergeCell ref="BG8:BI8"/>
    <mergeCell ref="BJ8:BL8"/>
    <mergeCell ref="BM8:BO8"/>
    <mergeCell ref="BP8:BR8"/>
    <mergeCell ref="BS8:BU8"/>
    <mergeCell ref="CB8:CD8"/>
    <mergeCell ref="BJ7:BL7"/>
    <mergeCell ref="BG7:BI7"/>
    <mergeCell ref="BM7:BO7"/>
    <mergeCell ref="A2:AB2"/>
    <mergeCell ref="AF7:AH7"/>
    <mergeCell ref="AI7:AK7"/>
    <mergeCell ref="AL7:AN7"/>
    <mergeCell ref="AO7:AQ7"/>
    <mergeCell ref="AO8:AQ8"/>
    <mergeCell ref="AR8:AT8"/>
    <mergeCell ref="AF8:AH8"/>
    <mergeCell ref="AU8:AW8"/>
    <mergeCell ref="AX8:AZ8"/>
    <mergeCell ref="AL8:AN8"/>
    <mergeCell ref="AI8:AK8"/>
    <mergeCell ref="AR7:AT7"/>
    <mergeCell ref="AU7:AW7"/>
    <mergeCell ref="AX7:AZ7"/>
    <mergeCell ref="BA7:BC7"/>
    <mergeCell ref="BD7:BF7"/>
    <mergeCell ref="CQ7:CS7"/>
    <mergeCell ref="CQ8:CS8"/>
    <mergeCell ref="CK7:CM7"/>
    <mergeCell ref="CK8:CM8"/>
    <mergeCell ref="CE37:CG37"/>
    <mergeCell ref="CH7:CJ7"/>
    <mergeCell ref="CH8:CJ8"/>
    <mergeCell ref="CB37:CD37"/>
    <mergeCell ref="CB38:CD38"/>
    <mergeCell ref="BY8:CA8"/>
    <mergeCell ref="BA8:BC8"/>
    <mergeCell ref="BD8:BF8"/>
    <mergeCell ref="AL45:AN45"/>
    <mergeCell ref="BG37:BI37"/>
    <mergeCell ref="CK37:CM37"/>
    <mergeCell ref="CK38:CM38"/>
    <mergeCell ref="AF12:CS12"/>
    <mergeCell ref="AF18:CS18"/>
    <mergeCell ref="AF42:CM42"/>
    <mergeCell ref="BJ37:BL37"/>
    <mergeCell ref="BG38:BI38"/>
    <mergeCell ref="BJ38:BL38"/>
    <mergeCell ref="BM38:BO38"/>
    <mergeCell ref="BP38:BR38"/>
    <mergeCell ref="BS38:BU38"/>
    <mergeCell ref="BM37:BO37"/>
    <mergeCell ref="BP37:BR37"/>
    <mergeCell ref="BS37:BU37"/>
  </mergeCells>
  <hyperlinks>
    <hyperlink ref="B53:Q53" r:id="rId1" display="Source: IPEDS Graduation Rates 200 Survey (GR200)"/>
    <hyperlink ref="B51:P51" r:id="rId2" display="Source: IPEDS Graduation Rate Survey (GRS)"/>
  </hyperlinks>
  <printOptions horizontalCentered="1"/>
  <pageMargins left="0.7" right="0.45" top="0.5" bottom="0.5" header="0.3" footer="0.3"/>
  <pageSetup scale="93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52"/>
  <sheetViews>
    <sheetView zoomScaleNormal="100" workbookViewId="0"/>
  </sheetViews>
  <sheetFormatPr defaultRowHeight="13.5" customHeight="1" x14ac:dyDescent="0.2"/>
  <cols>
    <col min="1" max="3" width="2.7109375" style="1" customWidth="1"/>
    <col min="4" max="4" width="8.7109375" style="1" customWidth="1"/>
    <col min="5" max="5" width="16.7109375" style="1" customWidth="1"/>
    <col min="6" max="21" width="10.7109375" style="1" hidden="1" customWidth="1"/>
    <col min="22" max="27" width="10.7109375" style="1" customWidth="1"/>
    <col min="28" max="28" width="2.7109375" style="1" customWidth="1"/>
    <col min="29" max="30" width="9.140625" style="1" customWidth="1"/>
    <col min="31" max="31" width="16.7109375" style="1" customWidth="1"/>
    <col min="32" max="79" width="7.140625" style="1" hidden="1" customWidth="1"/>
    <col min="80" max="97" width="7.140625" style="1" customWidth="1"/>
    <col min="98" max="16384" width="9.140625" style="1"/>
  </cols>
  <sheetData>
    <row r="1" spans="1:110" ht="13.5" customHeight="1" x14ac:dyDescent="0.2">
      <c r="A1" s="1" t="s">
        <v>0</v>
      </c>
      <c r="I1" s="2"/>
      <c r="J1" s="2"/>
    </row>
    <row r="2" spans="1:110" ht="15" customHeight="1" x14ac:dyDescent="0.25">
      <c r="A2" s="98" t="s">
        <v>20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100"/>
    </row>
    <row r="3" spans="1:110" ht="13.5" customHeight="1" x14ac:dyDescent="0.2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24"/>
    </row>
    <row r="4" spans="1:110" ht="15" customHeight="1" x14ac:dyDescent="0.25">
      <c r="A4" s="23"/>
      <c r="B4" s="29" t="s">
        <v>22</v>
      </c>
      <c r="C4" s="29"/>
      <c r="D4" s="29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24"/>
      <c r="AF4" s="3"/>
      <c r="AG4" s="3"/>
      <c r="AH4" s="3"/>
      <c r="AI4" s="3"/>
      <c r="AJ4" s="3"/>
      <c r="AK4" s="3"/>
    </row>
    <row r="5" spans="1:110" ht="15" customHeight="1" x14ac:dyDescent="0.25">
      <c r="A5" s="23"/>
      <c r="B5" s="30" t="s">
        <v>21</v>
      </c>
      <c r="C5" s="30"/>
      <c r="D5" s="3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24"/>
      <c r="AC5" s="3"/>
      <c r="AD5" s="40" t="s">
        <v>57</v>
      </c>
      <c r="AF5" s="3"/>
      <c r="AG5" s="3"/>
      <c r="AH5" s="3"/>
      <c r="AI5" s="3"/>
      <c r="AJ5" s="3"/>
      <c r="AK5" s="3"/>
      <c r="AL5" s="3"/>
      <c r="AM5" s="3"/>
      <c r="AN5" s="3"/>
    </row>
    <row r="6" spans="1:110" ht="13.5" customHeight="1" thickBot="1" x14ac:dyDescent="0.25">
      <c r="A6" s="2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24"/>
      <c r="AD6" s="40" t="s">
        <v>58</v>
      </c>
    </row>
    <row r="7" spans="1:110" ht="13.5" customHeight="1" thickTop="1" x14ac:dyDescent="0.2">
      <c r="A7" s="23"/>
      <c r="B7" s="4"/>
      <c r="C7" s="4"/>
      <c r="D7" s="4"/>
      <c r="E7" s="4"/>
      <c r="F7" s="34" t="s">
        <v>74</v>
      </c>
      <c r="G7" s="22" t="s">
        <v>75</v>
      </c>
      <c r="H7" s="22" t="s">
        <v>76</v>
      </c>
      <c r="I7" s="22" t="s">
        <v>77</v>
      </c>
      <c r="J7" s="22" t="s">
        <v>78</v>
      </c>
      <c r="K7" s="22" t="s">
        <v>79</v>
      </c>
      <c r="L7" s="22" t="s">
        <v>73</v>
      </c>
      <c r="M7" s="22" t="s">
        <v>72</v>
      </c>
      <c r="N7" s="34" t="s">
        <v>71</v>
      </c>
      <c r="O7" s="35" t="s">
        <v>70</v>
      </c>
      <c r="P7" s="35" t="s">
        <v>69</v>
      </c>
      <c r="Q7" s="35" t="s">
        <v>40</v>
      </c>
      <c r="R7" s="35" t="s">
        <v>39</v>
      </c>
      <c r="S7" s="35" t="s">
        <v>38</v>
      </c>
      <c r="T7" s="35" t="s">
        <v>37</v>
      </c>
      <c r="U7" s="22" t="s">
        <v>36</v>
      </c>
      <c r="V7" s="22" t="s">
        <v>34</v>
      </c>
      <c r="W7" s="35" t="s">
        <v>33</v>
      </c>
      <c r="X7" s="35" t="s">
        <v>32</v>
      </c>
      <c r="Y7" s="35" t="s">
        <v>31</v>
      </c>
      <c r="Z7" s="35" t="s">
        <v>30</v>
      </c>
      <c r="AA7" s="35" t="s">
        <v>29</v>
      </c>
      <c r="AB7" s="24"/>
      <c r="AF7" s="81" t="s">
        <v>41</v>
      </c>
      <c r="AG7" s="81"/>
      <c r="AH7" s="81"/>
      <c r="AI7" s="81" t="s">
        <v>42</v>
      </c>
      <c r="AJ7" s="81"/>
      <c r="AK7" s="81"/>
      <c r="AL7" s="81" t="s">
        <v>43</v>
      </c>
      <c r="AM7" s="81"/>
      <c r="AN7" s="81"/>
      <c r="AO7" s="81" t="s">
        <v>44</v>
      </c>
      <c r="AP7" s="81"/>
      <c r="AQ7" s="81"/>
      <c r="AR7" s="81" t="s">
        <v>45</v>
      </c>
      <c r="AS7" s="81"/>
      <c r="AT7" s="81"/>
      <c r="AU7" s="81" t="s">
        <v>46</v>
      </c>
      <c r="AV7" s="81"/>
      <c r="AW7" s="81"/>
      <c r="AX7" s="81" t="s">
        <v>47</v>
      </c>
      <c r="AY7" s="81"/>
      <c r="AZ7" s="81"/>
      <c r="BA7" s="81" t="s">
        <v>48</v>
      </c>
      <c r="BB7" s="81"/>
      <c r="BC7" s="81"/>
      <c r="BD7" s="81" t="s">
        <v>49</v>
      </c>
      <c r="BE7" s="81"/>
      <c r="BF7" s="81"/>
      <c r="BG7" s="81" t="s">
        <v>50</v>
      </c>
      <c r="BH7" s="81"/>
      <c r="BI7" s="81"/>
      <c r="BJ7" s="81" t="s">
        <v>51</v>
      </c>
      <c r="BK7" s="81"/>
      <c r="BL7" s="81"/>
      <c r="BM7" s="81" t="s">
        <v>52</v>
      </c>
      <c r="BN7" s="81"/>
      <c r="BO7" s="81"/>
      <c r="BP7" s="81" t="s">
        <v>53</v>
      </c>
      <c r="BQ7" s="81"/>
      <c r="BR7" s="81"/>
      <c r="BS7" s="81" t="s">
        <v>54</v>
      </c>
      <c r="BT7" s="81"/>
      <c r="BU7" s="81"/>
      <c r="BV7" s="81" t="s">
        <v>55</v>
      </c>
      <c r="BW7" s="81"/>
      <c r="BX7" s="81"/>
      <c r="BY7" s="81" t="s">
        <v>56</v>
      </c>
      <c r="BZ7" s="81"/>
      <c r="CA7" s="81"/>
      <c r="CB7" s="81" t="s">
        <v>27</v>
      </c>
      <c r="CC7" s="81"/>
      <c r="CD7" s="81"/>
      <c r="CE7" s="81" t="s">
        <v>91</v>
      </c>
      <c r="CF7" s="81"/>
      <c r="CG7" s="81"/>
      <c r="CH7" s="81" t="s">
        <v>98</v>
      </c>
      <c r="CI7" s="81"/>
      <c r="CJ7" s="81"/>
      <c r="CK7" s="81" t="s">
        <v>102</v>
      </c>
      <c r="CL7" s="81"/>
      <c r="CM7" s="81"/>
      <c r="CN7" s="81" t="s">
        <v>105</v>
      </c>
      <c r="CO7" s="81"/>
      <c r="CP7" s="81"/>
      <c r="CQ7" s="81" t="s">
        <v>107</v>
      </c>
      <c r="CR7" s="81"/>
      <c r="CS7" s="81"/>
    </row>
    <row r="8" spans="1:110" ht="13.5" customHeight="1" x14ac:dyDescent="0.2">
      <c r="A8" s="23"/>
      <c r="B8" s="4"/>
      <c r="C8" s="4"/>
      <c r="D8" s="4"/>
      <c r="E8" s="4"/>
      <c r="F8" s="35" t="s">
        <v>35</v>
      </c>
      <c r="G8" s="35" t="s">
        <v>35</v>
      </c>
      <c r="H8" s="35" t="s">
        <v>35</v>
      </c>
      <c r="I8" s="35" t="s">
        <v>35</v>
      </c>
      <c r="J8" s="35" t="s">
        <v>35</v>
      </c>
      <c r="K8" s="35" t="s">
        <v>35</v>
      </c>
      <c r="L8" s="35" t="s">
        <v>35</v>
      </c>
      <c r="M8" s="35" t="s">
        <v>35</v>
      </c>
      <c r="N8" s="35" t="s">
        <v>35</v>
      </c>
      <c r="O8" s="35" t="s">
        <v>35</v>
      </c>
      <c r="P8" s="35" t="s">
        <v>35</v>
      </c>
      <c r="Q8" s="35" t="s">
        <v>35</v>
      </c>
      <c r="R8" s="35" t="s">
        <v>35</v>
      </c>
      <c r="S8" s="35" t="s">
        <v>35</v>
      </c>
      <c r="T8" s="35" t="s">
        <v>35</v>
      </c>
      <c r="U8" s="35" t="s">
        <v>35</v>
      </c>
      <c r="V8" s="22" t="s">
        <v>35</v>
      </c>
      <c r="W8" s="35" t="s">
        <v>35</v>
      </c>
      <c r="X8" s="35" t="s">
        <v>35</v>
      </c>
      <c r="Y8" s="35" t="s">
        <v>35</v>
      </c>
      <c r="Z8" s="35" t="s">
        <v>35</v>
      </c>
      <c r="AA8" s="35" t="s">
        <v>35</v>
      </c>
      <c r="AB8" s="24"/>
      <c r="AC8" s="3"/>
      <c r="AD8" s="3"/>
      <c r="AE8" s="3"/>
      <c r="AF8" s="81" t="s">
        <v>1</v>
      </c>
      <c r="AG8" s="81"/>
      <c r="AH8" s="81"/>
      <c r="AI8" s="81" t="s">
        <v>2</v>
      </c>
      <c r="AJ8" s="81"/>
      <c r="AK8" s="81"/>
      <c r="AL8" s="81" t="s">
        <v>3</v>
      </c>
      <c r="AM8" s="81"/>
      <c r="AN8" s="81"/>
      <c r="AO8" s="81" t="s">
        <v>4</v>
      </c>
      <c r="AP8" s="81"/>
      <c r="AQ8" s="81"/>
      <c r="AR8" s="81" t="s">
        <v>5</v>
      </c>
      <c r="AS8" s="81"/>
      <c r="AT8" s="81"/>
      <c r="AU8" s="81" t="s">
        <v>6</v>
      </c>
      <c r="AV8" s="81"/>
      <c r="AW8" s="81"/>
      <c r="AX8" s="81" t="s">
        <v>7</v>
      </c>
      <c r="AY8" s="81"/>
      <c r="AZ8" s="81"/>
      <c r="BA8" s="81" t="s">
        <v>8</v>
      </c>
      <c r="BB8" s="81"/>
      <c r="BC8" s="81"/>
      <c r="BD8" s="81" t="s">
        <v>9</v>
      </c>
      <c r="BE8" s="81"/>
      <c r="BF8" s="81"/>
      <c r="BG8" s="81" t="s">
        <v>10</v>
      </c>
      <c r="BH8" s="81"/>
      <c r="BI8" s="81"/>
      <c r="BJ8" s="81" t="s">
        <v>11</v>
      </c>
      <c r="BK8" s="81"/>
      <c r="BL8" s="81"/>
      <c r="BM8" s="81" t="s">
        <v>12</v>
      </c>
      <c r="BN8" s="81"/>
      <c r="BO8" s="81"/>
      <c r="BP8" s="81" t="s">
        <v>13</v>
      </c>
      <c r="BQ8" s="81"/>
      <c r="BR8" s="81"/>
      <c r="BS8" s="81" t="s">
        <v>14</v>
      </c>
      <c r="BT8" s="81"/>
      <c r="BU8" s="81"/>
      <c r="BV8" s="81" t="s">
        <v>15</v>
      </c>
      <c r="BW8" s="81"/>
      <c r="BX8" s="81"/>
      <c r="BY8" s="81" t="s">
        <v>16</v>
      </c>
      <c r="BZ8" s="81"/>
      <c r="CA8" s="81"/>
      <c r="CB8" s="81" t="s">
        <v>17</v>
      </c>
      <c r="CC8" s="81"/>
      <c r="CD8" s="81"/>
      <c r="CE8" s="81" t="s">
        <v>92</v>
      </c>
      <c r="CF8" s="81"/>
      <c r="CG8" s="81"/>
      <c r="CH8" s="81" t="s">
        <v>99</v>
      </c>
      <c r="CI8" s="81"/>
      <c r="CJ8" s="81"/>
      <c r="CK8" s="81" t="s">
        <v>101</v>
      </c>
      <c r="CL8" s="81"/>
      <c r="CM8" s="81"/>
      <c r="CN8" s="81" t="s">
        <v>104</v>
      </c>
      <c r="CO8" s="81"/>
      <c r="CP8" s="81"/>
      <c r="CQ8" s="81" t="s">
        <v>108</v>
      </c>
      <c r="CR8" s="81"/>
      <c r="CS8" s="81"/>
    </row>
    <row r="9" spans="1:110" ht="13.5" customHeight="1" x14ac:dyDescent="0.2">
      <c r="A9" s="23"/>
      <c r="B9" s="6"/>
      <c r="C9" s="6"/>
      <c r="D9" s="6"/>
      <c r="E9" s="6"/>
      <c r="F9" s="31" t="s">
        <v>73</v>
      </c>
      <c r="G9" s="31" t="s">
        <v>72</v>
      </c>
      <c r="H9" s="31" t="s">
        <v>71</v>
      </c>
      <c r="I9" s="31" t="s">
        <v>70</v>
      </c>
      <c r="J9" s="31" t="s">
        <v>69</v>
      </c>
      <c r="K9" s="31" t="s">
        <v>40</v>
      </c>
      <c r="L9" s="31" t="s">
        <v>39</v>
      </c>
      <c r="M9" s="31" t="s">
        <v>38</v>
      </c>
      <c r="N9" s="31" t="s">
        <v>37</v>
      </c>
      <c r="O9" s="31" t="s">
        <v>36</v>
      </c>
      <c r="P9" s="31" t="s">
        <v>34</v>
      </c>
      <c r="Q9" s="31" t="s">
        <v>33</v>
      </c>
      <c r="R9" s="31" t="s">
        <v>32</v>
      </c>
      <c r="S9" s="31" t="s">
        <v>31</v>
      </c>
      <c r="T9" s="31" t="s">
        <v>30</v>
      </c>
      <c r="U9" s="31" t="s">
        <v>29</v>
      </c>
      <c r="V9" s="31" t="s">
        <v>28</v>
      </c>
      <c r="W9" s="31" t="s">
        <v>90</v>
      </c>
      <c r="X9" s="31" t="s">
        <v>97</v>
      </c>
      <c r="Y9" s="31" t="s">
        <v>100</v>
      </c>
      <c r="Z9" s="31" t="s">
        <v>103</v>
      </c>
      <c r="AA9" s="31" t="s">
        <v>106</v>
      </c>
      <c r="AB9" s="25"/>
      <c r="AC9" s="7"/>
      <c r="AD9" s="7"/>
      <c r="AE9" s="7"/>
      <c r="AF9" s="35" t="s">
        <v>25</v>
      </c>
      <c r="AG9" s="35" t="s">
        <v>26</v>
      </c>
      <c r="AH9" s="35" t="s">
        <v>18</v>
      </c>
      <c r="AI9" s="35" t="s">
        <v>25</v>
      </c>
      <c r="AJ9" s="35" t="s">
        <v>26</v>
      </c>
      <c r="AK9" s="35" t="s">
        <v>18</v>
      </c>
      <c r="AL9" s="35" t="s">
        <v>25</v>
      </c>
      <c r="AM9" s="35" t="s">
        <v>26</v>
      </c>
      <c r="AN9" s="35" t="s">
        <v>18</v>
      </c>
      <c r="AO9" s="35" t="s">
        <v>25</v>
      </c>
      <c r="AP9" s="35" t="s">
        <v>26</v>
      </c>
      <c r="AQ9" s="35" t="s">
        <v>18</v>
      </c>
      <c r="AR9" s="35" t="s">
        <v>25</v>
      </c>
      <c r="AS9" s="35" t="s">
        <v>26</v>
      </c>
      <c r="AT9" s="35" t="s">
        <v>18</v>
      </c>
      <c r="AU9" s="35" t="s">
        <v>25</v>
      </c>
      <c r="AV9" s="35" t="s">
        <v>26</v>
      </c>
      <c r="AW9" s="35" t="s">
        <v>18</v>
      </c>
      <c r="AX9" s="35" t="s">
        <v>25</v>
      </c>
      <c r="AY9" s="35" t="s">
        <v>26</v>
      </c>
      <c r="AZ9" s="35" t="s">
        <v>18</v>
      </c>
      <c r="BA9" s="35" t="s">
        <v>25</v>
      </c>
      <c r="BB9" s="35" t="s">
        <v>26</v>
      </c>
      <c r="BC9" s="35" t="s">
        <v>18</v>
      </c>
      <c r="BD9" s="35" t="s">
        <v>25</v>
      </c>
      <c r="BE9" s="35" t="s">
        <v>26</v>
      </c>
      <c r="BF9" s="35" t="s">
        <v>18</v>
      </c>
      <c r="BG9" s="35" t="s">
        <v>25</v>
      </c>
      <c r="BH9" s="35" t="s">
        <v>26</v>
      </c>
      <c r="BI9" s="35" t="s">
        <v>18</v>
      </c>
      <c r="BJ9" s="35" t="s">
        <v>25</v>
      </c>
      <c r="BK9" s="35" t="s">
        <v>26</v>
      </c>
      <c r="BL9" s="35" t="s">
        <v>18</v>
      </c>
      <c r="BM9" s="35" t="s">
        <v>25</v>
      </c>
      <c r="BN9" s="35" t="s">
        <v>26</v>
      </c>
      <c r="BO9" s="35" t="s">
        <v>18</v>
      </c>
      <c r="BP9" s="35" t="s">
        <v>25</v>
      </c>
      <c r="BQ9" s="35" t="s">
        <v>26</v>
      </c>
      <c r="BR9" s="35" t="s">
        <v>18</v>
      </c>
      <c r="BS9" s="35" t="s">
        <v>25</v>
      </c>
      <c r="BT9" s="35" t="s">
        <v>26</v>
      </c>
      <c r="BU9" s="35" t="s">
        <v>18</v>
      </c>
      <c r="BV9" s="35" t="s">
        <v>25</v>
      </c>
      <c r="BW9" s="35" t="s">
        <v>26</v>
      </c>
      <c r="BX9" s="35" t="s">
        <v>18</v>
      </c>
      <c r="BY9" s="35" t="s">
        <v>25</v>
      </c>
      <c r="BZ9" s="35" t="s">
        <v>26</v>
      </c>
      <c r="CA9" s="35" t="s">
        <v>18</v>
      </c>
      <c r="CB9" s="35" t="s">
        <v>25</v>
      </c>
      <c r="CC9" s="35" t="s">
        <v>26</v>
      </c>
      <c r="CD9" s="35" t="s">
        <v>18</v>
      </c>
      <c r="CE9" s="35" t="s">
        <v>25</v>
      </c>
      <c r="CF9" s="35" t="s">
        <v>26</v>
      </c>
      <c r="CG9" s="35" t="s">
        <v>18</v>
      </c>
      <c r="CH9" s="35" t="s">
        <v>25</v>
      </c>
      <c r="CI9" s="35" t="s">
        <v>26</v>
      </c>
      <c r="CJ9" s="35" t="s">
        <v>18</v>
      </c>
      <c r="CK9" s="35" t="s">
        <v>25</v>
      </c>
      <c r="CL9" s="35" t="s">
        <v>26</v>
      </c>
      <c r="CM9" s="35" t="s">
        <v>18</v>
      </c>
      <c r="CN9" s="35" t="s">
        <v>25</v>
      </c>
      <c r="CO9" s="35" t="s">
        <v>26</v>
      </c>
      <c r="CP9" s="35" t="s">
        <v>18</v>
      </c>
      <c r="CQ9" s="35" t="s">
        <v>25</v>
      </c>
      <c r="CR9" s="35" t="s">
        <v>26</v>
      </c>
      <c r="CS9" s="35" t="s">
        <v>18</v>
      </c>
    </row>
    <row r="10" spans="1:110" ht="13.5" customHeight="1" x14ac:dyDescent="0.2">
      <c r="A10" s="23"/>
      <c r="B10" s="3"/>
      <c r="C10" s="3"/>
      <c r="D10" s="3"/>
      <c r="E10" s="3"/>
      <c r="F10" s="8"/>
      <c r="G10" s="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24"/>
      <c r="AF10" s="36"/>
      <c r="AG10" s="36"/>
      <c r="AH10" s="36"/>
      <c r="AI10" s="36"/>
      <c r="AJ10" s="36"/>
      <c r="AK10" s="36"/>
      <c r="AL10" s="36"/>
      <c r="AM10" s="36"/>
    </row>
    <row r="11" spans="1:110" ht="13.5" customHeight="1" x14ac:dyDescent="0.2">
      <c r="A11" s="23"/>
      <c r="B11" s="32" t="s">
        <v>24</v>
      </c>
      <c r="C11" s="32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24"/>
      <c r="AF11" s="9"/>
      <c r="AG11" s="9"/>
      <c r="AH11" s="9"/>
      <c r="AI11" s="9"/>
      <c r="AJ11" s="9"/>
      <c r="AK11" s="9"/>
      <c r="AL11" s="9"/>
      <c r="AM11" s="9"/>
    </row>
    <row r="12" spans="1:110" ht="13.5" customHeight="1" x14ac:dyDescent="0.25">
      <c r="A12" s="23"/>
      <c r="B12" s="3"/>
      <c r="C12" s="4" t="s">
        <v>19</v>
      </c>
      <c r="D12" s="3"/>
      <c r="E12" s="38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24"/>
      <c r="AF12" s="96" t="s">
        <v>19</v>
      </c>
      <c r="AG12" s="96"/>
      <c r="AH12" s="96"/>
      <c r="AI12" s="96"/>
      <c r="AJ12" s="96"/>
      <c r="AK12" s="96"/>
      <c r="AL12" s="96"/>
      <c r="AM12" s="96"/>
      <c r="AN12" s="96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</row>
    <row r="13" spans="1:110" ht="13.5" customHeight="1" x14ac:dyDescent="0.2">
      <c r="A13" s="23"/>
      <c r="D13" s="3" t="s">
        <v>65</v>
      </c>
      <c r="E13" s="3"/>
      <c r="F13" s="11">
        <f>AH13</f>
        <v>3366</v>
      </c>
      <c r="G13" s="11">
        <f>AK13</f>
        <v>2904</v>
      </c>
      <c r="H13" s="11">
        <f>AN13</f>
        <v>2898</v>
      </c>
      <c r="I13" s="11">
        <f>AQ13</f>
        <v>3588</v>
      </c>
      <c r="J13" s="11">
        <f>AT13</f>
        <v>3782</v>
      </c>
      <c r="K13" s="11">
        <f>AW13</f>
        <v>3686</v>
      </c>
      <c r="L13" s="11">
        <f>AZ13</f>
        <v>3514</v>
      </c>
      <c r="M13" s="11">
        <f>BC13</f>
        <v>3787</v>
      </c>
      <c r="N13" s="11">
        <f>BF13</f>
        <v>3876</v>
      </c>
      <c r="O13" s="11">
        <f>BI13</f>
        <v>4174</v>
      </c>
      <c r="P13" s="11">
        <f>BL13</f>
        <v>4113</v>
      </c>
      <c r="Q13" s="11">
        <f>BO13</f>
        <v>4379</v>
      </c>
      <c r="R13" s="11">
        <f>BR13</f>
        <v>4605</v>
      </c>
      <c r="S13" s="11">
        <f>BU13</f>
        <v>4625</v>
      </c>
      <c r="T13" s="11">
        <f>BX13</f>
        <v>4662</v>
      </c>
      <c r="U13" s="11">
        <f>CA13</f>
        <v>4783</v>
      </c>
      <c r="V13" s="11">
        <f>CD13</f>
        <v>4897</v>
      </c>
      <c r="W13" s="11">
        <f>CG13</f>
        <v>5698</v>
      </c>
      <c r="X13" s="11">
        <f>CJ13</f>
        <v>5492</v>
      </c>
      <c r="Y13" s="11">
        <f>CM13</f>
        <v>5996</v>
      </c>
      <c r="Z13" s="11">
        <f>CP13</f>
        <v>6046</v>
      </c>
      <c r="AA13" s="11">
        <f>CS13</f>
        <v>6371</v>
      </c>
      <c r="AB13" s="12"/>
      <c r="AD13" s="3" t="s">
        <v>65</v>
      </c>
      <c r="AE13" s="3"/>
      <c r="AF13" s="39">
        <v>1546</v>
      </c>
      <c r="AG13" s="39">
        <v>1820</v>
      </c>
      <c r="AH13" s="39">
        <f>AF13+AG13</f>
        <v>3366</v>
      </c>
      <c r="AI13" s="39">
        <v>1304</v>
      </c>
      <c r="AJ13" s="39">
        <v>1600</v>
      </c>
      <c r="AK13" s="39">
        <f>AI13+AJ13</f>
        <v>2904</v>
      </c>
      <c r="AL13" s="39">
        <v>1387</v>
      </c>
      <c r="AM13" s="39">
        <v>1511</v>
      </c>
      <c r="AN13" s="39">
        <f>AL13+AM13</f>
        <v>2898</v>
      </c>
      <c r="AO13" s="39">
        <v>1569</v>
      </c>
      <c r="AP13" s="39">
        <v>2019</v>
      </c>
      <c r="AQ13" s="39">
        <f>AO13+AP13</f>
        <v>3588</v>
      </c>
      <c r="AR13" s="39">
        <f>1688-5</f>
        <v>1683</v>
      </c>
      <c r="AS13" s="39">
        <f>2102-3</f>
        <v>2099</v>
      </c>
      <c r="AT13" s="39">
        <f>AR13+AS13</f>
        <v>3782</v>
      </c>
      <c r="AU13" s="39">
        <f>1647-7</f>
        <v>1640</v>
      </c>
      <c r="AV13" s="39">
        <f>2051-5</f>
        <v>2046</v>
      </c>
      <c r="AW13" s="39">
        <f>AU13+AV13</f>
        <v>3686</v>
      </c>
      <c r="AX13" s="39">
        <v>1578</v>
      </c>
      <c r="AY13" s="39">
        <v>1936</v>
      </c>
      <c r="AZ13" s="39">
        <f>AX13+AY13</f>
        <v>3514</v>
      </c>
      <c r="BA13" s="39">
        <v>1710</v>
      </c>
      <c r="BB13" s="39">
        <v>2077</v>
      </c>
      <c r="BC13" s="39">
        <f>BA13+BB13</f>
        <v>3787</v>
      </c>
      <c r="BD13" s="39">
        <v>1735</v>
      </c>
      <c r="BE13" s="39">
        <v>2141</v>
      </c>
      <c r="BF13" s="39">
        <f>BD13+BE13</f>
        <v>3876</v>
      </c>
      <c r="BG13" s="39">
        <v>1927</v>
      </c>
      <c r="BH13" s="39">
        <v>2247</v>
      </c>
      <c r="BI13" s="39">
        <f>BG13+BH13</f>
        <v>4174</v>
      </c>
      <c r="BJ13" s="39">
        <v>1937</v>
      </c>
      <c r="BK13" s="39">
        <v>2176</v>
      </c>
      <c r="BL13" s="39">
        <f>BJ13+BK13</f>
        <v>4113</v>
      </c>
      <c r="BM13" s="39">
        <v>2095</v>
      </c>
      <c r="BN13" s="39">
        <v>2284</v>
      </c>
      <c r="BO13" s="39">
        <f>BM13+BN13</f>
        <v>4379</v>
      </c>
      <c r="BP13" s="39">
        <v>2162</v>
      </c>
      <c r="BQ13" s="39">
        <v>2443</v>
      </c>
      <c r="BR13" s="39">
        <f>BP13+BQ13</f>
        <v>4605</v>
      </c>
      <c r="BS13" s="39">
        <v>2183</v>
      </c>
      <c r="BT13" s="39">
        <v>2442</v>
      </c>
      <c r="BU13" s="39">
        <f>BS13+BT13</f>
        <v>4625</v>
      </c>
      <c r="BV13" s="39">
        <v>2149</v>
      </c>
      <c r="BW13" s="39">
        <v>2513</v>
      </c>
      <c r="BX13" s="39">
        <f>BV13+BW13</f>
        <v>4662</v>
      </c>
      <c r="BY13" s="39">
        <v>2221</v>
      </c>
      <c r="BZ13" s="39">
        <v>2562</v>
      </c>
      <c r="CA13" s="39">
        <f>BY13+BZ13</f>
        <v>4783</v>
      </c>
      <c r="CB13" s="39">
        <v>2225</v>
      </c>
      <c r="CC13" s="39">
        <v>2672</v>
      </c>
      <c r="CD13" s="39">
        <f>CB13+CC13</f>
        <v>4897</v>
      </c>
      <c r="CE13" s="39">
        <v>2667</v>
      </c>
      <c r="CF13" s="39">
        <v>3031</v>
      </c>
      <c r="CG13" s="39">
        <f>CE13+CF13</f>
        <v>5698</v>
      </c>
      <c r="CH13" s="39">
        <v>2534</v>
      </c>
      <c r="CI13" s="39">
        <v>2958</v>
      </c>
      <c r="CJ13" s="39">
        <f>CH13+CI13</f>
        <v>5492</v>
      </c>
      <c r="CK13" s="39">
        <v>2821</v>
      </c>
      <c r="CL13" s="39">
        <v>3175</v>
      </c>
      <c r="CM13" s="39">
        <f>CK13+CL13</f>
        <v>5996</v>
      </c>
      <c r="CN13" s="39">
        <v>2801</v>
      </c>
      <c r="CO13" s="39">
        <v>3245</v>
      </c>
      <c r="CP13" s="39">
        <f>CN13+CO13</f>
        <v>6046</v>
      </c>
      <c r="CQ13" s="39">
        <v>2981</v>
      </c>
      <c r="CR13" s="39">
        <v>3390</v>
      </c>
      <c r="CS13" s="39">
        <f>CQ13+CR13</f>
        <v>6371</v>
      </c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</row>
    <row r="14" spans="1:110" ht="13.5" customHeight="1" x14ac:dyDescent="0.2">
      <c r="A14" s="23"/>
      <c r="D14" s="15" t="s">
        <v>59</v>
      </c>
      <c r="E14" s="3" t="s">
        <v>60</v>
      </c>
      <c r="F14" s="15">
        <f>IF(AH13&gt;0,(AH14/AH13),"")</f>
        <v>0.28461081402257871</v>
      </c>
      <c r="G14" s="15">
        <f>IF(AK13&gt;0,(AK14/AK13),"")</f>
        <v>0.28512396694214875</v>
      </c>
      <c r="H14" s="15">
        <f>IF(AN13&gt;0,(AN14/AN13),"")</f>
        <v>0.2857142857142857</v>
      </c>
      <c r="I14" s="15">
        <f>IF(AQ13&gt;0,(AQ14/AQ13),"")</f>
        <v>0.29292084726867335</v>
      </c>
      <c r="J14" s="15">
        <f>IF(AT13&gt;0,(AT14/AT13),"")</f>
        <v>0.31993654151242729</v>
      </c>
      <c r="K14" s="15">
        <f>IF(AW13&gt;0,(AW14/AW13),"")</f>
        <v>0.34780249593054802</v>
      </c>
      <c r="L14" s="15">
        <f>IF(AZ13&gt;0,(AZ14/AZ13),"")</f>
        <v>0.36710301650540694</v>
      </c>
      <c r="M14" s="15">
        <f>IF(BC13&gt;0,(BC14/BC13),"")</f>
        <v>0.37628729865328758</v>
      </c>
      <c r="N14" s="15">
        <f>IF(BF13&gt;0,(BF14/BF13),"")</f>
        <v>0.37874097007223945</v>
      </c>
      <c r="O14" s="15">
        <f>IF(BI13&gt;0,(BI14/BI13),"")</f>
        <v>0.39698131288931482</v>
      </c>
      <c r="P14" s="15">
        <f>IF(BL13&gt;0,(BL14/BL13),"")</f>
        <v>0.4099197665937272</v>
      </c>
      <c r="Q14" s="15">
        <f>IF(BO13&gt;0,(BO14/BO13),"")</f>
        <v>0.41402146608814799</v>
      </c>
      <c r="R14" s="15">
        <f>IF(BR13&gt;0,(BR14/BR13),"")</f>
        <v>0.43105320304017375</v>
      </c>
      <c r="S14" s="15">
        <f>IF(BU13&gt;0,(BU14/BU13),"")</f>
        <v>0.43091891891891893</v>
      </c>
      <c r="T14" s="15">
        <f>IF(BX13&gt;0,(BX14/BX13),"")</f>
        <v>0.44766194766194767</v>
      </c>
      <c r="U14" s="15">
        <f>IF(CA13&gt;0,(CA14/CA13),"")</f>
        <v>0.4670708760192348</v>
      </c>
      <c r="V14" s="15">
        <f>IF(CD13&gt;0,(CD14/CD13),"")</f>
        <v>0.47069634470083727</v>
      </c>
      <c r="W14" s="15">
        <f>CG14/CG$13</f>
        <v>0.46016146016146015</v>
      </c>
      <c r="X14" s="15">
        <f>CJ14/CJ$13</f>
        <v>0.46012381646030592</v>
      </c>
      <c r="Y14" s="15">
        <f t="shared" ref="Y14:Y17" si="0">CM14/CM$13</f>
        <v>0.44046030687124749</v>
      </c>
      <c r="Z14" s="15">
        <f>CP14/CP$13</f>
        <v>0.43979490572279195</v>
      </c>
      <c r="AA14" s="15">
        <f>CS14/CS$13</f>
        <v>0.45879767697378748</v>
      </c>
      <c r="AB14" s="24"/>
      <c r="AD14" s="15" t="s">
        <v>59</v>
      </c>
      <c r="AE14" s="3" t="s">
        <v>60</v>
      </c>
      <c r="AF14" s="39">
        <v>356</v>
      </c>
      <c r="AG14" s="39">
        <v>602</v>
      </c>
      <c r="AH14" s="39">
        <f t="shared" ref="AH14:AH16" si="1">AF14+AG14</f>
        <v>958</v>
      </c>
      <c r="AI14" s="39">
        <v>305</v>
      </c>
      <c r="AJ14" s="39">
        <v>523</v>
      </c>
      <c r="AK14" s="39">
        <f t="shared" ref="AK14:AK16" si="2">AI14+AJ14</f>
        <v>828</v>
      </c>
      <c r="AL14" s="39">
        <v>320</v>
      </c>
      <c r="AM14" s="39">
        <v>508</v>
      </c>
      <c r="AN14" s="39">
        <f t="shared" ref="AN14:AN16" si="3">AL14+AM14</f>
        <v>828</v>
      </c>
      <c r="AO14" s="39">
        <v>366</v>
      </c>
      <c r="AP14" s="39">
        <v>685</v>
      </c>
      <c r="AQ14" s="39">
        <f t="shared" ref="AQ14:AQ16" si="4">AO14+AP14</f>
        <v>1051</v>
      </c>
      <c r="AR14" s="39">
        <v>420</v>
      </c>
      <c r="AS14" s="39">
        <v>790</v>
      </c>
      <c r="AT14" s="39">
        <f t="shared" ref="AT14:AT16" si="5">AR14+AS14</f>
        <v>1210</v>
      </c>
      <c r="AU14" s="39">
        <v>462</v>
      </c>
      <c r="AV14" s="39">
        <v>820</v>
      </c>
      <c r="AW14" s="39">
        <f t="shared" ref="AW14:AW16" si="6">AU14+AV14</f>
        <v>1282</v>
      </c>
      <c r="AX14" s="39">
        <v>461</v>
      </c>
      <c r="AY14" s="39">
        <v>829</v>
      </c>
      <c r="AZ14" s="39">
        <f t="shared" ref="AZ14:AZ16" si="7">AX14+AY14</f>
        <v>1290</v>
      </c>
      <c r="BA14" s="39">
        <v>500</v>
      </c>
      <c r="BB14" s="39">
        <v>925</v>
      </c>
      <c r="BC14" s="39">
        <f t="shared" ref="BC14:BC16" si="8">BA14+BB14</f>
        <v>1425</v>
      </c>
      <c r="BD14" s="39">
        <v>525</v>
      </c>
      <c r="BE14" s="39">
        <v>943</v>
      </c>
      <c r="BF14" s="39">
        <f t="shared" ref="BF14:BF16" si="9">BD14+BE14</f>
        <v>1468</v>
      </c>
      <c r="BG14" s="39">
        <v>609</v>
      </c>
      <c r="BH14" s="39">
        <v>1048</v>
      </c>
      <c r="BI14" s="39">
        <f t="shared" ref="BI14:BI16" si="10">BG14+BH14</f>
        <v>1657</v>
      </c>
      <c r="BJ14" s="39">
        <v>643</v>
      </c>
      <c r="BK14" s="39">
        <v>1043</v>
      </c>
      <c r="BL14" s="39">
        <f t="shared" ref="BL14:BL16" si="11">BJ14+BK14</f>
        <v>1686</v>
      </c>
      <c r="BM14" s="39">
        <v>669</v>
      </c>
      <c r="BN14" s="39">
        <v>1144</v>
      </c>
      <c r="BO14" s="39">
        <f t="shared" ref="BO14:BO16" si="12">BM14+BN14</f>
        <v>1813</v>
      </c>
      <c r="BP14" s="39">
        <v>737</v>
      </c>
      <c r="BQ14" s="39">
        <v>1248</v>
      </c>
      <c r="BR14" s="39">
        <f t="shared" ref="BR14:BR16" si="13">BP14+BQ14</f>
        <v>1985</v>
      </c>
      <c r="BS14" s="39">
        <v>765</v>
      </c>
      <c r="BT14" s="39">
        <v>1228</v>
      </c>
      <c r="BU14" s="39">
        <f t="shared" ref="BU14:BU16" si="14">BS14+BT14</f>
        <v>1993</v>
      </c>
      <c r="BV14" s="39">
        <v>810</v>
      </c>
      <c r="BW14" s="39">
        <v>1277</v>
      </c>
      <c r="BX14" s="39">
        <f t="shared" ref="BX14:BX16" si="15">BV14+BW14</f>
        <v>2087</v>
      </c>
      <c r="BY14" s="39">
        <v>835</v>
      </c>
      <c r="BZ14" s="39">
        <v>1399</v>
      </c>
      <c r="CA14" s="39">
        <f t="shared" ref="CA14:CA16" si="16">BY14+BZ14</f>
        <v>2234</v>
      </c>
      <c r="CB14" s="39">
        <v>829</v>
      </c>
      <c r="CC14" s="39">
        <v>1476</v>
      </c>
      <c r="CD14" s="39">
        <f t="shared" ref="CD14:CD16" si="17">CB14+CC14</f>
        <v>2305</v>
      </c>
      <c r="CE14" s="39">
        <v>1004</v>
      </c>
      <c r="CF14" s="39">
        <v>1618</v>
      </c>
      <c r="CG14" s="39">
        <f t="shared" ref="CG14:CG16" si="18">CE14+CF14</f>
        <v>2622</v>
      </c>
      <c r="CH14" s="39">
        <v>907</v>
      </c>
      <c r="CI14" s="39">
        <v>1620</v>
      </c>
      <c r="CJ14" s="39">
        <f t="shared" ref="CJ14:CJ16" si="19">CH14+CI14</f>
        <v>2527</v>
      </c>
      <c r="CK14" s="39">
        <v>963</v>
      </c>
      <c r="CL14" s="39">
        <v>1678</v>
      </c>
      <c r="CM14" s="39">
        <f t="shared" ref="CM14:CM16" si="20">CK14+CL14</f>
        <v>2641</v>
      </c>
      <c r="CN14" s="39">
        <v>956</v>
      </c>
      <c r="CO14" s="39">
        <v>1703</v>
      </c>
      <c r="CP14" s="39">
        <f t="shared" ref="CP14:CP16" si="21">CN14+CO14</f>
        <v>2659</v>
      </c>
      <c r="CQ14" s="39">
        <v>1049</v>
      </c>
      <c r="CR14" s="39">
        <v>1874</v>
      </c>
      <c r="CS14" s="39">
        <f t="shared" ref="CS14:CS16" si="22">CQ14+CR14</f>
        <v>2923</v>
      </c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</row>
    <row r="15" spans="1:110" ht="13.5" customHeight="1" x14ac:dyDescent="0.2">
      <c r="A15" s="23"/>
      <c r="D15" s="3"/>
      <c r="E15" s="3" t="s">
        <v>61</v>
      </c>
      <c r="F15" s="15">
        <f>IF(AH13&gt;0,(AH15/AH13),"")</f>
        <v>0.24301841948900774</v>
      </c>
      <c r="G15" s="15">
        <f>IF(AK13&gt;0,(AK15/AK13),"")</f>
        <v>0.27203856749311295</v>
      </c>
      <c r="H15" s="15">
        <f>IF(AN13&gt;0,(AN15/AN13),"")</f>
        <v>0.2726017943409248</v>
      </c>
      <c r="I15" s="15">
        <f>IF(AQ13&gt;0,(AQ15/AQ13),"")</f>
        <v>0.26198439241917504</v>
      </c>
      <c r="J15" s="15">
        <f>IF(AT13&gt;0,(AT15/AT13),"")</f>
        <v>0.27683765203595984</v>
      </c>
      <c r="K15" s="15">
        <f>IF(AW13&gt;0,(AW15/AW13),"")</f>
        <v>0.25691806836679326</v>
      </c>
      <c r="L15" s="15">
        <f>IF(AZ13&gt;0,(AZ15/AZ13),"")</f>
        <v>0.2620944792259533</v>
      </c>
      <c r="M15" s="15">
        <f>IF(BC13&gt;0,(BC15/BC13),"")</f>
        <v>0.26828624240823873</v>
      </c>
      <c r="N15" s="15">
        <f>IF(BF13&gt;0,(BF15/BF13),"")</f>
        <v>0.24716202270381837</v>
      </c>
      <c r="O15" s="15">
        <f>IF(BI13&gt;0,(BI15/BI13),"")</f>
        <v>0.25419262098706275</v>
      </c>
      <c r="P15" s="15">
        <f>IF(BL13&gt;0,(BL15/BL13),"")</f>
        <v>0.23048869438366157</v>
      </c>
      <c r="Q15" s="15">
        <f>IF(BO13&gt;0,(BO15/BO13),"")</f>
        <v>0.23772550810687371</v>
      </c>
      <c r="R15" s="15">
        <f>IF(BR13&gt;0,(BR15/BR13),"")</f>
        <v>0.21693811074918568</v>
      </c>
      <c r="S15" s="15">
        <f>IF(BU13&gt;0,(BU15/BU13),"")</f>
        <v>0.22616216216216217</v>
      </c>
      <c r="T15" s="15">
        <f>IF(BX13&gt;0,(BX15/BX13),"")</f>
        <v>0.20935220935220936</v>
      </c>
      <c r="U15" s="15">
        <f>IF(CA13&gt;0,(CA15/CA13),"")</f>
        <v>0.20949195065858248</v>
      </c>
      <c r="V15" s="15">
        <f>IF(CD13&gt;0,(CD15/CD13),"")</f>
        <v>0.20032673065141923</v>
      </c>
      <c r="W15" s="15">
        <f t="shared" ref="W15:W17" si="23">CG15/CG$13</f>
        <v>0.20410670410670412</v>
      </c>
      <c r="X15" s="15">
        <f>CJ15/CJ$13</f>
        <v>0.19774217042971595</v>
      </c>
      <c r="Y15" s="15">
        <f t="shared" si="0"/>
        <v>0.20663775850567045</v>
      </c>
      <c r="Z15" s="15">
        <f>CP15/CP$13</f>
        <v>0.21088322858087993</v>
      </c>
      <c r="AA15" s="15">
        <f t="shared" ref="AA15:AA17" si="24">CS15/CS$13</f>
        <v>0.20750274682153508</v>
      </c>
      <c r="AB15" s="24"/>
      <c r="AD15" s="3"/>
      <c r="AE15" s="3" t="s">
        <v>61</v>
      </c>
      <c r="AF15" s="39">
        <v>416</v>
      </c>
      <c r="AG15" s="39">
        <v>402</v>
      </c>
      <c r="AH15" s="39">
        <f t="shared" si="1"/>
        <v>818</v>
      </c>
      <c r="AI15" s="39">
        <v>376</v>
      </c>
      <c r="AJ15" s="39">
        <v>414</v>
      </c>
      <c r="AK15" s="39">
        <f t="shared" si="2"/>
        <v>790</v>
      </c>
      <c r="AL15" s="39">
        <v>392</v>
      </c>
      <c r="AM15" s="39">
        <v>398</v>
      </c>
      <c r="AN15" s="39">
        <f t="shared" si="3"/>
        <v>790</v>
      </c>
      <c r="AO15" s="39">
        <v>447</v>
      </c>
      <c r="AP15" s="39">
        <v>493</v>
      </c>
      <c r="AQ15" s="39">
        <f t="shared" si="4"/>
        <v>940</v>
      </c>
      <c r="AR15" s="39">
        <v>526</v>
      </c>
      <c r="AS15" s="39">
        <v>521</v>
      </c>
      <c r="AT15" s="39">
        <f t="shared" si="5"/>
        <v>1047</v>
      </c>
      <c r="AU15" s="39">
        <v>471</v>
      </c>
      <c r="AV15" s="39">
        <v>476</v>
      </c>
      <c r="AW15" s="39">
        <f t="shared" si="6"/>
        <v>947</v>
      </c>
      <c r="AX15" s="39">
        <v>447</v>
      </c>
      <c r="AY15" s="39">
        <v>474</v>
      </c>
      <c r="AZ15" s="39">
        <f t="shared" si="7"/>
        <v>921</v>
      </c>
      <c r="BA15" s="39">
        <v>516</v>
      </c>
      <c r="BB15" s="39">
        <v>500</v>
      </c>
      <c r="BC15" s="39">
        <f t="shared" si="8"/>
        <v>1016</v>
      </c>
      <c r="BD15" s="39">
        <v>498</v>
      </c>
      <c r="BE15" s="39">
        <v>460</v>
      </c>
      <c r="BF15" s="39">
        <f t="shared" si="9"/>
        <v>958</v>
      </c>
      <c r="BG15" s="39">
        <v>581</v>
      </c>
      <c r="BH15" s="39">
        <v>480</v>
      </c>
      <c r="BI15" s="39">
        <f t="shared" si="10"/>
        <v>1061</v>
      </c>
      <c r="BJ15" s="39">
        <v>514</v>
      </c>
      <c r="BK15" s="39">
        <v>434</v>
      </c>
      <c r="BL15" s="39">
        <f t="shared" si="11"/>
        <v>948</v>
      </c>
      <c r="BM15" s="39">
        <v>584</v>
      </c>
      <c r="BN15" s="39">
        <v>457</v>
      </c>
      <c r="BO15" s="39">
        <f t="shared" si="12"/>
        <v>1041</v>
      </c>
      <c r="BP15" s="39">
        <v>551</v>
      </c>
      <c r="BQ15" s="39">
        <v>448</v>
      </c>
      <c r="BR15" s="39">
        <f t="shared" si="13"/>
        <v>999</v>
      </c>
      <c r="BS15" s="39">
        <v>593</v>
      </c>
      <c r="BT15" s="39">
        <v>453</v>
      </c>
      <c r="BU15" s="39">
        <f t="shared" si="14"/>
        <v>1046</v>
      </c>
      <c r="BV15" s="39">
        <v>535</v>
      </c>
      <c r="BW15" s="39">
        <v>441</v>
      </c>
      <c r="BX15" s="39">
        <f t="shared" si="15"/>
        <v>976</v>
      </c>
      <c r="BY15" s="39">
        <v>573</v>
      </c>
      <c r="BZ15" s="39">
        <v>429</v>
      </c>
      <c r="CA15" s="39">
        <f t="shared" si="16"/>
        <v>1002</v>
      </c>
      <c r="CB15" s="39">
        <v>559</v>
      </c>
      <c r="CC15" s="39">
        <v>422</v>
      </c>
      <c r="CD15" s="39">
        <f t="shared" si="17"/>
        <v>981</v>
      </c>
      <c r="CE15" s="39">
        <v>663</v>
      </c>
      <c r="CF15" s="39">
        <v>500</v>
      </c>
      <c r="CG15" s="39">
        <f t="shared" si="18"/>
        <v>1163</v>
      </c>
      <c r="CH15" s="39">
        <v>619</v>
      </c>
      <c r="CI15" s="39">
        <v>467</v>
      </c>
      <c r="CJ15" s="39">
        <f t="shared" si="19"/>
        <v>1086</v>
      </c>
      <c r="CK15" s="39">
        <v>720</v>
      </c>
      <c r="CL15" s="39">
        <v>519</v>
      </c>
      <c r="CM15" s="39">
        <f t="shared" si="20"/>
        <v>1239</v>
      </c>
      <c r="CN15" s="39">
        <v>721</v>
      </c>
      <c r="CO15" s="39">
        <v>554</v>
      </c>
      <c r="CP15" s="39">
        <f t="shared" si="21"/>
        <v>1275</v>
      </c>
      <c r="CQ15" s="39">
        <v>774</v>
      </c>
      <c r="CR15" s="39">
        <v>548</v>
      </c>
      <c r="CS15" s="39">
        <f t="shared" si="22"/>
        <v>1322</v>
      </c>
    </row>
    <row r="16" spans="1:110" ht="13.5" customHeight="1" x14ac:dyDescent="0.2">
      <c r="A16" s="23"/>
      <c r="D16" s="3"/>
      <c r="E16" s="3" t="s">
        <v>62</v>
      </c>
      <c r="F16" s="18">
        <f>IF(AH13&gt;0,(AH16/AH13),"")</f>
        <v>4.7831253713606657E-2</v>
      </c>
      <c r="G16" s="18">
        <f>IF(AK13&gt;0,(AK16/AK13),"")</f>
        <v>4.0289256198347105E-2</v>
      </c>
      <c r="H16" s="18">
        <f>IF(AN13&gt;0,(AN16/AN13),"")</f>
        <v>4.3133195307108352E-2</v>
      </c>
      <c r="I16" s="18">
        <f>IF(AQ13&gt;0,(AQ16/AQ13),"")</f>
        <v>4.403567447045708E-2</v>
      </c>
      <c r="J16" s="18">
        <f>IF(AT13&gt;0,(AT16/AT13),"")</f>
        <v>5.129561078794289E-2</v>
      </c>
      <c r="K16" s="18">
        <f>IF(AW13&gt;0,(AW16/AW13),"")</f>
        <v>4.6391752577319589E-2</v>
      </c>
      <c r="L16" s="18">
        <f>IF(AZ13&gt;0,(AZ16/AZ13),"")</f>
        <v>3.4718269778030733E-2</v>
      </c>
      <c r="M16" s="18">
        <f>IF(BC13&gt;0,(BC16/BC13),"")</f>
        <v>3.3007657776604173E-2</v>
      </c>
      <c r="N16" s="18">
        <f>IF(BF13&gt;0,(BF16/BF13),"")</f>
        <v>3.3539731682146544E-2</v>
      </c>
      <c r="O16" s="18">
        <f>IF(BI13&gt;0,(BI16/BI13),"")</f>
        <v>3.6895064686152369E-2</v>
      </c>
      <c r="P16" s="18">
        <f>IF(BL13&gt;0,(BL16/BL13),"")</f>
        <v>3.1850230974957455E-2</v>
      </c>
      <c r="Q16" s="18">
        <f>IF(BO13&gt;0,(BO16/BO13),"")</f>
        <v>3.8364923498515641E-2</v>
      </c>
      <c r="R16" s="18">
        <f>IF(BR13&gt;0,(BR16/BR13),"")</f>
        <v>3.1487513572204126E-2</v>
      </c>
      <c r="S16" s="18">
        <f>IF(BU13&gt;0,(BU16/BU13),"")</f>
        <v>3.6540540540540539E-2</v>
      </c>
      <c r="T16" s="18">
        <f>IF(BX13&gt;0,(BX16/BX13),"")</f>
        <v>3.196053196053196E-2</v>
      </c>
      <c r="U16" s="18">
        <f>IF(CA13&gt;0,(CA16/CA13),"")</f>
        <v>3.1779218063976586E-2</v>
      </c>
      <c r="V16" s="18">
        <f>IF(CD13&gt;0,(CD16/CD13),"")</f>
        <v>3.0222585256279355E-2</v>
      </c>
      <c r="W16" s="18">
        <f t="shared" si="23"/>
        <v>3.0537030537030538E-2</v>
      </c>
      <c r="X16" s="18">
        <f>CJ16/CJ$13</f>
        <v>2.9861616897305172E-2</v>
      </c>
      <c r="Y16" s="18">
        <f t="shared" si="0"/>
        <v>3.602401601067378E-2</v>
      </c>
      <c r="Z16" s="18">
        <f>CP16/CP$13</f>
        <v>3.1591134634469067E-2</v>
      </c>
      <c r="AA16" s="18">
        <f t="shared" si="24"/>
        <v>2.3858107047559252E-2</v>
      </c>
      <c r="AB16" s="24"/>
      <c r="AD16" s="3"/>
      <c r="AE16" s="3" t="s">
        <v>62</v>
      </c>
      <c r="AF16" s="41">
        <v>83</v>
      </c>
      <c r="AG16" s="41">
        <v>78</v>
      </c>
      <c r="AH16" s="41">
        <f t="shared" si="1"/>
        <v>161</v>
      </c>
      <c r="AI16" s="41">
        <v>63</v>
      </c>
      <c r="AJ16" s="41">
        <v>54</v>
      </c>
      <c r="AK16" s="41">
        <f t="shared" si="2"/>
        <v>117</v>
      </c>
      <c r="AL16" s="41">
        <v>73</v>
      </c>
      <c r="AM16" s="41">
        <v>52</v>
      </c>
      <c r="AN16" s="41">
        <f t="shared" si="3"/>
        <v>125</v>
      </c>
      <c r="AO16" s="41">
        <v>77</v>
      </c>
      <c r="AP16" s="41">
        <v>81</v>
      </c>
      <c r="AQ16" s="41">
        <f t="shared" si="4"/>
        <v>158</v>
      </c>
      <c r="AR16" s="41">
        <v>103</v>
      </c>
      <c r="AS16" s="41">
        <v>91</v>
      </c>
      <c r="AT16" s="41">
        <f t="shared" si="5"/>
        <v>194</v>
      </c>
      <c r="AU16" s="41">
        <v>101</v>
      </c>
      <c r="AV16" s="41">
        <v>70</v>
      </c>
      <c r="AW16" s="41">
        <f t="shared" si="6"/>
        <v>171</v>
      </c>
      <c r="AX16" s="41">
        <v>64</v>
      </c>
      <c r="AY16" s="41">
        <v>58</v>
      </c>
      <c r="AZ16" s="41">
        <f t="shared" si="7"/>
        <v>122</v>
      </c>
      <c r="BA16" s="41">
        <v>74</v>
      </c>
      <c r="BB16" s="41">
        <v>51</v>
      </c>
      <c r="BC16" s="41">
        <f t="shared" si="8"/>
        <v>125</v>
      </c>
      <c r="BD16" s="41">
        <v>77</v>
      </c>
      <c r="BE16" s="41">
        <v>53</v>
      </c>
      <c r="BF16" s="41">
        <f t="shared" si="9"/>
        <v>130</v>
      </c>
      <c r="BG16" s="41">
        <v>87</v>
      </c>
      <c r="BH16" s="41">
        <v>67</v>
      </c>
      <c r="BI16" s="41">
        <f t="shared" si="10"/>
        <v>154</v>
      </c>
      <c r="BJ16" s="41">
        <v>82</v>
      </c>
      <c r="BK16" s="41">
        <v>49</v>
      </c>
      <c r="BL16" s="41">
        <f t="shared" si="11"/>
        <v>131</v>
      </c>
      <c r="BM16" s="41">
        <v>99</v>
      </c>
      <c r="BN16" s="41">
        <v>69</v>
      </c>
      <c r="BO16" s="41">
        <f t="shared" si="12"/>
        <v>168</v>
      </c>
      <c r="BP16" s="41">
        <v>94</v>
      </c>
      <c r="BQ16" s="41">
        <v>51</v>
      </c>
      <c r="BR16" s="41">
        <f t="shared" si="13"/>
        <v>145</v>
      </c>
      <c r="BS16" s="41">
        <v>104</v>
      </c>
      <c r="BT16" s="41">
        <v>65</v>
      </c>
      <c r="BU16" s="41">
        <f t="shared" si="14"/>
        <v>169</v>
      </c>
      <c r="BV16" s="41">
        <v>96</v>
      </c>
      <c r="BW16" s="41">
        <v>53</v>
      </c>
      <c r="BX16" s="41">
        <f t="shared" si="15"/>
        <v>149</v>
      </c>
      <c r="BY16" s="41">
        <v>88</v>
      </c>
      <c r="BZ16" s="41">
        <v>64</v>
      </c>
      <c r="CA16" s="41">
        <f t="shared" si="16"/>
        <v>152</v>
      </c>
      <c r="CB16" s="41">
        <v>84</v>
      </c>
      <c r="CC16" s="41">
        <v>64</v>
      </c>
      <c r="CD16" s="41">
        <f t="shared" si="17"/>
        <v>148</v>
      </c>
      <c r="CE16" s="41">
        <v>108</v>
      </c>
      <c r="CF16" s="41">
        <v>66</v>
      </c>
      <c r="CG16" s="41">
        <f t="shared" si="18"/>
        <v>174</v>
      </c>
      <c r="CH16" s="41">
        <v>104</v>
      </c>
      <c r="CI16" s="41">
        <v>60</v>
      </c>
      <c r="CJ16" s="41">
        <f t="shared" si="19"/>
        <v>164</v>
      </c>
      <c r="CK16" s="41">
        <v>143</v>
      </c>
      <c r="CL16" s="41">
        <v>73</v>
      </c>
      <c r="CM16" s="41">
        <f t="shared" si="20"/>
        <v>216</v>
      </c>
      <c r="CN16" s="41">
        <v>132</v>
      </c>
      <c r="CO16" s="41">
        <v>59</v>
      </c>
      <c r="CP16" s="41">
        <f t="shared" si="21"/>
        <v>191</v>
      </c>
      <c r="CQ16" s="41">
        <v>108</v>
      </c>
      <c r="CR16" s="41">
        <v>44</v>
      </c>
      <c r="CS16" s="39">
        <f t="shared" si="22"/>
        <v>152</v>
      </c>
    </row>
    <row r="17" spans="1:97" ht="13.5" customHeight="1" x14ac:dyDescent="0.2">
      <c r="A17" s="23"/>
      <c r="D17" s="3"/>
      <c r="E17" s="3"/>
      <c r="F17" s="15">
        <f>IF(AH13&gt;0,(AH17/AH13),"")</f>
        <v>0.57546048722519316</v>
      </c>
      <c r="G17" s="15">
        <f>IF(AK13&gt;0,(AK17/AK13),"")</f>
        <v>0.59745179063360887</v>
      </c>
      <c r="H17" s="15">
        <f>IF(AN13&gt;0,(AN17/AN13),"")</f>
        <v>0.60144927536231885</v>
      </c>
      <c r="I17" s="15">
        <f>IF(AQ13&gt;0,(AQ17/AQ13),"")</f>
        <v>0.59894091415830542</v>
      </c>
      <c r="J17" s="15">
        <f>IF(AT13&gt;0,(AT17/AT13),"")</f>
        <v>0.64806980433632999</v>
      </c>
      <c r="K17" s="15">
        <f>IF(AW13&gt;0,(AW17/AW13),"")</f>
        <v>0.65111231687466087</v>
      </c>
      <c r="L17" s="15">
        <f>IF(AZ13&gt;0,(AZ17/AZ13),"")</f>
        <v>0.66391576550939102</v>
      </c>
      <c r="M17" s="15">
        <f>IF(BC13&gt;0,(BC17/BC13),"")</f>
        <v>0.67758119883813039</v>
      </c>
      <c r="N17" s="15">
        <f>IF(BF13&gt;0,(BF17/BF13),"")</f>
        <v>0.65944272445820429</v>
      </c>
      <c r="O17" s="15">
        <f>IF(BI13&gt;0,(BI17/BI13),"")</f>
        <v>0.6880689985625299</v>
      </c>
      <c r="P17" s="15">
        <f>IF(BL13&gt;0,(BL17/BL13),"")</f>
        <v>0.67225869195234622</v>
      </c>
      <c r="Q17" s="15">
        <f>IF(BO13&gt;0,(BO17/BO13),"")</f>
        <v>0.69011189769353731</v>
      </c>
      <c r="R17" s="15">
        <f>IF(BR13&gt;0,(BR17/BR13),"")</f>
        <v>0.67947882736156351</v>
      </c>
      <c r="S17" s="15">
        <f>IF(BU13&gt;0,(BU17/BU13),"")</f>
        <v>0.69362162162162166</v>
      </c>
      <c r="T17" s="15">
        <f>IF(BX13&gt;0,(BX17/BX13),"")</f>
        <v>0.68897468897468894</v>
      </c>
      <c r="U17" s="15">
        <f>IF(CA13&gt;0,(CA17/CA13),"")</f>
        <v>0.70834204474179385</v>
      </c>
      <c r="V17" s="15">
        <f>IF(CD13&gt;0,(CD17/CD13),"")</f>
        <v>0.70124566060853588</v>
      </c>
      <c r="W17" s="15">
        <f t="shared" si="23"/>
        <v>0.69480519480519476</v>
      </c>
      <c r="X17" s="15">
        <f>CJ17/CJ$13</f>
        <v>0.687727603787327</v>
      </c>
      <c r="Y17" s="15">
        <f t="shared" si="0"/>
        <v>0.68312208138759167</v>
      </c>
      <c r="Z17" s="15">
        <f>CP17/CP$13</f>
        <v>0.68226926893814088</v>
      </c>
      <c r="AA17" s="15">
        <f t="shared" si="24"/>
        <v>0.69015853084288181</v>
      </c>
      <c r="AB17" s="24"/>
      <c r="AD17" s="3"/>
      <c r="AE17" s="35" t="s">
        <v>88</v>
      </c>
      <c r="AF17" s="41">
        <f>SUM(AF14:AF16)</f>
        <v>855</v>
      </c>
      <c r="AG17" s="41">
        <f t="shared" ref="AG17:AS17" si="25">SUM(AG14:AG16)</f>
        <v>1082</v>
      </c>
      <c r="AH17" s="41">
        <f>SUM(AH14:AH16)</f>
        <v>1937</v>
      </c>
      <c r="AI17" s="41">
        <f>SUM(AI14:AI16)</f>
        <v>744</v>
      </c>
      <c r="AJ17" s="41">
        <f t="shared" si="25"/>
        <v>991</v>
      </c>
      <c r="AK17" s="41">
        <f t="shared" si="25"/>
        <v>1735</v>
      </c>
      <c r="AL17" s="41">
        <f t="shared" si="25"/>
        <v>785</v>
      </c>
      <c r="AM17" s="41">
        <f t="shared" si="25"/>
        <v>958</v>
      </c>
      <c r="AN17" s="41">
        <f t="shared" si="25"/>
        <v>1743</v>
      </c>
      <c r="AO17" s="41">
        <f t="shared" si="25"/>
        <v>890</v>
      </c>
      <c r="AP17" s="41">
        <f t="shared" si="25"/>
        <v>1259</v>
      </c>
      <c r="AQ17" s="41">
        <f t="shared" si="25"/>
        <v>2149</v>
      </c>
      <c r="AR17" s="41">
        <f t="shared" si="25"/>
        <v>1049</v>
      </c>
      <c r="AS17" s="41">
        <f t="shared" si="25"/>
        <v>1402</v>
      </c>
      <c r="AT17" s="41">
        <f t="shared" ref="AT17:CC17" si="26">SUM(AT14:AT16)</f>
        <v>2451</v>
      </c>
      <c r="AU17" s="41">
        <f t="shared" si="26"/>
        <v>1034</v>
      </c>
      <c r="AV17" s="41">
        <f t="shared" si="26"/>
        <v>1366</v>
      </c>
      <c r="AW17" s="41">
        <f t="shared" si="26"/>
        <v>2400</v>
      </c>
      <c r="AX17" s="41">
        <f t="shared" si="26"/>
        <v>972</v>
      </c>
      <c r="AY17" s="41">
        <f t="shared" si="26"/>
        <v>1361</v>
      </c>
      <c r="AZ17" s="41">
        <f t="shared" si="26"/>
        <v>2333</v>
      </c>
      <c r="BA17" s="41">
        <f t="shared" si="26"/>
        <v>1090</v>
      </c>
      <c r="BB17" s="41">
        <f t="shared" si="26"/>
        <v>1476</v>
      </c>
      <c r="BC17" s="41">
        <f t="shared" si="26"/>
        <v>2566</v>
      </c>
      <c r="BD17" s="41">
        <f t="shared" si="26"/>
        <v>1100</v>
      </c>
      <c r="BE17" s="41">
        <f t="shared" si="26"/>
        <v>1456</v>
      </c>
      <c r="BF17" s="41">
        <f t="shared" si="26"/>
        <v>2556</v>
      </c>
      <c r="BG17" s="41">
        <f t="shared" si="26"/>
        <v>1277</v>
      </c>
      <c r="BH17" s="41">
        <f t="shared" si="26"/>
        <v>1595</v>
      </c>
      <c r="BI17" s="41">
        <f t="shared" si="26"/>
        <v>2872</v>
      </c>
      <c r="BJ17" s="41">
        <f t="shared" si="26"/>
        <v>1239</v>
      </c>
      <c r="BK17" s="41">
        <f t="shared" si="26"/>
        <v>1526</v>
      </c>
      <c r="BL17" s="41">
        <f t="shared" si="26"/>
        <v>2765</v>
      </c>
      <c r="BM17" s="41">
        <f t="shared" si="26"/>
        <v>1352</v>
      </c>
      <c r="BN17" s="41">
        <f t="shared" si="26"/>
        <v>1670</v>
      </c>
      <c r="BO17" s="41">
        <f t="shared" si="26"/>
        <v>3022</v>
      </c>
      <c r="BP17" s="41">
        <f t="shared" si="26"/>
        <v>1382</v>
      </c>
      <c r="BQ17" s="41">
        <f t="shared" si="26"/>
        <v>1747</v>
      </c>
      <c r="BR17" s="41">
        <f t="shared" si="26"/>
        <v>3129</v>
      </c>
      <c r="BS17" s="41">
        <f t="shared" si="26"/>
        <v>1462</v>
      </c>
      <c r="BT17" s="41">
        <f t="shared" si="26"/>
        <v>1746</v>
      </c>
      <c r="BU17" s="41">
        <f t="shared" si="26"/>
        <v>3208</v>
      </c>
      <c r="BV17" s="41">
        <f t="shared" si="26"/>
        <v>1441</v>
      </c>
      <c r="BW17" s="41">
        <f t="shared" si="26"/>
        <v>1771</v>
      </c>
      <c r="BX17" s="41">
        <f t="shared" si="26"/>
        <v>3212</v>
      </c>
      <c r="BY17" s="41">
        <f t="shared" si="26"/>
        <v>1496</v>
      </c>
      <c r="BZ17" s="41">
        <f t="shared" si="26"/>
        <v>1892</v>
      </c>
      <c r="CA17" s="41">
        <f t="shared" si="26"/>
        <v>3388</v>
      </c>
      <c r="CB17" s="41">
        <f t="shared" si="26"/>
        <v>1472</v>
      </c>
      <c r="CC17" s="41">
        <f t="shared" si="26"/>
        <v>1962</v>
      </c>
      <c r="CD17" s="41">
        <f>SUM(CD14:CD16)</f>
        <v>3434</v>
      </c>
      <c r="CE17" s="41">
        <f t="shared" ref="CE17:CF17" si="27">SUM(CE14:CE16)</f>
        <v>1775</v>
      </c>
      <c r="CF17" s="41">
        <f t="shared" si="27"/>
        <v>2184</v>
      </c>
      <c r="CG17" s="41">
        <f>SUM(CG14:CG16)</f>
        <v>3959</v>
      </c>
      <c r="CH17" s="41">
        <f t="shared" ref="CH17:CI17" si="28">SUM(CH14:CH16)</f>
        <v>1630</v>
      </c>
      <c r="CI17" s="41">
        <f t="shared" si="28"/>
        <v>2147</v>
      </c>
      <c r="CJ17" s="41">
        <f>SUM(CJ14:CJ16)</f>
        <v>3777</v>
      </c>
      <c r="CK17" s="41">
        <f t="shared" ref="CK17:CL17" si="29">SUM(CK14:CK16)</f>
        <v>1826</v>
      </c>
      <c r="CL17" s="41">
        <f t="shared" si="29"/>
        <v>2270</v>
      </c>
      <c r="CM17" s="41">
        <f>SUM(CM14:CM16)</f>
        <v>4096</v>
      </c>
      <c r="CN17" s="41">
        <f t="shared" ref="CN17:CO17" si="30">SUM(CN14:CN16)</f>
        <v>1809</v>
      </c>
      <c r="CO17" s="41">
        <f t="shared" si="30"/>
        <v>2316</v>
      </c>
      <c r="CP17" s="41">
        <f>SUM(CP14:CP16)</f>
        <v>4125</v>
      </c>
      <c r="CQ17" s="41">
        <f>SUM(CQ14:CQ16)</f>
        <v>1931</v>
      </c>
      <c r="CR17" s="41">
        <f>SUM(CR14:CR16)</f>
        <v>2466</v>
      </c>
      <c r="CS17" s="41">
        <f>SUM(CS14:CS16)</f>
        <v>4397</v>
      </c>
    </row>
    <row r="18" spans="1:97" ht="13.5" customHeight="1" x14ac:dyDescent="0.25">
      <c r="A18" s="23"/>
      <c r="C18" s="4" t="s">
        <v>96</v>
      </c>
      <c r="D18" s="3"/>
      <c r="E18" s="38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24"/>
      <c r="AD18" s="3"/>
      <c r="AE18" s="3"/>
      <c r="AF18" s="85" t="s">
        <v>96</v>
      </c>
      <c r="AG18" s="85"/>
      <c r="AH18" s="85"/>
      <c r="AI18" s="85"/>
      <c r="AJ18" s="85"/>
      <c r="AK18" s="85"/>
      <c r="AL18" s="85"/>
      <c r="AM18" s="85"/>
      <c r="AN18" s="85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</row>
    <row r="19" spans="1:97" ht="13.5" customHeight="1" x14ac:dyDescent="0.2">
      <c r="A19" s="23"/>
      <c r="D19" s="3" t="s">
        <v>65</v>
      </c>
      <c r="E19" s="4"/>
      <c r="F19" s="11">
        <f>AH19</f>
        <v>217</v>
      </c>
      <c r="G19" s="11">
        <f>AK19</f>
        <v>177</v>
      </c>
      <c r="H19" s="11">
        <f>AN19</f>
        <v>131</v>
      </c>
      <c r="I19" s="11">
        <f>AQ19</f>
        <v>390</v>
      </c>
      <c r="J19" s="11">
        <f>AT19</f>
        <v>340</v>
      </c>
      <c r="K19" s="11">
        <f>AW19</f>
        <v>348</v>
      </c>
      <c r="L19" s="11">
        <f>AZ19</f>
        <v>351</v>
      </c>
      <c r="M19" s="11">
        <f>BC19</f>
        <v>331</v>
      </c>
      <c r="N19" s="11">
        <f>BF19</f>
        <v>319</v>
      </c>
      <c r="O19" s="11">
        <f>BI19</f>
        <v>308</v>
      </c>
      <c r="P19" s="11">
        <f>BL19</f>
        <v>296</v>
      </c>
      <c r="Q19" s="11">
        <f>BO19</f>
        <v>378</v>
      </c>
      <c r="R19" s="11">
        <f>BR19</f>
        <v>385</v>
      </c>
      <c r="S19" s="11">
        <f>BU19</f>
        <v>401</v>
      </c>
      <c r="T19" s="11">
        <f t="shared" ref="T19" si="31">BX19</f>
        <v>434</v>
      </c>
      <c r="U19" s="11">
        <f>CA19</f>
        <v>472</v>
      </c>
      <c r="V19" s="11">
        <f>CD19</f>
        <v>436</v>
      </c>
      <c r="W19" s="11">
        <f>CG19</f>
        <v>586</v>
      </c>
      <c r="X19" s="11">
        <f>CJ19</f>
        <v>652</v>
      </c>
      <c r="Y19" s="11">
        <f>CM19</f>
        <v>753</v>
      </c>
      <c r="Z19" s="11">
        <f>CP19</f>
        <v>760</v>
      </c>
      <c r="AA19" s="11">
        <f>CS19</f>
        <v>895</v>
      </c>
      <c r="AB19" s="12"/>
      <c r="AC19" s="13"/>
      <c r="AD19" s="3" t="s">
        <v>65</v>
      </c>
      <c r="AE19" s="3"/>
      <c r="AF19" s="41">
        <v>91</v>
      </c>
      <c r="AG19" s="41">
        <v>126</v>
      </c>
      <c r="AH19" s="41">
        <f>AF19+AG19</f>
        <v>217</v>
      </c>
      <c r="AI19" s="41">
        <v>63</v>
      </c>
      <c r="AJ19" s="41">
        <v>114</v>
      </c>
      <c r="AK19" s="41">
        <f>SUM(AI19+AJ19)</f>
        <v>177</v>
      </c>
      <c r="AL19" s="41">
        <v>55</v>
      </c>
      <c r="AM19" s="41">
        <v>76</v>
      </c>
      <c r="AN19" s="41">
        <f>AL19+AM19</f>
        <v>131</v>
      </c>
      <c r="AO19" s="41">
        <f>131+5+16</f>
        <v>152</v>
      </c>
      <c r="AP19" s="41">
        <f>201+8+29</f>
        <v>238</v>
      </c>
      <c r="AQ19" s="41">
        <f>AO19+AP19</f>
        <v>390</v>
      </c>
      <c r="AR19" s="41">
        <f>108+5+23</f>
        <v>136</v>
      </c>
      <c r="AS19" s="41">
        <f>171+12+21</f>
        <v>204</v>
      </c>
      <c r="AT19" s="41">
        <f>AR19+AS19</f>
        <v>340</v>
      </c>
      <c r="AU19" s="41">
        <f>103+8+18-1</f>
        <v>128</v>
      </c>
      <c r="AV19" s="41">
        <f>177+10+33</f>
        <v>220</v>
      </c>
      <c r="AW19" s="41">
        <f>AU19+AV19</f>
        <v>348</v>
      </c>
      <c r="AX19" s="41">
        <f>99+5+27</f>
        <v>131</v>
      </c>
      <c r="AY19" s="41">
        <f>182+8+30</f>
        <v>220</v>
      </c>
      <c r="AZ19" s="41">
        <f>AX19+AY19</f>
        <v>351</v>
      </c>
      <c r="BA19" s="41">
        <f>95+10+22</f>
        <v>127</v>
      </c>
      <c r="BB19" s="41">
        <f>178+5+21</f>
        <v>204</v>
      </c>
      <c r="BC19" s="41">
        <f>BA19+BB19</f>
        <v>331</v>
      </c>
      <c r="BD19" s="41">
        <f>80+11+22</f>
        <v>113</v>
      </c>
      <c r="BE19" s="41">
        <f>167+10+29</f>
        <v>206</v>
      </c>
      <c r="BF19" s="41">
        <f>BD19+BE19</f>
        <v>319</v>
      </c>
      <c r="BG19" s="41">
        <f>76+5+30</f>
        <v>111</v>
      </c>
      <c r="BH19" s="41">
        <f>149+16+32</f>
        <v>197</v>
      </c>
      <c r="BI19" s="41">
        <f>BG19+BH19</f>
        <v>308</v>
      </c>
      <c r="BJ19" s="41">
        <f>95+4+21</f>
        <v>120</v>
      </c>
      <c r="BK19" s="41">
        <f>131+14+31</f>
        <v>176</v>
      </c>
      <c r="BL19" s="41">
        <f>BJ19+BK19</f>
        <v>296</v>
      </c>
      <c r="BM19" s="41">
        <f>112+9+36</f>
        <v>157</v>
      </c>
      <c r="BN19" s="41">
        <f>173+16+32</f>
        <v>221</v>
      </c>
      <c r="BO19" s="41">
        <f>BM19+BN19</f>
        <v>378</v>
      </c>
      <c r="BP19" s="41">
        <f>112+10+42</f>
        <v>164</v>
      </c>
      <c r="BQ19" s="41">
        <f>176+13+32</f>
        <v>221</v>
      </c>
      <c r="BR19" s="41">
        <f>BP19+BQ19</f>
        <v>385</v>
      </c>
      <c r="BS19" s="41">
        <f>127+34+12</f>
        <v>173</v>
      </c>
      <c r="BT19" s="41">
        <f>167+44+17</f>
        <v>228</v>
      </c>
      <c r="BU19" s="41">
        <f>BS19+BT19</f>
        <v>401</v>
      </c>
      <c r="BV19" s="41">
        <f>120+46+11</f>
        <v>177</v>
      </c>
      <c r="BW19" s="41">
        <f>199+49+9</f>
        <v>257</v>
      </c>
      <c r="BX19" s="41">
        <f>BV19+BW19</f>
        <v>434</v>
      </c>
      <c r="BY19" s="41">
        <f>131+42+11</f>
        <v>184</v>
      </c>
      <c r="BZ19" s="41">
        <f>221+58+9</f>
        <v>288</v>
      </c>
      <c r="CA19" s="41">
        <f>BY19+BZ19</f>
        <v>472</v>
      </c>
      <c r="CB19" s="41">
        <f>129+41+0</f>
        <v>170</v>
      </c>
      <c r="CC19" s="41">
        <f>197+57+12</f>
        <v>266</v>
      </c>
      <c r="CD19" s="41">
        <f>CB19+CC19</f>
        <v>436</v>
      </c>
      <c r="CE19" s="41">
        <f>155+63+20</f>
        <v>238</v>
      </c>
      <c r="CF19" s="41">
        <f>262+65+21</f>
        <v>348</v>
      </c>
      <c r="CG19" s="41">
        <f>CE19+CF19</f>
        <v>586</v>
      </c>
      <c r="CH19" s="41">
        <f>189+68+13</f>
        <v>270</v>
      </c>
      <c r="CI19" s="41">
        <f>287+82+13</f>
        <v>382</v>
      </c>
      <c r="CJ19" s="41">
        <f>CH19+CI19</f>
        <v>652</v>
      </c>
      <c r="CK19" s="41">
        <f>225+97+8</f>
        <v>330</v>
      </c>
      <c r="CL19" s="41">
        <f>303+111+9</f>
        <v>423</v>
      </c>
      <c r="CM19" s="41">
        <f>CK19+CL19</f>
        <v>753</v>
      </c>
      <c r="CN19" s="41">
        <f>192+103+6</f>
        <v>301</v>
      </c>
      <c r="CO19" s="41">
        <f>334+119+6</f>
        <v>459</v>
      </c>
      <c r="CP19" s="41">
        <f>CN19+CO19</f>
        <v>760</v>
      </c>
      <c r="CQ19" s="41">
        <f>259+100+5</f>
        <v>364</v>
      </c>
      <c r="CR19" s="41">
        <f>393+129+9</f>
        <v>531</v>
      </c>
      <c r="CS19" s="41">
        <f>CQ19+CR19</f>
        <v>895</v>
      </c>
    </row>
    <row r="20" spans="1:97" ht="13.5" customHeight="1" x14ac:dyDescent="0.2">
      <c r="A20" s="23"/>
      <c r="D20" s="15" t="s">
        <v>59</v>
      </c>
      <c r="E20" s="3" t="s">
        <v>60</v>
      </c>
      <c r="F20" s="15">
        <f>IF(AH19&gt;0,(AH20/AH19),"")</f>
        <v>0.12903225806451613</v>
      </c>
      <c r="G20" s="15">
        <f>IF(AK19&gt;0,(AK20/AK19),"")</f>
        <v>0.15254237288135594</v>
      </c>
      <c r="H20" s="15">
        <f>IF(AN19&gt;0,(AN20/AN19),"")</f>
        <v>0.22137404580152673</v>
      </c>
      <c r="I20" s="15">
        <f>IF(AQ19&gt;0,(AQ20/AQ19),"")</f>
        <v>0.16666666666666666</v>
      </c>
      <c r="J20" s="15">
        <f>IF(AT19&gt;0,(AT20/AT19),"")</f>
        <v>0.19705882352941176</v>
      </c>
      <c r="K20" s="15">
        <f>IF(AW19&gt;0,(AW20/AW19),"")</f>
        <v>0.2413793103448276</v>
      </c>
      <c r="L20" s="15">
        <f>IF(AZ19&gt;0,(AZ20/AZ19),"")</f>
        <v>0.25641025641025639</v>
      </c>
      <c r="M20" s="15">
        <f>IF(BC19&gt;0,(BC20/BC19),"")</f>
        <v>0.29909365558912387</v>
      </c>
      <c r="N20" s="15">
        <f>IF(BF19&gt;0,(BF20/BF19),"")</f>
        <v>0.29153605015673983</v>
      </c>
      <c r="O20" s="15">
        <f>IF(BI19&gt;0,(BI20/BI19),"")</f>
        <v>0.28896103896103897</v>
      </c>
      <c r="P20" s="15">
        <f>IF(BL19&gt;0,(BL20/BL19),"")</f>
        <v>0.28378378378378377</v>
      </c>
      <c r="Q20" s="15">
        <f>IF(BO19&gt;0,(BO20/BO19),"")</f>
        <v>0.30952380952380953</v>
      </c>
      <c r="R20" s="15">
        <f>IF(BR19&gt;0,(BR20/BR19),"")</f>
        <v>0.32207792207792207</v>
      </c>
      <c r="S20" s="15">
        <f>IF(BU19&gt;0,(BU20/BU19),"")</f>
        <v>0.30174563591022446</v>
      </c>
      <c r="T20" s="15">
        <f t="shared" ref="T20" si="32">IF(BX19&gt;0,(BX20/BX19),"")</f>
        <v>0.33410138248847926</v>
      </c>
      <c r="U20" s="15">
        <f>IF(CA19&gt;0,(CA20/CA19),"")</f>
        <v>0.32627118644067798</v>
      </c>
      <c r="V20" s="15">
        <f>IF(CD19&gt;0,(CD20/CD19),"")</f>
        <v>0.34403669724770641</v>
      </c>
      <c r="W20" s="15">
        <f>CG20/CG$19</f>
        <v>0.36689419795221845</v>
      </c>
      <c r="X20" s="15">
        <f>CJ20/CJ$19</f>
        <v>0.32975460122699385</v>
      </c>
      <c r="Y20" s="15">
        <f t="shared" ref="Y20:Y23" si="33">CM20/CM$19</f>
        <v>0.32138114209827356</v>
      </c>
      <c r="Z20" s="15">
        <f>CP20/CP$19</f>
        <v>0.3236842105263158</v>
      </c>
      <c r="AA20" s="15">
        <f>CS20/CS$19</f>
        <v>0.3217877094972067</v>
      </c>
      <c r="AB20" s="24"/>
      <c r="AD20" s="15" t="s">
        <v>59</v>
      </c>
      <c r="AE20" s="3" t="s">
        <v>60</v>
      </c>
      <c r="AF20" s="41">
        <v>11</v>
      </c>
      <c r="AG20" s="41">
        <v>17</v>
      </c>
      <c r="AH20" s="41">
        <f t="shared" ref="AH20:AH22" si="34">AF20+AG20</f>
        <v>28</v>
      </c>
      <c r="AI20" s="41">
        <v>6</v>
      </c>
      <c r="AJ20" s="41">
        <v>21</v>
      </c>
      <c r="AK20" s="41">
        <f>SUM(AI20+AJ20)</f>
        <v>27</v>
      </c>
      <c r="AL20" s="41">
        <v>6</v>
      </c>
      <c r="AM20" s="41">
        <v>23</v>
      </c>
      <c r="AN20" s="41">
        <f t="shared" ref="AN20:AN22" si="35">AL20+AM20</f>
        <v>29</v>
      </c>
      <c r="AO20" s="41">
        <f>8+0+4</f>
        <v>12</v>
      </c>
      <c r="AP20" s="41">
        <f>40+2+11</f>
        <v>53</v>
      </c>
      <c r="AQ20" s="41">
        <f t="shared" ref="AQ20:AQ22" si="36">AO20+AP20</f>
        <v>65</v>
      </c>
      <c r="AR20" s="41">
        <f>14+2+4</f>
        <v>20</v>
      </c>
      <c r="AS20" s="41">
        <f>40+3+4</f>
        <v>47</v>
      </c>
      <c r="AT20" s="41">
        <f t="shared" ref="AT20:AT22" si="37">AR20+AS20</f>
        <v>67</v>
      </c>
      <c r="AU20" s="41">
        <f>11+2+1</f>
        <v>14</v>
      </c>
      <c r="AV20" s="41">
        <f>54+5+11</f>
        <v>70</v>
      </c>
      <c r="AW20" s="41">
        <f t="shared" ref="AW20:AW22" si="38">AU20+AV20</f>
        <v>84</v>
      </c>
      <c r="AX20" s="41">
        <f>17+1+3</f>
        <v>21</v>
      </c>
      <c r="AY20" s="41">
        <f>56+1+12</f>
        <v>69</v>
      </c>
      <c r="AZ20" s="41">
        <f t="shared" ref="AZ20:AZ22" si="39">AX20+AY20</f>
        <v>90</v>
      </c>
      <c r="BA20" s="41">
        <f>15+4+6</f>
        <v>25</v>
      </c>
      <c r="BB20" s="41">
        <f>63+3+8</f>
        <v>74</v>
      </c>
      <c r="BC20" s="41">
        <f t="shared" ref="BC20:BC22" si="40">BA20+BB20</f>
        <v>99</v>
      </c>
      <c r="BD20" s="41">
        <f>15+3+5</f>
        <v>23</v>
      </c>
      <c r="BE20" s="41">
        <f>59+2+9</f>
        <v>70</v>
      </c>
      <c r="BF20" s="41">
        <f t="shared" ref="BF20:BF22" si="41">BD20+BE20</f>
        <v>93</v>
      </c>
      <c r="BG20" s="41">
        <f>16+0+8</f>
        <v>24</v>
      </c>
      <c r="BH20" s="41">
        <f>48+8+9</f>
        <v>65</v>
      </c>
      <c r="BI20" s="41">
        <f t="shared" ref="BI20:BI22" si="42">BG20+BH20</f>
        <v>89</v>
      </c>
      <c r="BJ20" s="41">
        <f>13+1+3</f>
        <v>17</v>
      </c>
      <c r="BK20" s="41">
        <f>51+6+10</f>
        <v>67</v>
      </c>
      <c r="BL20" s="41">
        <f t="shared" ref="BL20:BL22" si="43">BJ20+BK20</f>
        <v>84</v>
      </c>
      <c r="BM20" s="41">
        <f>17+1+11</f>
        <v>29</v>
      </c>
      <c r="BN20" s="41">
        <f>69+5+14</f>
        <v>88</v>
      </c>
      <c r="BO20" s="41">
        <f t="shared" ref="BO20:BO22" si="44">BM20+BN20</f>
        <v>117</v>
      </c>
      <c r="BP20" s="41">
        <f>25+0+10</f>
        <v>35</v>
      </c>
      <c r="BQ20" s="41">
        <f>72+4+13</f>
        <v>89</v>
      </c>
      <c r="BR20" s="41">
        <f t="shared" ref="BR20:BR22" si="45">BP20+BQ20</f>
        <v>124</v>
      </c>
      <c r="BS20" s="41">
        <f>18+15+1</f>
        <v>34</v>
      </c>
      <c r="BT20" s="41">
        <f>59+22+6</f>
        <v>87</v>
      </c>
      <c r="BU20" s="41">
        <f t="shared" ref="BU20:BU22" si="46">BS20+BT20</f>
        <v>121</v>
      </c>
      <c r="BV20" s="41">
        <f>29+9+1</f>
        <v>39</v>
      </c>
      <c r="BW20" s="41">
        <f>78+26+2</f>
        <v>106</v>
      </c>
      <c r="BX20" s="41">
        <f t="shared" ref="BX20:BX22" si="47">BV20+BW20</f>
        <v>145</v>
      </c>
      <c r="BY20" s="41">
        <f>29+12+3</f>
        <v>44</v>
      </c>
      <c r="BZ20" s="41">
        <f>79+27+4</f>
        <v>110</v>
      </c>
      <c r="CA20" s="41">
        <f t="shared" ref="CA20:CA22" si="48">BY20+BZ20</f>
        <v>154</v>
      </c>
      <c r="CB20" s="41">
        <f>21+15+6</f>
        <v>42</v>
      </c>
      <c r="CC20" s="41">
        <f>72+32+4</f>
        <v>108</v>
      </c>
      <c r="CD20" s="41">
        <f t="shared" ref="CD20" si="49">CB20+CC20</f>
        <v>150</v>
      </c>
      <c r="CE20" s="41">
        <f>44+24+3</f>
        <v>71</v>
      </c>
      <c r="CF20" s="41">
        <f>95+39+10</f>
        <v>144</v>
      </c>
      <c r="CG20" s="41">
        <f t="shared" ref="CG20" si="50">CE20+CF20</f>
        <v>215</v>
      </c>
      <c r="CH20" s="41">
        <f>46+13+2</f>
        <v>61</v>
      </c>
      <c r="CI20" s="41">
        <f>108+43+3</f>
        <v>154</v>
      </c>
      <c r="CJ20" s="41">
        <f t="shared" ref="CJ20" si="51">CH20+CI20</f>
        <v>215</v>
      </c>
      <c r="CK20" s="41">
        <f>49+29+3</f>
        <v>81</v>
      </c>
      <c r="CL20" s="41">
        <f>107+49+5</f>
        <v>161</v>
      </c>
      <c r="CM20" s="41">
        <f t="shared" ref="CM20" si="52">CK20+CL20</f>
        <v>242</v>
      </c>
      <c r="CN20" s="41">
        <f>29+32+1</f>
        <v>62</v>
      </c>
      <c r="CO20" s="41">
        <f>125+56+3</f>
        <v>184</v>
      </c>
      <c r="CP20" s="41">
        <f t="shared" ref="CP20" si="53">CN20+CO20</f>
        <v>246</v>
      </c>
      <c r="CQ20" s="41">
        <f>48+34+0</f>
        <v>82</v>
      </c>
      <c r="CR20" s="41">
        <f>134+68+4</f>
        <v>206</v>
      </c>
      <c r="CS20" s="41">
        <f t="shared" ref="CS20" si="54">CQ20+CR20</f>
        <v>288</v>
      </c>
    </row>
    <row r="21" spans="1:97" ht="13.5" customHeight="1" x14ac:dyDescent="0.2">
      <c r="A21" s="23"/>
      <c r="D21" s="3"/>
      <c r="E21" s="3" t="s">
        <v>61</v>
      </c>
      <c r="F21" s="15">
        <f>IF(AH19&gt;0,(AH21/AH19),"")</f>
        <v>0.21658986175115208</v>
      </c>
      <c r="G21" s="15">
        <f>IF(AK19&gt;0,(AK21/AK19),"")</f>
        <v>0.2711864406779661</v>
      </c>
      <c r="H21" s="15">
        <f>IF(AN19&gt;0,(AN21/AN19),"")</f>
        <v>0.24427480916030533</v>
      </c>
      <c r="I21" s="15">
        <f>IF(AQ19&gt;0,(AQ21/AQ19),"")</f>
        <v>0.26410256410256411</v>
      </c>
      <c r="J21" s="15">
        <f>IF(AT19&gt;0,(AT21/AT19),"")</f>
        <v>0.25588235294117645</v>
      </c>
      <c r="K21" s="15">
        <f>IF(AW19&gt;0,(AW21/AW19),"")</f>
        <v>0.2614942528735632</v>
      </c>
      <c r="L21" s="15">
        <f>IF(AZ19&gt;0,(AZ21/AZ19),"")</f>
        <v>0.22792022792022792</v>
      </c>
      <c r="M21" s="15">
        <f>IF(BC19&gt;0,(BC21/BC19),"")</f>
        <v>0.25981873111782477</v>
      </c>
      <c r="N21" s="15">
        <f>IF(BF19&gt;0,(BF21/BF19),"")</f>
        <v>0.2601880877742947</v>
      </c>
      <c r="O21" s="15">
        <f>IF(BI19&gt;0,(BI21/BI19),"")</f>
        <v>0.23701298701298701</v>
      </c>
      <c r="P21" s="15">
        <f>IF(BL19&gt;0,(BL21/BL19),"")</f>
        <v>0.22297297297297297</v>
      </c>
      <c r="Q21" s="15">
        <f>IF(BO19&gt;0,(BO21/BO19),"")</f>
        <v>0.20899470899470898</v>
      </c>
      <c r="R21" s="15">
        <f>IF(BR19&gt;0,(BR21/BR19),"")</f>
        <v>0.21558441558441557</v>
      </c>
      <c r="S21" s="15">
        <f>IF(BU19&gt;0,(BU21/BU19),"")</f>
        <v>0.23441396508728179</v>
      </c>
      <c r="T21" s="15">
        <f t="shared" ref="T21" si="55">IF(BX19&gt;0,(BX21/BX19),"")</f>
        <v>0.22119815668202766</v>
      </c>
      <c r="U21" s="15">
        <f>IF(CA19&gt;0,(CA21/CA19),"")</f>
        <v>0.20127118644067796</v>
      </c>
      <c r="V21" s="15">
        <f>IF(CD19&gt;0,(CD21/CD19),"")</f>
        <v>0.22018348623853212</v>
      </c>
      <c r="W21" s="15">
        <f t="shared" ref="W21:W22" si="56">CG21/CG$19</f>
        <v>0.18430034129692832</v>
      </c>
      <c r="X21" s="15">
        <f>CJ21/CJ$19</f>
        <v>0.18558282208588958</v>
      </c>
      <c r="Y21" s="15">
        <f t="shared" si="33"/>
        <v>0.21248339973439576</v>
      </c>
      <c r="Z21" s="15">
        <f>CP21/CP$19</f>
        <v>0.19736842105263158</v>
      </c>
      <c r="AA21" s="15">
        <f>CS21/CS$19</f>
        <v>0.21787709497206703</v>
      </c>
      <c r="AB21" s="24"/>
      <c r="AD21" s="3"/>
      <c r="AE21" s="3" t="s">
        <v>61</v>
      </c>
      <c r="AF21" s="41">
        <v>24</v>
      </c>
      <c r="AG21" s="41">
        <v>23</v>
      </c>
      <c r="AH21" s="41">
        <f t="shared" si="34"/>
        <v>47</v>
      </c>
      <c r="AI21" s="41">
        <v>16</v>
      </c>
      <c r="AJ21" s="41">
        <v>32</v>
      </c>
      <c r="AK21" s="41">
        <f>SUM(AI21+AJ21)</f>
        <v>48</v>
      </c>
      <c r="AL21" s="41">
        <v>13</v>
      </c>
      <c r="AM21" s="41">
        <v>19</v>
      </c>
      <c r="AN21" s="41">
        <f t="shared" si="35"/>
        <v>32</v>
      </c>
      <c r="AO21" s="41">
        <f>31+1+3</f>
        <v>35</v>
      </c>
      <c r="AP21" s="41">
        <f>61+1+6</f>
        <v>68</v>
      </c>
      <c r="AQ21" s="41">
        <f t="shared" si="36"/>
        <v>103</v>
      </c>
      <c r="AR21" s="41">
        <f>33+0+6</f>
        <v>39</v>
      </c>
      <c r="AS21" s="41">
        <f>43+3+2</f>
        <v>48</v>
      </c>
      <c r="AT21" s="41">
        <f t="shared" si="37"/>
        <v>87</v>
      </c>
      <c r="AU21" s="41">
        <f>24+2+7</f>
        <v>33</v>
      </c>
      <c r="AV21" s="41">
        <f>48+1+9</f>
        <v>58</v>
      </c>
      <c r="AW21" s="41">
        <f t="shared" si="38"/>
        <v>91</v>
      </c>
      <c r="AX21" s="41">
        <f>19+1+4</f>
        <v>24</v>
      </c>
      <c r="AY21" s="41">
        <f>45+2+9</f>
        <v>56</v>
      </c>
      <c r="AZ21" s="41">
        <f t="shared" si="39"/>
        <v>80</v>
      </c>
      <c r="BA21" s="41">
        <f>29+1+5</f>
        <v>35</v>
      </c>
      <c r="BB21" s="41">
        <f>46+0+5</f>
        <v>51</v>
      </c>
      <c r="BC21" s="41">
        <f t="shared" si="40"/>
        <v>86</v>
      </c>
      <c r="BD21" s="41">
        <f>25+3+7</f>
        <v>35</v>
      </c>
      <c r="BE21" s="41">
        <f>38+3+7</f>
        <v>48</v>
      </c>
      <c r="BF21" s="41">
        <f t="shared" si="41"/>
        <v>83</v>
      </c>
      <c r="BG21" s="41">
        <f>18+2+12</f>
        <v>32</v>
      </c>
      <c r="BH21" s="41">
        <f>28+4+9</f>
        <v>41</v>
      </c>
      <c r="BI21" s="41">
        <f t="shared" si="42"/>
        <v>73</v>
      </c>
      <c r="BJ21" s="41">
        <f>26+1+4</f>
        <v>31</v>
      </c>
      <c r="BK21" s="41">
        <f>29+0+6</f>
        <v>35</v>
      </c>
      <c r="BL21" s="41">
        <f t="shared" si="43"/>
        <v>66</v>
      </c>
      <c r="BM21" s="41">
        <f>17+2+9</f>
        <v>28</v>
      </c>
      <c r="BN21" s="41">
        <f>40+2+9</f>
        <v>51</v>
      </c>
      <c r="BO21" s="41">
        <f t="shared" si="44"/>
        <v>79</v>
      </c>
      <c r="BP21" s="41">
        <f>28+1+12</f>
        <v>41</v>
      </c>
      <c r="BQ21" s="41">
        <f>34+3+5</f>
        <v>42</v>
      </c>
      <c r="BR21" s="41">
        <f t="shared" si="45"/>
        <v>83</v>
      </c>
      <c r="BS21" s="41">
        <f>35+7+4</f>
        <v>46</v>
      </c>
      <c r="BT21" s="41">
        <f>35+6+7</f>
        <v>48</v>
      </c>
      <c r="BU21" s="41">
        <f t="shared" si="46"/>
        <v>94</v>
      </c>
      <c r="BV21" s="41">
        <f>26+11+4</f>
        <v>41</v>
      </c>
      <c r="BW21" s="41">
        <f>44+9+2</f>
        <v>55</v>
      </c>
      <c r="BX21" s="41">
        <f t="shared" si="47"/>
        <v>96</v>
      </c>
      <c r="BY21" s="41">
        <f>23+10+4</f>
        <v>37</v>
      </c>
      <c r="BZ21" s="41">
        <f>45+12+1</f>
        <v>58</v>
      </c>
      <c r="CA21" s="41">
        <f t="shared" si="48"/>
        <v>95</v>
      </c>
      <c r="CB21" s="41">
        <f>31+10+1</f>
        <v>42</v>
      </c>
      <c r="CC21" s="41">
        <f>42+9+3</f>
        <v>54</v>
      </c>
      <c r="CD21" s="41">
        <f>CB21+CC21</f>
        <v>96</v>
      </c>
      <c r="CE21" s="41">
        <f>32+10+6</f>
        <v>48</v>
      </c>
      <c r="CF21" s="41">
        <f>49+5+6</f>
        <v>60</v>
      </c>
      <c r="CG21" s="41">
        <f>CE21+CF21</f>
        <v>108</v>
      </c>
      <c r="CH21" s="41">
        <f>35+14+3</f>
        <v>52</v>
      </c>
      <c r="CI21" s="41">
        <f>49+13+7</f>
        <v>69</v>
      </c>
      <c r="CJ21" s="41">
        <f>CH21+CI21</f>
        <v>121</v>
      </c>
      <c r="CK21" s="41">
        <f>55+21+2</f>
        <v>78</v>
      </c>
      <c r="CL21" s="41">
        <f>59+22+1</f>
        <v>82</v>
      </c>
      <c r="CM21" s="41">
        <f>CK21+CL21</f>
        <v>160</v>
      </c>
      <c r="CN21" s="41">
        <f>44+28+3</f>
        <v>75</v>
      </c>
      <c r="CO21" s="41">
        <f>53+22+0</f>
        <v>75</v>
      </c>
      <c r="CP21" s="41">
        <f>CN21+CO21</f>
        <v>150</v>
      </c>
      <c r="CQ21" s="41">
        <f>64+23+1</f>
        <v>88</v>
      </c>
      <c r="CR21" s="41">
        <f>87+20+0</f>
        <v>107</v>
      </c>
      <c r="CS21" s="41">
        <f>CQ21+CR21</f>
        <v>195</v>
      </c>
    </row>
    <row r="22" spans="1:97" ht="13.5" customHeight="1" x14ac:dyDescent="0.2">
      <c r="A22" s="23"/>
      <c r="D22" s="3"/>
      <c r="E22" s="3" t="s">
        <v>62</v>
      </c>
      <c r="F22" s="18">
        <f>IF(AH19&gt;0,(AH22/AH19),"")</f>
        <v>5.9907834101382486E-2</v>
      </c>
      <c r="G22" s="18">
        <f>IF(AK19&gt;0,(AK22/AK19),"")</f>
        <v>5.0847457627118647E-2</v>
      </c>
      <c r="H22" s="18">
        <f>IF(AN19&gt;0,(AN22/AN19),"")</f>
        <v>4.5801526717557252E-2</v>
      </c>
      <c r="I22" s="18">
        <f>IF(AQ19&gt;0,(AQ22/AQ19),"")</f>
        <v>5.6410256410256411E-2</v>
      </c>
      <c r="J22" s="18">
        <f>IF(AT19&gt;0,(AT22/AT19),"")</f>
        <v>6.7647058823529407E-2</v>
      </c>
      <c r="K22" s="18">
        <f>IF(AW19&gt;0,(AW22/AW19),"")</f>
        <v>7.183908045977011E-2</v>
      </c>
      <c r="L22" s="18">
        <f>IF(AZ19&gt;0,(AZ22/AZ19),"")</f>
        <v>6.2678062678062682E-2</v>
      </c>
      <c r="M22" s="18">
        <f>IF(BC19&gt;0,(BC22/BC19),"")</f>
        <v>4.2296072507552872E-2</v>
      </c>
      <c r="N22" s="18">
        <f>IF(BF19&gt;0,(BF22/BF19),"")</f>
        <v>3.4482758620689655E-2</v>
      </c>
      <c r="O22" s="18">
        <f>IF(BI19&gt;0,(BI22/BI19),"")</f>
        <v>5.1948051948051951E-2</v>
      </c>
      <c r="P22" s="18">
        <f>IF(BL19&gt;0,(BL22/BL19),"")</f>
        <v>4.72972972972973E-2</v>
      </c>
      <c r="Q22" s="18">
        <f>IF(BO19&gt;0,(BO22/BO19),"")</f>
        <v>5.2910052910052907E-2</v>
      </c>
      <c r="R22" s="18">
        <f>IF(BR19&gt;0,(BR22/BR19),"")</f>
        <v>4.6753246753246755E-2</v>
      </c>
      <c r="S22" s="18">
        <f>IF(BU19&gt;0,(BU22/BU19),"")</f>
        <v>6.4837905236907731E-2</v>
      </c>
      <c r="T22" s="18">
        <f t="shared" ref="T22" si="57">IF(BX19&gt;0,(BX22/BX19),"")</f>
        <v>3.9170506912442393E-2</v>
      </c>
      <c r="U22" s="18">
        <f>IF(CA19&gt;0,(CA22/CA19),"")</f>
        <v>5.7203389830508475E-2</v>
      </c>
      <c r="V22" s="18">
        <f>IF(CD19&gt;0,(CD22/CD19),"")</f>
        <v>3.2110091743119268E-2</v>
      </c>
      <c r="W22" s="18">
        <f t="shared" si="56"/>
        <v>4.0955631399317405E-2</v>
      </c>
      <c r="X22" s="18">
        <f>CJ22/CJ$19</f>
        <v>4.2944785276073622E-2</v>
      </c>
      <c r="Y22" s="18">
        <f t="shared" si="33"/>
        <v>4.7808764940239043E-2</v>
      </c>
      <c r="Z22" s="18">
        <f>CP22/CP$19</f>
        <v>2.8947368421052631E-2</v>
      </c>
      <c r="AA22" s="18">
        <f t="shared" ref="AA22:AA23" si="58">CS22/CS$19</f>
        <v>2.1229050279329607E-2</v>
      </c>
      <c r="AB22" s="24"/>
      <c r="AD22" s="3"/>
      <c r="AE22" s="3" t="s">
        <v>62</v>
      </c>
      <c r="AF22" s="41">
        <v>4</v>
      </c>
      <c r="AG22" s="41">
        <v>9</v>
      </c>
      <c r="AH22" s="41">
        <f t="shared" si="34"/>
        <v>13</v>
      </c>
      <c r="AI22" s="41">
        <v>3</v>
      </c>
      <c r="AJ22" s="41">
        <v>6</v>
      </c>
      <c r="AK22" s="41">
        <f>SUM(AI22+AJ22)</f>
        <v>9</v>
      </c>
      <c r="AL22" s="41">
        <v>2</v>
      </c>
      <c r="AM22" s="41">
        <v>4</v>
      </c>
      <c r="AN22" s="41">
        <f t="shared" si="35"/>
        <v>6</v>
      </c>
      <c r="AO22" s="41">
        <f>8+0+2</f>
        <v>10</v>
      </c>
      <c r="AP22" s="41">
        <f>12+0+0</f>
        <v>12</v>
      </c>
      <c r="AQ22" s="41">
        <f t="shared" si="36"/>
        <v>22</v>
      </c>
      <c r="AR22" s="41">
        <f>7+0+1</f>
        <v>8</v>
      </c>
      <c r="AS22" s="41">
        <f>14+0+1</f>
        <v>15</v>
      </c>
      <c r="AT22" s="41">
        <f t="shared" si="37"/>
        <v>23</v>
      </c>
      <c r="AU22" s="41">
        <f>13+0+6</f>
        <v>19</v>
      </c>
      <c r="AV22" s="41">
        <f>4+1+1</f>
        <v>6</v>
      </c>
      <c r="AW22" s="41">
        <f t="shared" si="38"/>
        <v>25</v>
      </c>
      <c r="AX22" s="41">
        <f>6+0+4</f>
        <v>10</v>
      </c>
      <c r="AY22" s="41">
        <f>12+0+0</f>
        <v>12</v>
      </c>
      <c r="AZ22" s="41">
        <f t="shared" si="39"/>
        <v>22</v>
      </c>
      <c r="BA22" s="41">
        <f>5+1+3</f>
        <v>9</v>
      </c>
      <c r="BB22" s="41">
        <f>5+0+0</f>
        <v>5</v>
      </c>
      <c r="BC22" s="41">
        <f t="shared" si="40"/>
        <v>14</v>
      </c>
      <c r="BD22" s="41">
        <f>4+1+3</f>
        <v>8</v>
      </c>
      <c r="BE22" s="41">
        <f>1+2+0</f>
        <v>3</v>
      </c>
      <c r="BF22" s="41">
        <f t="shared" si="41"/>
        <v>11</v>
      </c>
      <c r="BG22" s="41">
        <f>7+0+2</f>
        <v>9</v>
      </c>
      <c r="BH22" s="41">
        <f>6+0+1</f>
        <v>7</v>
      </c>
      <c r="BI22" s="41">
        <f t="shared" si="42"/>
        <v>16</v>
      </c>
      <c r="BJ22" s="41">
        <f>9+0+2</f>
        <v>11</v>
      </c>
      <c r="BK22" s="41">
        <f>2+1+0</f>
        <v>3</v>
      </c>
      <c r="BL22" s="41">
        <f t="shared" si="43"/>
        <v>14</v>
      </c>
      <c r="BM22" s="41">
        <f>9+0+0</f>
        <v>9</v>
      </c>
      <c r="BN22" s="41">
        <f>7+2+2</f>
        <v>11</v>
      </c>
      <c r="BO22" s="41">
        <f t="shared" si="44"/>
        <v>20</v>
      </c>
      <c r="BP22" s="41">
        <f>9+1+3</f>
        <v>13</v>
      </c>
      <c r="BQ22" s="41">
        <f>5+0+0</f>
        <v>5</v>
      </c>
      <c r="BR22" s="41">
        <f t="shared" si="45"/>
        <v>18</v>
      </c>
      <c r="BS22" s="41">
        <f>13+1+0</f>
        <v>14</v>
      </c>
      <c r="BT22" s="41">
        <f>11+1+0</f>
        <v>12</v>
      </c>
      <c r="BU22" s="41">
        <f t="shared" si="46"/>
        <v>26</v>
      </c>
      <c r="BV22" s="41">
        <f>6+2+0</f>
        <v>8</v>
      </c>
      <c r="BW22" s="41">
        <f>7+1+1</f>
        <v>9</v>
      </c>
      <c r="BX22" s="41">
        <f t="shared" si="47"/>
        <v>17</v>
      </c>
      <c r="BY22" s="41">
        <f>10+2+0</f>
        <v>12</v>
      </c>
      <c r="BZ22" s="41">
        <f>14+1+0</f>
        <v>15</v>
      </c>
      <c r="CA22" s="41">
        <f t="shared" si="48"/>
        <v>27</v>
      </c>
      <c r="CB22" s="41">
        <f>6+0+1</f>
        <v>7</v>
      </c>
      <c r="CC22" s="41">
        <f>5+2+0</f>
        <v>7</v>
      </c>
      <c r="CD22" s="41">
        <f>CB22+CC22</f>
        <v>14</v>
      </c>
      <c r="CE22" s="41">
        <f>9+2+2</f>
        <v>13</v>
      </c>
      <c r="CF22" s="41">
        <f>10+0+1</f>
        <v>11</v>
      </c>
      <c r="CG22" s="41">
        <f>CE22+CF22</f>
        <v>24</v>
      </c>
      <c r="CH22" s="41">
        <f>12+4+0</f>
        <v>16</v>
      </c>
      <c r="CI22" s="41">
        <f>10+2+0</f>
        <v>12</v>
      </c>
      <c r="CJ22" s="41">
        <f>CH22+CI22</f>
        <v>28</v>
      </c>
      <c r="CK22" s="41">
        <f>16+1+0</f>
        <v>17</v>
      </c>
      <c r="CL22" s="41">
        <f>13+6+0</f>
        <v>19</v>
      </c>
      <c r="CM22" s="41">
        <f>CK22+CL22</f>
        <v>36</v>
      </c>
      <c r="CN22" s="41">
        <f>8+2+0</f>
        <v>10</v>
      </c>
      <c r="CO22" s="41">
        <f>11+1+0</f>
        <v>12</v>
      </c>
      <c r="CP22" s="41">
        <f>CN22+CO22</f>
        <v>22</v>
      </c>
      <c r="CQ22" s="41">
        <f>6+3+0</f>
        <v>9</v>
      </c>
      <c r="CR22" s="41">
        <f>9+1+0</f>
        <v>10</v>
      </c>
      <c r="CS22" s="41">
        <f>CQ22+CR22</f>
        <v>19</v>
      </c>
    </row>
    <row r="23" spans="1:97" ht="13.5" customHeight="1" x14ac:dyDescent="0.2">
      <c r="A23" s="23"/>
      <c r="D23" s="3"/>
      <c r="E23" s="4"/>
      <c r="F23" s="15">
        <f>IF(AH19&gt;0,(AH23/AH19),"")</f>
        <v>0.40552995391705071</v>
      </c>
      <c r="G23" s="15">
        <f>IF(AK19&gt;0,(AK23/AK19),"")</f>
        <v>0.47457627118644069</v>
      </c>
      <c r="H23" s="15">
        <f>IF(AN19&gt;0,(AN23/AN19),"")</f>
        <v>0.51145038167938928</v>
      </c>
      <c r="I23" s="15">
        <f>IF(AQ19&gt;0,(AQ23/AQ19),"")</f>
        <v>0.48717948717948717</v>
      </c>
      <c r="J23" s="15">
        <f>IF(AT19&gt;0,(AT23/AT19),"")</f>
        <v>0.52058823529411768</v>
      </c>
      <c r="K23" s="15">
        <f>IF(AW19&gt;0,(AW23/AW19),"")</f>
        <v>0.57471264367816088</v>
      </c>
      <c r="L23" s="15">
        <f>IF(AZ19&gt;0,(AZ23/AZ19),"")</f>
        <v>0.54700854700854706</v>
      </c>
      <c r="M23" s="15">
        <f>IF(BC19&gt;0,(BC23/BC19),"")</f>
        <v>0.6012084592145015</v>
      </c>
      <c r="N23" s="15">
        <f>IF(BF19&gt;0,(BF23/BF19),"")</f>
        <v>0.58620689655172409</v>
      </c>
      <c r="O23" s="15">
        <f>IF(BI19&gt;0,(BI23/BI19),"")</f>
        <v>0.57792207792207795</v>
      </c>
      <c r="P23" s="15">
        <f>IF(BL19&gt;0,(BL23/BL19),"")</f>
        <v>0.55405405405405406</v>
      </c>
      <c r="Q23" s="15">
        <f>IF(BO19&gt;0,(BO23/BO19),"")</f>
        <v>0.5714285714285714</v>
      </c>
      <c r="R23" s="15">
        <f>IF(BR19&gt;0,(BR23/BR19),"")</f>
        <v>0.58441558441558439</v>
      </c>
      <c r="S23" s="15">
        <f>IF(BU19&gt;0,(BU23/BU19),"")</f>
        <v>0.60099750623441395</v>
      </c>
      <c r="T23" s="15">
        <f t="shared" ref="T23" si="59">IF(BX19&gt;0,(BX23/BX19),"")</f>
        <v>0.59447004608294929</v>
      </c>
      <c r="U23" s="15">
        <f>IF(CA19&gt;0,(CA23/CA19),"")</f>
        <v>0.5847457627118644</v>
      </c>
      <c r="V23" s="15">
        <f>IF(CD19&gt;0,(CD23/CD19),"")</f>
        <v>0.59633027522935778</v>
      </c>
      <c r="W23" s="15">
        <f>CG23/CG$19</f>
        <v>0.5921501706484642</v>
      </c>
      <c r="X23" s="15">
        <f>CJ23/CJ$19</f>
        <v>0.55828220858895705</v>
      </c>
      <c r="Y23" s="15">
        <f t="shared" si="33"/>
        <v>0.58167330677290841</v>
      </c>
      <c r="Z23" s="15">
        <f>CP23/CP$19</f>
        <v>0.55000000000000004</v>
      </c>
      <c r="AA23" s="15">
        <f t="shared" si="58"/>
        <v>0.56089385474860332</v>
      </c>
      <c r="AB23" s="24"/>
      <c r="AD23" s="3"/>
      <c r="AE23" s="35" t="s">
        <v>88</v>
      </c>
      <c r="AF23" s="41">
        <f t="shared" ref="AF23:CD23" si="60">SUM(AF20:AF22)</f>
        <v>39</v>
      </c>
      <c r="AG23" s="41">
        <f t="shared" si="60"/>
        <v>49</v>
      </c>
      <c r="AH23" s="41">
        <f>SUM(AH20:AH22)</f>
        <v>88</v>
      </c>
      <c r="AI23" s="41">
        <f t="shared" si="60"/>
        <v>25</v>
      </c>
      <c r="AJ23" s="41">
        <f t="shared" si="60"/>
        <v>59</v>
      </c>
      <c r="AK23" s="41">
        <f t="shared" si="60"/>
        <v>84</v>
      </c>
      <c r="AL23" s="41">
        <f t="shared" si="60"/>
        <v>21</v>
      </c>
      <c r="AM23" s="41">
        <f t="shared" si="60"/>
        <v>46</v>
      </c>
      <c r="AN23" s="41">
        <f t="shared" si="60"/>
        <v>67</v>
      </c>
      <c r="AO23" s="41">
        <f t="shared" si="60"/>
        <v>57</v>
      </c>
      <c r="AP23" s="41">
        <f t="shared" si="60"/>
        <v>133</v>
      </c>
      <c r="AQ23" s="41">
        <f t="shared" si="60"/>
        <v>190</v>
      </c>
      <c r="AR23" s="41">
        <f t="shared" si="60"/>
        <v>67</v>
      </c>
      <c r="AS23" s="41">
        <f t="shared" si="60"/>
        <v>110</v>
      </c>
      <c r="AT23" s="41">
        <f t="shared" si="60"/>
        <v>177</v>
      </c>
      <c r="AU23" s="41">
        <f t="shared" si="60"/>
        <v>66</v>
      </c>
      <c r="AV23" s="41">
        <f t="shared" si="60"/>
        <v>134</v>
      </c>
      <c r="AW23" s="41">
        <f t="shared" si="60"/>
        <v>200</v>
      </c>
      <c r="AX23" s="41">
        <f t="shared" si="60"/>
        <v>55</v>
      </c>
      <c r="AY23" s="41">
        <f t="shared" si="60"/>
        <v>137</v>
      </c>
      <c r="AZ23" s="41">
        <f t="shared" si="60"/>
        <v>192</v>
      </c>
      <c r="BA23" s="41">
        <f t="shared" si="60"/>
        <v>69</v>
      </c>
      <c r="BB23" s="41">
        <f t="shared" si="60"/>
        <v>130</v>
      </c>
      <c r="BC23" s="41">
        <f t="shared" si="60"/>
        <v>199</v>
      </c>
      <c r="BD23" s="41">
        <f t="shared" si="60"/>
        <v>66</v>
      </c>
      <c r="BE23" s="41">
        <f t="shared" si="60"/>
        <v>121</v>
      </c>
      <c r="BF23" s="41">
        <f t="shared" si="60"/>
        <v>187</v>
      </c>
      <c r="BG23" s="41">
        <f t="shared" si="60"/>
        <v>65</v>
      </c>
      <c r="BH23" s="41">
        <f t="shared" si="60"/>
        <v>113</v>
      </c>
      <c r="BI23" s="41">
        <f t="shared" si="60"/>
        <v>178</v>
      </c>
      <c r="BJ23" s="41">
        <f t="shared" si="60"/>
        <v>59</v>
      </c>
      <c r="BK23" s="41">
        <f t="shared" si="60"/>
        <v>105</v>
      </c>
      <c r="BL23" s="41">
        <f t="shared" si="60"/>
        <v>164</v>
      </c>
      <c r="BM23" s="41">
        <f t="shared" si="60"/>
        <v>66</v>
      </c>
      <c r="BN23" s="41">
        <f t="shared" si="60"/>
        <v>150</v>
      </c>
      <c r="BO23" s="41">
        <f t="shared" si="60"/>
        <v>216</v>
      </c>
      <c r="BP23" s="41">
        <f>SUM(BP20:BP22)</f>
        <v>89</v>
      </c>
      <c r="BQ23" s="41">
        <f t="shared" si="60"/>
        <v>136</v>
      </c>
      <c r="BR23" s="41">
        <f t="shared" si="60"/>
        <v>225</v>
      </c>
      <c r="BS23" s="41">
        <f t="shared" si="60"/>
        <v>94</v>
      </c>
      <c r="BT23" s="41">
        <f t="shared" si="60"/>
        <v>147</v>
      </c>
      <c r="BU23" s="41">
        <f t="shared" si="60"/>
        <v>241</v>
      </c>
      <c r="BV23" s="41">
        <f t="shared" si="60"/>
        <v>88</v>
      </c>
      <c r="BW23" s="41">
        <f t="shared" si="60"/>
        <v>170</v>
      </c>
      <c r="BX23" s="41">
        <f t="shared" si="60"/>
        <v>258</v>
      </c>
      <c r="BY23" s="41">
        <f t="shared" si="60"/>
        <v>93</v>
      </c>
      <c r="BZ23" s="41">
        <f t="shared" si="60"/>
        <v>183</v>
      </c>
      <c r="CA23" s="41">
        <f t="shared" si="60"/>
        <v>276</v>
      </c>
      <c r="CB23" s="41">
        <f t="shared" si="60"/>
        <v>91</v>
      </c>
      <c r="CC23" s="41">
        <f>SUM(CC20:CC22)</f>
        <v>169</v>
      </c>
      <c r="CD23" s="41">
        <f t="shared" si="60"/>
        <v>260</v>
      </c>
      <c r="CE23" s="41">
        <f>SUM(CE20:CE22)</f>
        <v>132</v>
      </c>
      <c r="CF23" s="41">
        <f>SUM(CF20:CF22)</f>
        <v>215</v>
      </c>
      <c r="CG23" s="41">
        <f t="shared" ref="CG23" si="61">SUM(CG20:CG22)</f>
        <v>347</v>
      </c>
      <c r="CH23" s="41">
        <f>SUM(CH20:CH22)</f>
        <v>129</v>
      </c>
      <c r="CI23" s="41">
        <f>SUM(CI20:CI22)</f>
        <v>235</v>
      </c>
      <c r="CJ23" s="41">
        <f t="shared" ref="CJ23" si="62">SUM(CJ20:CJ22)</f>
        <v>364</v>
      </c>
      <c r="CK23" s="41">
        <f>SUM(CK20:CK22)</f>
        <v>176</v>
      </c>
      <c r="CL23" s="41">
        <f>SUM(CL20:CL22)</f>
        <v>262</v>
      </c>
      <c r="CM23" s="41">
        <f t="shared" ref="CM23" si="63">SUM(CM20:CM22)</f>
        <v>438</v>
      </c>
      <c r="CN23" s="41">
        <f>SUM(CN20:CN22)</f>
        <v>147</v>
      </c>
      <c r="CO23" s="41">
        <f>SUM(CO20:CO22)</f>
        <v>271</v>
      </c>
      <c r="CP23" s="41">
        <f t="shared" ref="CP23:CQ23" si="64">SUM(CP20:CP22)</f>
        <v>418</v>
      </c>
      <c r="CQ23" s="41">
        <f t="shared" si="64"/>
        <v>179</v>
      </c>
      <c r="CR23" s="41">
        <f>SUM(CR20:CR22)</f>
        <v>323</v>
      </c>
      <c r="CS23" s="41">
        <f t="shared" ref="CS23" si="65">SUM(CS20:CS22)</f>
        <v>502</v>
      </c>
    </row>
    <row r="24" spans="1:97" ht="13.5" customHeight="1" x14ac:dyDescent="0.2">
      <c r="A24" s="23"/>
      <c r="C24" s="4" t="s">
        <v>25</v>
      </c>
      <c r="D24" s="3"/>
      <c r="E24" s="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24"/>
      <c r="AD24" s="3"/>
      <c r="AE24" s="4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3"/>
    </row>
    <row r="25" spans="1:97" ht="13.5" customHeight="1" x14ac:dyDescent="0.2">
      <c r="A25" s="23"/>
      <c r="D25" s="3" t="s">
        <v>65</v>
      </c>
      <c r="E25" s="3"/>
      <c r="F25" s="11">
        <f>AF13</f>
        <v>1546</v>
      </c>
      <c r="G25" s="11">
        <f>AI13</f>
        <v>1304</v>
      </c>
      <c r="H25" s="11">
        <f>AL13</f>
        <v>1387</v>
      </c>
      <c r="I25" s="11">
        <f>AO13</f>
        <v>1569</v>
      </c>
      <c r="J25" s="11">
        <f>AR13</f>
        <v>1683</v>
      </c>
      <c r="K25" s="11">
        <f>AU13</f>
        <v>1640</v>
      </c>
      <c r="L25" s="11">
        <f>AX13</f>
        <v>1578</v>
      </c>
      <c r="M25" s="11">
        <f>BA13</f>
        <v>1710</v>
      </c>
      <c r="N25" s="11">
        <f>BD13</f>
        <v>1735</v>
      </c>
      <c r="O25" s="11">
        <f>BG13</f>
        <v>1927</v>
      </c>
      <c r="P25" s="11">
        <f>BJ13</f>
        <v>1937</v>
      </c>
      <c r="Q25" s="11">
        <f>BM13</f>
        <v>2095</v>
      </c>
      <c r="R25" s="11">
        <f>BP13</f>
        <v>2162</v>
      </c>
      <c r="S25" s="11">
        <f>BS13</f>
        <v>2183</v>
      </c>
      <c r="T25" s="11">
        <f>BV13</f>
        <v>2149</v>
      </c>
      <c r="U25" s="11">
        <f>BY13</f>
        <v>2221</v>
      </c>
      <c r="V25" s="11">
        <f>CB13</f>
        <v>2225</v>
      </c>
      <c r="W25" s="11">
        <f>CE13</f>
        <v>2667</v>
      </c>
      <c r="X25" s="11">
        <f>CH13</f>
        <v>2534</v>
      </c>
      <c r="Y25" s="11">
        <f>CK13</f>
        <v>2821</v>
      </c>
      <c r="Z25" s="11">
        <f>CN13</f>
        <v>2801</v>
      </c>
      <c r="AA25" s="11">
        <f>CQ13</f>
        <v>2981</v>
      </c>
      <c r="AB25" s="24"/>
      <c r="AD25" s="3"/>
      <c r="AE25" s="4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3"/>
    </row>
    <row r="26" spans="1:97" ht="13.5" customHeight="1" x14ac:dyDescent="0.2">
      <c r="A26" s="23"/>
      <c r="D26" s="15" t="s">
        <v>59</v>
      </c>
      <c r="E26" s="3" t="s">
        <v>60</v>
      </c>
      <c r="F26" s="15">
        <f>IF(AF13&gt;0,(AF14/AF13),"")</f>
        <v>0.23027166882276842</v>
      </c>
      <c r="G26" s="15">
        <f>IF(AI13&gt;0,(AI14/AI13),"")</f>
        <v>0.2338957055214724</v>
      </c>
      <c r="H26" s="15">
        <f>IF(AL13&gt;0,(AL14/AL13),"")</f>
        <v>0.23071377072819033</v>
      </c>
      <c r="I26" s="15">
        <f>IF(AO13&gt;0,(AO14/AO13),"")</f>
        <v>0.2332695984703633</v>
      </c>
      <c r="J26" s="15">
        <f>IF(AR13&gt;0,(AR14/AR13),"")</f>
        <v>0.24955436720142601</v>
      </c>
      <c r="K26" s="15">
        <f>IF(AU13&gt;0,(AU14/AU13),"")</f>
        <v>0.2817073170731707</v>
      </c>
      <c r="L26" s="15">
        <f>IF(AX13&gt;0,(AX14/AX13),"")</f>
        <v>0.29214195183776931</v>
      </c>
      <c r="M26" s="15">
        <f>IF(BA13&gt;0,(BA14/BA13),"")</f>
        <v>0.29239766081871343</v>
      </c>
      <c r="N26" s="15">
        <f>IF(BD13&gt;0,(BD14/BD13),"")</f>
        <v>0.30259365994236309</v>
      </c>
      <c r="O26" s="15">
        <f>IF(BG13&gt;0,(BG14/BG13),"")</f>
        <v>0.31603528801245462</v>
      </c>
      <c r="P26" s="15">
        <f>IF(BJ13&gt;0,(BJ14/BJ13),"")</f>
        <v>0.33195663397005681</v>
      </c>
      <c r="Q26" s="15">
        <f>IF(BM13&gt;0,(BM14/BM13),"")</f>
        <v>0.31933174224343674</v>
      </c>
      <c r="R26" s="15">
        <f>IF(BP13&gt;0,(BP14/BP13),"")</f>
        <v>0.34088806660499538</v>
      </c>
      <c r="S26" s="15">
        <f>IF(BS13&gt;0,(BS14/BS13),"")</f>
        <v>0.3504351809436555</v>
      </c>
      <c r="T26" s="15">
        <f>IF(BV13&gt;0,(BV14/BV13),"")</f>
        <v>0.3769194974406701</v>
      </c>
      <c r="U26" s="15">
        <f>IF(BY13&gt;0,(BY14/BY13),"")</f>
        <v>0.3759567762269248</v>
      </c>
      <c r="V26" s="15">
        <f>IF(CB13&gt;0,(CB14/CB13),"")</f>
        <v>0.37258426966292135</v>
      </c>
      <c r="W26" s="15">
        <f>CE14/CE$13</f>
        <v>0.37645294338207724</v>
      </c>
      <c r="X26" s="15">
        <f>CH14/CH$13</f>
        <v>0.35793212312549327</v>
      </c>
      <c r="Y26" s="15">
        <f t="shared" ref="Y26:Y29" si="66">CK14/CK$13</f>
        <v>0.34136830911024457</v>
      </c>
      <c r="Z26" s="15">
        <f>CN14/CN$13</f>
        <v>0.34130667618707605</v>
      </c>
      <c r="AA26" s="15">
        <f>CQ14/CQ$13</f>
        <v>0.35189533713518956</v>
      </c>
      <c r="AB26" s="24"/>
      <c r="AD26" s="3"/>
      <c r="AE26" s="4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3"/>
    </row>
    <row r="27" spans="1:97" ht="13.5" customHeight="1" x14ac:dyDescent="0.2">
      <c r="A27" s="23"/>
      <c r="D27" s="3"/>
      <c r="E27" s="3" t="s">
        <v>61</v>
      </c>
      <c r="F27" s="15">
        <f>IF(AF13&gt;0,(AF15/AF13),"")</f>
        <v>0.26908150064683051</v>
      </c>
      <c r="G27" s="15">
        <f>IF(AI13&gt;0,(AI15/AI13),"")</f>
        <v>0.28834355828220859</v>
      </c>
      <c r="H27" s="15">
        <f>IF(AL13&gt;0,(AL15/AL13),"")</f>
        <v>0.28262436914203315</v>
      </c>
      <c r="I27" s="15">
        <f>IF(AO13&gt;0,(AO15/AO13),"")</f>
        <v>0.28489483747609945</v>
      </c>
      <c r="J27" s="15">
        <f>IF(AR13&gt;0,(AR15/AR13),"")</f>
        <v>0.31253713606654782</v>
      </c>
      <c r="K27" s="15">
        <f>IF(AU13&gt;0,(AU15/AU13),"")</f>
        <v>0.28719512195121949</v>
      </c>
      <c r="L27" s="15">
        <f>IF(AX13&gt;0,(AX15/AX13),"")</f>
        <v>0.28326996197718629</v>
      </c>
      <c r="M27" s="15">
        <f>IF(BA13&gt;0,(BA15/BA13),"")</f>
        <v>0.30175438596491228</v>
      </c>
      <c r="N27" s="15">
        <f>IF(BD13&gt;0,(BD15/BD13),"")</f>
        <v>0.28703170028818442</v>
      </c>
      <c r="O27" s="15">
        <f>IF(BG13&gt;0,(BG15/BG13),"")</f>
        <v>0.30150492994291644</v>
      </c>
      <c r="P27" s="15">
        <f>IF(BJ13&gt;0,(BJ15/BJ13),"")</f>
        <v>0.26535880227155395</v>
      </c>
      <c r="Q27" s="15">
        <f>IF(BM13&gt;0,(BM15/BM13),"")</f>
        <v>0.27875894988066824</v>
      </c>
      <c r="R27" s="15">
        <f>IF(BP13&gt;0,(BP15/BP13),"")</f>
        <v>0.25485661424606848</v>
      </c>
      <c r="S27" s="15">
        <f>IF(BS13&gt;0,(BS15/BS13),"")</f>
        <v>0.27164452588181404</v>
      </c>
      <c r="T27" s="15">
        <f>IF(BV13&gt;0,(BV15/BV13),"")</f>
        <v>0.24895300139599813</v>
      </c>
      <c r="U27" s="15">
        <f>IF(BY13&gt;0,(BY15/BY13),"")</f>
        <v>0.25799189554254842</v>
      </c>
      <c r="V27" s="15">
        <f>IF(CB13&gt;0,(CB15/CB13),"")</f>
        <v>0.25123595505617979</v>
      </c>
      <c r="W27" s="15">
        <f t="shared" ref="W27:W28" si="67">CE15/CE$13</f>
        <v>0.24859392575928008</v>
      </c>
      <c r="X27" s="15">
        <f>CH15/CH$13</f>
        <v>0.24427782162588793</v>
      </c>
      <c r="Y27" s="15">
        <f t="shared" si="66"/>
        <v>0.25522864232541653</v>
      </c>
      <c r="Z27" s="15">
        <f>CN15/CN$13</f>
        <v>0.25740806854694753</v>
      </c>
      <c r="AA27" s="15">
        <f t="shared" ref="AA27:AA29" si="68">CQ15/CQ$13</f>
        <v>0.25964441462596444</v>
      </c>
      <c r="AB27" s="24"/>
      <c r="AD27" s="4"/>
      <c r="AE27" s="4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3"/>
    </row>
    <row r="28" spans="1:97" ht="13.5" customHeight="1" x14ac:dyDescent="0.2">
      <c r="A28" s="23"/>
      <c r="D28" s="3"/>
      <c r="E28" s="3" t="s">
        <v>62</v>
      </c>
      <c r="F28" s="18">
        <f>IF(AF13&gt;0,(AF16/AF13),"")</f>
        <v>5.36869340232859E-2</v>
      </c>
      <c r="G28" s="18">
        <f>IF(AI13&gt;0,(AI16/AI13),"")</f>
        <v>4.8312883435582821E-2</v>
      </c>
      <c r="H28" s="18">
        <f>IF(AL13&gt;0,(AL16/AL13),"")</f>
        <v>5.2631578947368418E-2</v>
      </c>
      <c r="I28" s="18">
        <f>IF(AO13&gt;0,(AO16/AO13),"")</f>
        <v>4.9075844486934354E-2</v>
      </c>
      <c r="J28" s="18">
        <f>IF(AR13&gt;0,(AR16/AR13),"")</f>
        <v>6.1200237670825906E-2</v>
      </c>
      <c r="K28" s="18">
        <f>IF(AU13&gt;0,(AU16/AU13),"")</f>
        <v>6.1585365853658536E-2</v>
      </c>
      <c r="L28" s="18">
        <f>IF(AX13&gt;0,(AX16/AX13),"")</f>
        <v>4.0557667934093787E-2</v>
      </c>
      <c r="M28" s="18">
        <f>IF(BA13&gt;0,(BA16/BA13),"")</f>
        <v>4.3274853801169591E-2</v>
      </c>
      <c r="N28" s="18">
        <f>IF(BD13&gt;0,(BD16/BD13),"")</f>
        <v>4.4380403458213258E-2</v>
      </c>
      <c r="O28" s="18">
        <f>IF(BG13&gt;0,(BG16/BG13),"")</f>
        <v>4.5147898287493514E-2</v>
      </c>
      <c r="P28" s="18">
        <f>IF(BJ13&gt;0,(BJ16/BJ13),"")</f>
        <v>4.2333505420753745E-2</v>
      </c>
      <c r="Q28" s="18">
        <f>IF(BM13&gt;0,(BM16/BM13),"")</f>
        <v>4.7255369928400952E-2</v>
      </c>
      <c r="R28" s="18">
        <f>IF(BP13&gt;0,(BP16/BP13),"")</f>
        <v>4.3478260869565216E-2</v>
      </c>
      <c r="S28" s="18">
        <f>IF(BS13&gt;0,(BS16/BS13),"")</f>
        <v>4.7640861200183231E-2</v>
      </c>
      <c r="T28" s="18">
        <f>IF(BV13&gt;0,(BV16/BV13),"")</f>
        <v>4.4671940437412752E-2</v>
      </c>
      <c r="U28" s="18">
        <f>IF(BY13&gt;0,(BY16/BY13),"")</f>
        <v>3.9621791985592077E-2</v>
      </c>
      <c r="V28" s="18">
        <f>IF(CB13&gt;0,(CB16/CB13),"")</f>
        <v>3.7752808988764042E-2</v>
      </c>
      <c r="W28" s="18">
        <f t="shared" si="67"/>
        <v>4.0494938132733409E-2</v>
      </c>
      <c r="X28" s="18">
        <f>CH16/CH$13</f>
        <v>4.1041831097079713E-2</v>
      </c>
      <c r="Y28" s="18">
        <f t="shared" si="66"/>
        <v>5.0691244239631339E-2</v>
      </c>
      <c r="Z28" s="18">
        <f>CN16/CN$13</f>
        <v>4.7126026419136026E-2</v>
      </c>
      <c r="AA28" s="18">
        <f t="shared" si="68"/>
        <v>3.6229453203622947E-2</v>
      </c>
      <c r="AB28" s="24"/>
      <c r="AD28" s="4"/>
      <c r="AE28" s="4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3"/>
    </row>
    <row r="29" spans="1:97" ht="13.5" customHeight="1" x14ac:dyDescent="0.2">
      <c r="A29" s="23"/>
      <c r="D29" s="3"/>
      <c r="E29" s="3"/>
      <c r="F29" s="15">
        <f>IF(AF13&gt;0,(AF17/AF13),"")</f>
        <v>0.5530401034928849</v>
      </c>
      <c r="G29" s="15">
        <f>IF(AI13&gt;0,(AI17/AI13),"")</f>
        <v>0.57055214723926384</v>
      </c>
      <c r="H29" s="15">
        <f>IF(AL13&gt;0,(AL17/AL13),"")</f>
        <v>0.56596971881759195</v>
      </c>
      <c r="I29" s="15">
        <f>IF(AO13&gt;0,(AO17/AO13),"")</f>
        <v>0.56724028043339703</v>
      </c>
      <c r="J29" s="15">
        <f>IF(AR13&gt;0,(AR17/AR13),"")</f>
        <v>0.6232917409387998</v>
      </c>
      <c r="K29" s="15">
        <f>IF(AU13&gt;0,(AU17/AU13),"")</f>
        <v>0.63048780487804879</v>
      </c>
      <c r="L29" s="15">
        <f>IF(AX13&gt;0,(AX17/AX13),"")</f>
        <v>0.61596958174904948</v>
      </c>
      <c r="M29" s="15">
        <f>IF(BA13&gt;0,(BA17/BA13),"")</f>
        <v>0.63742690058479534</v>
      </c>
      <c r="N29" s="15">
        <f>IF(BD13&gt;0,(BD17/BD13),"")</f>
        <v>0.63400576368876083</v>
      </c>
      <c r="O29" s="15">
        <f>IF(BG13&gt;0,(BG17/BG13),"")</f>
        <v>0.66268811624286461</v>
      </c>
      <c r="P29" s="15">
        <f>IF(BJ13&gt;0,(BJ17/BJ13),"")</f>
        <v>0.63964894166236452</v>
      </c>
      <c r="Q29" s="15">
        <f>IF(BM13&gt;0,(BM17/BM13),"")</f>
        <v>0.645346062052506</v>
      </c>
      <c r="R29" s="15">
        <f>IF(BP13&gt;0,(BP17/BP13),"")</f>
        <v>0.6392229417206291</v>
      </c>
      <c r="S29" s="15">
        <f>IF(BS13&gt;0,(BS17/BS13),"")</f>
        <v>0.66972056802565272</v>
      </c>
      <c r="T29" s="15">
        <f>IF(BV13&gt;0,(BV17/BV13),"")</f>
        <v>0.67054443927408092</v>
      </c>
      <c r="U29" s="15">
        <f>IF(BY13&gt;0,(BY17/BY13),"")</f>
        <v>0.67357046375506524</v>
      </c>
      <c r="V29" s="15">
        <f>IF(CB13&gt;0,(CB17/CB13),"")</f>
        <v>0.66157303370786513</v>
      </c>
      <c r="W29" s="15">
        <f>CE17/CE$13</f>
        <v>0.66554180727409074</v>
      </c>
      <c r="X29" s="15">
        <f>CH17/CH$13</f>
        <v>0.64325177584846094</v>
      </c>
      <c r="Y29" s="15">
        <f t="shared" si="66"/>
        <v>0.6472881956752925</v>
      </c>
      <c r="Z29" s="15">
        <f>CN17/CN$13</f>
        <v>0.64584077115315963</v>
      </c>
      <c r="AA29" s="15">
        <f t="shared" si="68"/>
        <v>0.64776920496477697</v>
      </c>
      <c r="AB29" s="24"/>
      <c r="AD29" s="4"/>
      <c r="AE29" s="4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3"/>
    </row>
    <row r="30" spans="1:97" ht="13.5" customHeight="1" x14ac:dyDescent="0.2">
      <c r="A30" s="23"/>
      <c r="C30" s="4" t="s">
        <v>26</v>
      </c>
      <c r="D30" s="3"/>
      <c r="E30" s="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24"/>
      <c r="AD30" s="4"/>
      <c r="AE30" s="4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3"/>
    </row>
    <row r="31" spans="1:97" ht="13.5" customHeight="1" x14ac:dyDescent="0.2">
      <c r="A31" s="23"/>
      <c r="D31" s="3" t="s">
        <v>65</v>
      </c>
      <c r="E31" s="3"/>
      <c r="F31" s="11">
        <f>AG13</f>
        <v>1820</v>
      </c>
      <c r="G31" s="11">
        <f>AJ13</f>
        <v>1600</v>
      </c>
      <c r="H31" s="11">
        <f>AM13</f>
        <v>1511</v>
      </c>
      <c r="I31" s="11">
        <f>AP13</f>
        <v>2019</v>
      </c>
      <c r="J31" s="11">
        <f>AS13</f>
        <v>2099</v>
      </c>
      <c r="K31" s="11">
        <f>AV13</f>
        <v>2046</v>
      </c>
      <c r="L31" s="11">
        <f>AY13</f>
        <v>1936</v>
      </c>
      <c r="M31" s="11">
        <f>BB13</f>
        <v>2077</v>
      </c>
      <c r="N31" s="11">
        <f>BE13</f>
        <v>2141</v>
      </c>
      <c r="O31" s="11">
        <f>BH13</f>
        <v>2247</v>
      </c>
      <c r="P31" s="11">
        <f>BK13</f>
        <v>2176</v>
      </c>
      <c r="Q31" s="11">
        <f>BN13</f>
        <v>2284</v>
      </c>
      <c r="R31" s="11">
        <f>BQ13</f>
        <v>2443</v>
      </c>
      <c r="S31" s="11">
        <f>BT13</f>
        <v>2442</v>
      </c>
      <c r="T31" s="11">
        <f>BW13</f>
        <v>2513</v>
      </c>
      <c r="U31" s="11">
        <f>BZ13</f>
        <v>2562</v>
      </c>
      <c r="V31" s="11">
        <f>CC13</f>
        <v>2672</v>
      </c>
      <c r="W31" s="11">
        <f>CF13</f>
        <v>3031</v>
      </c>
      <c r="X31" s="11">
        <f>CI13</f>
        <v>2958</v>
      </c>
      <c r="Y31" s="11">
        <f>CL13</f>
        <v>3175</v>
      </c>
      <c r="Z31" s="11">
        <f>CO13</f>
        <v>3245</v>
      </c>
      <c r="AA31" s="11">
        <f>CR13</f>
        <v>3390</v>
      </c>
      <c r="AB31" s="24"/>
      <c r="AD31" s="4"/>
      <c r="AE31" s="4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3"/>
    </row>
    <row r="32" spans="1:97" ht="13.5" customHeight="1" x14ac:dyDescent="0.2">
      <c r="A32" s="23"/>
      <c r="D32" s="15" t="s">
        <v>59</v>
      </c>
      <c r="E32" s="3" t="s">
        <v>60</v>
      </c>
      <c r="F32" s="15">
        <f>IF(AG13&gt;0,(AG14/AG13),"")</f>
        <v>0.33076923076923076</v>
      </c>
      <c r="G32" s="15">
        <f>IF(AJ13&gt;0,(AJ14/AJ13),"")</f>
        <v>0.32687500000000003</v>
      </c>
      <c r="H32" s="15">
        <f>IF(AM13&gt;0,(AM14/AM13),"")</f>
        <v>0.33620119126406356</v>
      </c>
      <c r="I32" s="15">
        <f>IF(AP13&gt;0,(AP14/AP13),"")</f>
        <v>0.33927686973749382</v>
      </c>
      <c r="J32" s="15">
        <f>IF(AS13&gt;0,(AS14/AS13),"")</f>
        <v>0.3763696998570748</v>
      </c>
      <c r="K32" s="15">
        <f>IF(AV13&gt;0,(AV14/AV13),"")</f>
        <v>0.40078201368523947</v>
      </c>
      <c r="L32" s="15">
        <f>IF(AY13&gt;0,(AY14/AY13),"")</f>
        <v>0.42820247933884298</v>
      </c>
      <c r="M32" s="15">
        <f>IF(BB13&gt;0,(BB14/BB13),"")</f>
        <v>0.44535387578237845</v>
      </c>
      <c r="N32" s="15">
        <f>IF(BE13&gt;0,(BE14/BE13),"")</f>
        <v>0.44044838860345631</v>
      </c>
      <c r="O32" s="15">
        <f>IF(BH13&gt;0,(BH14/BH13),"")</f>
        <v>0.46639964396973743</v>
      </c>
      <c r="P32" s="15">
        <f>IF(BK13&gt;0,(BK14/BK13),"")</f>
        <v>0.47931985294117646</v>
      </c>
      <c r="Q32" s="15">
        <f>IF(BN13&gt;0,(BN14/BN13),"")</f>
        <v>0.50087565674255696</v>
      </c>
      <c r="R32" s="15">
        <f>IF(BQ13&gt;0,(BQ14/BQ13),"")</f>
        <v>0.51084731887024148</v>
      </c>
      <c r="S32" s="15">
        <f>IF(BT13&gt;0,(BT14/BT13),"")</f>
        <v>0.50286650286650292</v>
      </c>
      <c r="T32" s="15">
        <f>IF(BW13&gt;0,(BW14/BW13),"")</f>
        <v>0.50815758058097893</v>
      </c>
      <c r="U32" s="15">
        <f>IF(BZ13&gt;0,(BZ14/BZ13),"")</f>
        <v>0.54605776736924283</v>
      </c>
      <c r="V32" s="15">
        <f>IF(CC13&gt;0,(CC14/CC13),"")</f>
        <v>0.55239520958083832</v>
      </c>
      <c r="W32" s="15">
        <f>CF14/CF$13</f>
        <v>0.53381722203893101</v>
      </c>
      <c r="X32" s="15">
        <f>CI14/CI$13</f>
        <v>0.54766734279918861</v>
      </c>
      <c r="Y32" s="15">
        <f t="shared" ref="Y32:Y35" si="69">CL14/CL$13</f>
        <v>0.52850393700787401</v>
      </c>
      <c r="Z32" s="15">
        <f>CO14/CO$13</f>
        <v>0.52480739599383663</v>
      </c>
      <c r="AA32" s="15">
        <f>CR14/CR$13</f>
        <v>0.55280235988200588</v>
      </c>
      <c r="AB32" s="24"/>
      <c r="AD32" s="4"/>
      <c r="AE32" s="4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3"/>
    </row>
    <row r="33" spans="1:95" ht="13.5" customHeight="1" x14ac:dyDescent="0.2">
      <c r="A33" s="23"/>
      <c r="D33" s="3"/>
      <c r="E33" s="3" t="s">
        <v>61</v>
      </c>
      <c r="F33" s="15">
        <f>IF(AG13&gt;0,(AG15/AG13),"")</f>
        <v>0.22087912087912087</v>
      </c>
      <c r="G33" s="15">
        <f>IF(AJ13&gt;0,(AJ15/AJ13),"")</f>
        <v>0.25874999999999998</v>
      </c>
      <c r="H33" s="15">
        <f>IF(AM13&gt;0,(AM15/AM13),"")</f>
        <v>0.26340172071475842</v>
      </c>
      <c r="I33" s="15">
        <f>IF(AP13&gt;0,(AP15/AP13),"")</f>
        <v>0.24418028727092619</v>
      </c>
      <c r="J33" s="15">
        <f>IF(AS13&gt;0,(AS15/AS13),"")</f>
        <v>0.24821343496903286</v>
      </c>
      <c r="K33" s="15">
        <f>IF(AV13&gt;0,(AV15/AV13),"")</f>
        <v>0.23264907135874877</v>
      </c>
      <c r="L33" s="15">
        <f>IF(AY13&gt;0,(AY15/AY13),"")</f>
        <v>0.24483471074380164</v>
      </c>
      <c r="M33" s="15">
        <f>IF(BB13&gt;0,(BB15/BB13),"")</f>
        <v>0.24073182474723159</v>
      </c>
      <c r="N33" s="15">
        <f>IF(BE13&gt;0,(BE15/BE13),"")</f>
        <v>0.21485287248949089</v>
      </c>
      <c r="O33" s="15">
        <f>IF(BH13&gt;0,(BH15/BH13),"")</f>
        <v>0.2136181575433912</v>
      </c>
      <c r="P33" s="15">
        <f>IF(BK13&gt;0,(BK15/BK13),"")</f>
        <v>0.19944852941176472</v>
      </c>
      <c r="Q33" s="15">
        <f>IF(BN13&gt;0,(BN15/BN13),"")</f>
        <v>0.2000875656742557</v>
      </c>
      <c r="R33" s="15">
        <f>IF(BQ13&gt;0,(BQ15/BQ13),"")</f>
        <v>0.18338108882521489</v>
      </c>
      <c r="S33" s="15">
        <f>IF(BT13&gt;0,(BT15/BT13),"")</f>
        <v>0.18550368550368551</v>
      </c>
      <c r="T33" s="15">
        <f>IF(BW13&gt;0,(BW15/BW13),"")</f>
        <v>0.17548746518105848</v>
      </c>
      <c r="U33" s="15">
        <f>IF(BZ13&gt;0,(BZ15/BZ13),"")</f>
        <v>0.16744730679156908</v>
      </c>
      <c r="V33" s="15">
        <f>IF(CC13&gt;0,(CC15/CC13),"")</f>
        <v>0.15793413173652696</v>
      </c>
      <c r="W33" s="15">
        <f t="shared" ref="W33:W34" si="70">CF15/CF$13</f>
        <v>0.16496205872649292</v>
      </c>
      <c r="X33" s="15">
        <f>CI15/CI$13</f>
        <v>0.15787694388100068</v>
      </c>
      <c r="Y33" s="15">
        <f t="shared" si="69"/>
        <v>0.16346456692913386</v>
      </c>
      <c r="Z33" s="15">
        <f>CO15/CO$13</f>
        <v>0.1707241910631741</v>
      </c>
      <c r="AA33" s="15">
        <f>CR15/CR$13</f>
        <v>0.16165191740412979</v>
      </c>
      <c r="AB33" s="24"/>
      <c r="AD33" s="4"/>
      <c r="AE33" s="4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3"/>
    </row>
    <row r="34" spans="1:95" ht="13.5" customHeight="1" x14ac:dyDescent="0.2">
      <c r="A34" s="23"/>
      <c r="D34" s="3"/>
      <c r="E34" s="3" t="s">
        <v>62</v>
      </c>
      <c r="F34" s="18">
        <f>IF(AG13&gt;0,(AG16/AG13),"")</f>
        <v>4.2857142857142858E-2</v>
      </c>
      <c r="G34" s="18">
        <f>IF(AJ13&gt;0,(AJ16/AJ13),"")</f>
        <v>3.3750000000000002E-2</v>
      </c>
      <c r="H34" s="18">
        <f>IF(AM13&gt;0,(AM16/AM13),"")</f>
        <v>3.4414295168762411E-2</v>
      </c>
      <c r="I34" s="18">
        <f>IF(AP13&gt;0,(AP16/AP13),"")</f>
        <v>4.0118870728083213E-2</v>
      </c>
      <c r="J34" s="18">
        <f>IF(AS13&gt;0,(AS16/AS13),"")</f>
        <v>4.3353978084802285E-2</v>
      </c>
      <c r="K34" s="18">
        <f>IF(AV13&gt;0,(AV16/AV13),"")</f>
        <v>3.4213098729227759E-2</v>
      </c>
      <c r="L34" s="18">
        <f>IF(AY13&gt;0,(AY16/AY13),"")</f>
        <v>2.9958677685950414E-2</v>
      </c>
      <c r="M34" s="18">
        <f>IF(BB13&gt;0,(BB16/BB13),"")</f>
        <v>2.4554646124217622E-2</v>
      </c>
      <c r="N34" s="18">
        <f>IF(BE13&gt;0,(BE16/BE13),"")</f>
        <v>2.475478748248482E-2</v>
      </c>
      <c r="O34" s="18">
        <f>IF(BH13&gt;0,(BH16/BH13),"")</f>
        <v>2.9817534490431688E-2</v>
      </c>
      <c r="P34" s="18">
        <f>IF(BK13&gt;0,(BK16/BK13),"")</f>
        <v>2.2518382352941176E-2</v>
      </c>
      <c r="Q34" s="18">
        <f>IF(BN13&gt;0,(BN16/BN13),"")</f>
        <v>3.0210157618213659E-2</v>
      </c>
      <c r="R34" s="18">
        <f>IF(BQ13&gt;0,(BQ16/BQ13),"")</f>
        <v>2.0875972165370446E-2</v>
      </c>
      <c r="S34" s="18">
        <f>IF(BT13&gt;0,(BT16/BT13),"")</f>
        <v>2.6617526617526619E-2</v>
      </c>
      <c r="T34" s="18">
        <f>IF(BW13&gt;0,(BW16/BW13),"")</f>
        <v>2.109033028253084E-2</v>
      </c>
      <c r="U34" s="18">
        <f>IF(BZ13&gt;0,(BZ16/BZ13),"")</f>
        <v>2.4980483996877439E-2</v>
      </c>
      <c r="V34" s="18">
        <f>IF(CC13&gt;0,(CC16/CC13),"")</f>
        <v>2.3952095808383235E-2</v>
      </c>
      <c r="W34" s="18">
        <f t="shared" si="70"/>
        <v>2.1774991751897062E-2</v>
      </c>
      <c r="X34" s="18">
        <f>CI16/CI$13</f>
        <v>2.0283975659229209E-2</v>
      </c>
      <c r="Y34" s="18">
        <f t="shared" si="69"/>
        <v>2.2992125984251967E-2</v>
      </c>
      <c r="Z34" s="18">
        <f>CO16/CO$13</f>
        <v>1.8181818181818181E-2</v>
      </c>
      <c r="AA34" s="18">
        <f t="shared" ref="AA34" si="71">CR16/CR$13</f>
        <v>1.2979351032448377E-2</v>
      </c>
      <c r="AB34" s="24"/>
      <c r="AD34" s="4"/>
      <c r="AE34" s="4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3"/>
    </row>
    <row r="35" spans="1:95" ht="13.5" customHeight="1" x14ac:dyDescent="0.2">
      <c r="A35" s="23"/>
      <c r="D35" s="3"/>
      <c r="E35" s="3"/>
      <c r="F35" s="15">
        <f>IF(AG13&gt;0,(AG17/AG13),"")</f>
        <v>0.5945054945054945</v>
      </c>
      <c r="G35" s="15">
        <f>IF(AJ13&gt;0,(AJ17/AJ13),"")</f>
        <v>0.61937500000000001</v>
      </c>
      <c r="H35" s="15">
        <f>IF(AM13&gt;0,(AM17/AM13),"")</f>
        <v>0.63401720714758436</v>
      </c>
      <c r="I35" s="15">
        <f>IF(AP13&gt;0,(AP17/AP13),"")</f>
        <v>0.62357602773650322</v>
      </c>
      <c r="J35" s="15">
        <f>IF(AS13&gt;0,(AS17/AS13),"")</f>
        <v>0.66793711291090996</v>
      </c>
      <c r="K35" s="15">
        <f>IF(AV13&gt;0,(AV17/AV13),"")</f>
        <v>0.66764418377321599</v>
      </c>
      <c r="L35" s="15">
        <f>IF(AY13&gt;0,(AY17/AY13),"")</f>
        <v>0.70299586776859502</v>
      </c>
      <c r="M35" s="15">
        <f>IF(BB13&gt;0,(BB17/BB13),"")</f>
        <v>0.71064034665382758</v>
      </c>
      <c r="N35" s="15">
        <f>IF(BE13&gt;0,(BE17/BE13),"")</f>
        <v>0.680056048575432</v>
      </c>
      <c r="O35" s="15">
        <f>IF(BH13&gt;0,(BH17/BH13),"")</f>
        <v>0.7098353360035603</v>
      </c>
      <c r="P35" s="15">
        <f>IF(BK13&gt;0,(BK17/BK13),"")</f>
        <v>0.70128676470588236</v>
      </c>
      <c r="Q35" s="15">
        <f>IF(BN13&gt;0,(BN17/BN13),"")</f>
        <v>0.7311733800350263</v>
      </c>
      <c r="R35" s="15">
        <f>IF(BQ13&gt;0,(BQ17/BQ13),"")</f>
        <v>0.71510437986082687</v>
      </c>
      <c r="S35" s="15">
        <f>IF(BT13&gt;0,(BT17/BT13),"")</f>
        <v>0.71498771498771496</v>
      </c>
      <c r="T35" s="15">
        <f>IF(BW13&gt;0,(BW17/BW13),"")</f>
        <v>0.70473537604456826</v>
      </c>
      <c r="U35" s="15">
        <f>IF(BZ13&gt;0,(BZ17/BZ13),"")</f>
        <v>0.73848555815768935</v>
      </c>
      <c r="V35" s="15">
        <f>IF(CC13&gt;0,(CC17/CC13),"")</f>
        <v>0.73428143712574845</v>
      </c>
      <c r="W35" s="15">
        <f>CF17/CF$13</f>
        <v>0.72055427251732107</v>
      </c>
      <c r="X35" s="15">
        <f>CI17/CI$13</f>
        <v>0.72582826233941855</v>
      </c>
      <c r="Y35" s="15">
        <f t="shared" si="69"/>
        <v>0.71496062992125986</v>
      </c>
      <c r="Z35" s="15">
        <f>CO17/CO$13</f>
        <v>0.71371340523882898</v>
      </c>
      <c r="AA35" s="15">
        <f>CR17/CR$13</f>
        <v>0.72743362831858405</v>
      </c>
      <c r="AB35" s="24"/>
      <c r="AD35" s="4"/>
      <c r="AE35" s="4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3"/>
    </row>
    <row r="36" spans="1:95" ht="13.5" customHeight="1" thickBot="1" x14ac:dyDescent="0.25">
      <c r="A36" s="23"/>
      <c r="B36" s="5"/>
      <c r="C36" s="5"/>
      <c r="D36" s="5"/>
      <c r="E36" s="5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3"/>
      <c r="AA36" s="3"/>
      <c r="AB36" s="24"/>
      <c r="AF36" s="16"/>
      <c r="AG36" s="16"/>
      <c r="AH36" s="16"/>
      <c r="AI36" s="16"/>
      <c r="AJ36" s="16"/>
      <c r="AK36" s="16"/>
      <c r="AL36" s="16"/>
      <c r="AM36" s="16"/>
      <c r="AN36" s="16"/>
      <c r="AV36" s="19"/>
      <c r="AW36" s="19"/>
      <c r="AY36" s="19"/>
      <c r="AZ36" s="19"/>
      <c r="BB36" s="19"/>
      <c r="BC36" s="19"/>
      <c r="BE36" s="19"/>
      <c r="BF36" s="19"/>
      <c r="BH36" s="19"/>
      <c r="BI36" s="19"/>
      <c r="BK36" s="19"/>
      <c r="BL36" s="19"/>
      <c r="BN36" s="19"/>
      <c r="BO36" s="19"/>
      <c r="BQ36" s="19"/>
      <c r="BR36" s="19"/>
      <c r="BT36" s="19"/>
      <c r="BU36" s="19"/>
      <c r="BW36" s="19"/>
      <c r="BX36" s="19"/>
      <c r="BZ36" s="19"/>
      <c r="CA36" s="19"/>
      <c r="CC36" s="19"/>
      <c r="CD36" s="19"/>
      <c r="CF36" s="19"/>
      <c r="CG36" s="19"/>
      <c r="CI36" s="19"/>
      <c r="CJ36" s="19"/>
      <c r="CL36" s="19"/>
      <c r="CM36" s="19"/>
      <c r="CO36" s="19"/>
      <c r="CP36" s="19"/>
    </row>
    <row r="37" spans="1:95" ht="13.5" customHeight="1" thickTop="1" x14ac:dyDescent="0.2">
      <c r="A37" s="23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5" t="s">
        <v>70</v>
      </c>
      <c r="P37" s="35" t="s">
        <v>69</v>
      </c>
      <c r="Q37" s="35" t="s">
        <v>40</v>
      </c>
      <c r="R37" s="35" t="s">
        <v>39</v>
      </c>
      <c r="S37" s="35" t="s">
        <v>38</v>
      </c>
      <c r="T37" s="35" t="s">
        <v>37</v>
      </c>
      <c r="U37" s="35" t="s">
        <v>36</v>
      </c>
      <c r="V37" s="35" t="s">
        <v>34</v>
      </c>
      <c r="W37" s="35" t="s">
        <v>33</v>
      </c>
      <c r="X37" s="35" t="s">
        <v>32</v>
      </c>
      <c r="Y37" s="35" t="s">
        <v>31</v>
      </c>
      <c r="Z37" s="3"/>
      <c r="AA37" s="3"/>
      <c r="AB37" s="24"/>
      <c r="AF37" s="16"/>
      <c r="AG37" s="16"/>
      <c r="AH37" s="16"/>
      <c r="AI37" s="16"/>
      <c r="AJ37" s="16"/>
      <c r="AK37" s="16"/>
      <c r="AL37" s="16"/>
      <c r="AM37" s="16"/>
      <c r="AN37" s="16"/>
      <c r="AV37" s="19"/>
      <c r="AW37" s="19"/>
      <c r="AY37" s="19"/>
      <c r="AZ37" s="19"/>
      <c r="BB37" s="19"/>
      <c r="BC37" s="19"/>
      <c r="BE37" s="19"/>
      <c r="BF37" s="19"/>
      <c r="BG37" s="81" t="s">
        <v>50</v>
      </c>
      <c r="BH37" s="81"/>
      <c r="BI37" s="81"/>
      <c r="BJ37" s="81" t="s">
        <v>51</v>
      </c>
      <c r="BK37" s="81"/>
      <c r="BL37" s="81"/>
      <c r="BM37" s="81" t="s">
        <v>52</v>
      </c>
      <c r="BN37" s="81"/>
      <c r="BO37" s="81"/>
      <c r="BP37" s="81" t="s">
        <v>53</v>
      </c>
      <c r="BQ37" s="81"/>
      <c r="BR37" s="81"/>
      <c r="BS37" s="81" t="s">
        <v>54</v>
      </c>
      <c r="BT37" s="81"/>
      <c r="BU37" s="81"/>
      <c r="BV37" s="81" t="s">
        <v>55</v>
      </c>
      <c r="BW37" s="81"/>
      <c r="BX37" s="81"/>
      <c r="BY37" s="81" t="s">
        <v>56</v>
      </c>
      <c r="BZ37" s="81"/>
      <c r="CA37" s="81"/>
      <c r="CB37" s="81" t="s">
        <v>27</v>
      </c>
      <c r="CC37" s="81"/>
      <c r="CD37" s="81"/>
      <c r="CE37" s="81" t="s">
        <v>91</v>
      </c>
      <c r="CF37" s="81"/>
      <c r="CG37" s="81"/>
      <c r="CH37" s="81" t="s">
        <v>98</v>
      </c>
      <c r="CI37" s="81"/>
      <c r="CJ37" s="81"/>
      <c r="CK37" s="81" t="s">
        <v>102</v>
      </c>
      <c r="CL37" s="81"/>
      <c r="CM37" s="81"/>
      <c r="CO37" s="19"/>
      <c r="CP37" s="19"/>
    </row>
    <row r="38" spans="1:95" ht="13.5" customHeight="1" x14ac:dyDescent="0.2">
      <c r="A38" s="23"/>
      <c r="B38" s="4"/>
      <c r="C38" s="4"/>
      <c r="D38" s="4"/>
      <c r="E38" s="4"/>
      <c r="F38" s="3"/>
      <c r="G38" s="3"/>
      <c r="H38" s="3"/>
      <c r="I38" s="3"/>
      <c r="J38" s="3"/>
      <c r="K38" s="3"/>
      <c r="L38" s="3"/>
      <c r="M38" s="3"/>
      <c r="N38" s="3"/>
      <c r="O38" s="35" t="s">
        <v>35</v>
      </c>
      <c r="P38" s="35" t="s">
        <v>35</v>
      </c>
      <c r="Q38" s="35" t="s">
        <v>35</v>
      </c>
      <c r="R38" s="35" t="s">
        <v>35</v>
      </c>
      <c r="S38" s="35" t="s">
        <v>35</v>
      </c>
      <c r="T38" s="35" t="s">
        <v>35</v>
      </c>
      <c r="U38" s="35" t="s">
        <v>35</v>
      </c>
      <c r="V38" s="35" t="s">
        <v>35</v>
      </c>
      <c r="W38" s="35" t="s">
        <v>35</v>
      </c>
      <c r="X38" s="35" t="s">
        <v>35</v>
      </c>
      <c r="Y38" s="35" t="s">
        <v>35</v>
      </c>
      <c r="Z38" s="3"/>
      <c r="AA38" s="3"/>
      <c r="AB38" s="24"/>
      <c r="AF38" s="16"/>
      <c r="AG38" s="16"/>
      <c r="AH38" s="16"/>
      <c r="AI38" s="16"/>
      <c r="AJ38" s="16"/>
      <c r="AK38" s="16"/>
      <c r="AL38" s="16"/>
      <c r="AM38" s="16"/>
      <c r="AN38" s="16"/>
      <c r="AV38" s="19"/>
      <c r="AW38" s="19"/>
      <c r="AY38" s="19"/>
      <c r="AZ38" s="19"/>
      <c r="BB38" s="19"/>
      <c r="BC38" s="19"/>
      <c r="BE38" s="19"/>
      <c r="BF38" s="19"/>
      <c r="BG38" s="81" t="s">
        <v>12</v>
      </c>
      <c r="BH38" s="81"/>
      <c r="BI38" s="81"/>
      <c r="BJ38" s="81" t="s">
        <v>13</v>
      </c>
      <c r="BK38" s="81"/>
      <c r="BL38" s="81"/>
      <c r="BM38" s="81" t="s">
        <v>14</v>
      </c>
      <c r="BN38" s="81"/>
      <c r="BO38" s="81"/>
      <c r="BP38" s="81" t="s">
        <v>15</v>
      </c>
      <c r="BQ38" s="81"/>
      <c r="BR38" s="81"/>
      <c r="BS38" s="81" t="s">
        <v>16</v>
      </c>
      <c r="BT38" s="81"/>
      <c r="BU38" s="81"/>
      <c r="BV38" s="81" t="s">
        <v>17</v>
      </c>
      <c r="BW38" s="81"/>
      <c r="BX38" s="81"/>
      <c r="BY38" s="81" t="s">
        <v>92</v>
      </c>
      <c r="BZ38" s="81"/>
      <c r="CA38" s="81"/>
      <c r="CB38" s="81" t="s">
        <v>99</v>
      </c>
      <c r="CC38" s="81"/>
      <c r="CD38" s="81"/>
      <c r="CE38" s="81" t="s">
        <v>101</v>
      </c>
      <c r="CF38" s="81"/>
      <c r="CG38" s="81"/>
      <c r="CH38" s="81" t="s">
        <v>104</v>
      </c>
      <c r="CI38" s="81"/>
      <c r="CJ38" s="81"/>
      <c r="CK38" s="81" t="s">
        <v>108</v>
      </c>
      <c r="CL38" s="81"/>
      <c r="CM38" s="81"/>
      <c r="CO38" s="19"/>
      <c r="CP38" s="19"/>
    </row>
    <row r="39" spans="1:95" ht="13.5" customHeight="1" x14ac:dyDescent="0.2">
      <c r="A39" s="23"/>
      <c r="B39" s="6"/>
      <c r="C39" s="6"/>
      <c r="D39" s="6"/>
      <c r="E39" s="6"/>
      <c r="F39" s="3"/>
      <c r="G39" s="3"/>
      <c r="H39" s="3"/>
      <c r="I39" s="3"/>
      <c r="J39" s="3"/>
      <c r="K39" s="3"/>
      <c r="L39" s="3"/>
      <c r="M39" s="3"/>
      <c r="N39" s="3"/>
      <c r="O39" s="31" t="s">
        <v>33</v>
      </c>
      <c r="P39" s="31" t="s">
        <v>32</v>
      </c>
      <c r="Q39" s="31" t="s">
        <v>31</v>
      </c>
      <c r="R39" s="31" t="s">
        <v>30</v>
      </c>
      <c r="S39" s="31" t="s">
        <v>29</v>
      </c>
      <c r="T39" s="31" t="s">
        <v>28</v>
      </c>
      <c r="U39" s="31" t="s">
        <v>90</v>
      </c>
      <c r="V39" s="31" t="s">
        <v>97</v>
      </c>
      <c r="W39" s="31" t="s">
        <v>100</v>
      </c>
      <c r="X39" s="31" t="s">
        <v>103</v>
      </c>
      <c r="Y39" s="31" t="s">
        <v>106</v>
      </c>
      <c r="Z39" s="3"/>
      <c r="AA39" s="3"/>
      <c r="AB39" s="24"/>
      <c r="AE39" s="3"/>
      <c r="AF39" s="16"/>
      <c r="AG39" s="16"/>
      <c r="AH39" s="16"/>
      <c r="AI39" s="16"/>
      <c r="AJ39" s="16"/>
      <c r="AK39" s="16"/>
      <c r="AL39" s="16"/>
      <c r="AM39" s="16"/>
      <c r="AN39" s="16"/>
      <c r="AV39" s="19"/>
      <c r="AW39" s="19"/>
      <c r="AY39" s="19"/>
      <c r="AZ39" s="19"/>
      <c r="BB39" s="19"/>
      <c r="BC39" s="19"/>
      <c r="BE39" s="19"/>
      <c r="BF39" s="19"/>
      <c r="BG39" s="35"/>
      <c r="BH39" s="35"/>
      <c r="BI39" s="35" t="s">
        <v>18</v>
      </c>
      <c r="BJ39" s="35"/>
      <c r="BK39" s="35"/>
      <c r="BL39" s="35" t="s">
        <v>18</v>
      </c>
      <c r="BM39" s="35"/>
      <c r="BN39" s="35"/>
      <c r="BO39" s="35" t="s">
        <v>18</v>
      </c>
      <c r="BP39" s="35"/>
      <c r="BQ39" s="35"/>
      <c r="BR39" s="35" t="s">
        <v>18</v>
      </c>
      <c r="BS39" s="35"/>
      <c r="BT39" s="35"/>
      <c r="BU39" s="35" t="s">
        <v>18</v>
      </c>
      <c r="BV39" s="35"/>
      <c r="BW39" s="35"/>
      <c r="BX39" s="35" t="s">
        <v>18</v>
      </c>
      <c r="BY39" s="35"/>
      <c r="BZ39" s="35"/>
      <c r="CA39" s="35" t="s">
        <v>18</v>
      </c>
      <c r="CB39" s="35"/>
      <c r="CC39" s="35"/>
      <c r="CD39" s="35" t="s">
        <v>18</v>
      </c>
      <c r="CE39" s="35"/>
      <c r="CF39" s="35"/>
      <c r="CG39" s="35" t="s">
        <v>18</v>
      </c>
      <c r="CH39" s="35"/>
      <c r="CI39" s="35"/>
      <c r="CJ39" s="35" t="s">
        <v>18</v>
      </c>
      <c r="CK39" s="35"/>
      <c r="CL39" s="35"/>
      <c r="CM39" s="35" t="s">
        <v>18</v>
      </c>
      <c r="CO39" s="19"/>
      <c r="CP39" s="19"/>
    </row>
    <row r="40" spans="1:95" ht="13.5" customHeight="1" x14ac:dyDescent="0.2">
      <c r="A40" s="2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24"/>
      <c r="AE40" s="7"/>
      <c r="AF40" s="16"/>
      <c r="AG40" s="16"/>
      <c r="AH40" s="16"/>
      <c r="AI40" s="16"/>
      <c r="AJ40" s="16"/>
      <c r="AK40" s="16"/>
      <c r="AL40" s="16"/>
      <c r="AM40" s="16"/>
      <c r="AN40" s="16"/>
      <c r="AV40" s="19"/>
      <c r="AW40" s="19"/>
      <c r="AY40" s="19"/>
      <c r="AZ40" s="19"/>
      <c r="BB40" s="19"/>
      <c r="BC40" s="19"/>
      <c r="BE40" s="19"/>
      <c r="BF40" s="19"/>
      <c r="BH40" s="19"/>
      <c r="BI40" s="19"/>
      <c r="BK40" s="19"/>
      <c r="BL40" s="19"/>
      <c r="BN40" s="19"/>
      <c r="BO40" s="19"/>
      <c r="BQ40" s="19"/>
      <c r="BR40" s="19"/>
      <c r="BT40" s="19"/>
      <c r="BU40" s="19"/>
      <c r="BW40" s="19"/>
      <c r="BX40" s="19"/>
      <c r="BZ40" s="19"/>
      <c r="CA40" s="19"/>
      <c r="CC40" s="19"/>
      <c r="CD40" s="19"/>
      <c r="CF40" s="19"/>
      <c r="CG40" s="19"/>
      <c r="CI40" s="19"/>
      <c r="CJ40" s="19"/>
      <c r="CL40" s="19"/>
      <c r="CM40" s="19"/>
      <c r="CO40" s="19"/>
      <c r="CP40" s="19"/>
    </row>
    <row r="41" spans="1:95" ht="13.5" customHeight="1" x14ac:dyDescent="0.2">
      <c r="A41" s="23"/>
      <c r="B41" s="32" t="s">
        <v>23</v>
      </c>
      <c r="C41" s="32"/>
      <c r="D41" s="32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24"/>
      <c r="AF41" s="16"/>
      <c r="AG41" s="16"/>
      <c r="AH41" s="16"/>
      <c r="AI41" s="16"/>
      <c r="AJ41" s="16"/>
      <c r="AK41" s="16"/>
      <c r="AL41" s="16"/>
      <c r="AM41" s="16"/>
      <c r="AN41" s="16"/>
      <c r="AV41" s="19"/>
      <c r="AW41" s="19"/>
      <c r="AY41" s="19"/>
      <c r="AZ41" s="19"/>
      <c r="BB41" s="19"/>
      <c r="BC41" s="19"/>
      <c r="BE41" s="19"/>
      <c r="BF41" s="19"/>
      <c r="CI41" s="19"/>
      <c r="CJ41" s="19"/>
      <c r="CL41" s="19"/>
      <c r="CM41" s="19"/>
      <c r="CO41" s="19"/>
      <c r="CP41" s="19"/>
    </row>
    <row r="42" spans="1:95" ht="13.5" customHeight="1" x14ac:dyDescent="0.25">
      <c r="A42" s="23"/>
      <c r="B42" s="3"/>
      <c r="C42" s="4" t="s">
        <v>19</v>
      </c>
      <c r="D42" s="3"/>
      <c r="E42" s="3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73"/>
      <c r="V42" s="73"/>
      <c r="W42" s="73"/>
      <c r="X42" s="73"/>
      <c r="Y42" s="73"/>
      <c r="Z42" s="73"/>
      <c r="AA42" s="73"/>
      <c r="AB42" s="24"/>
      <c r="AF42" s="96" t="s">
        <v>19</v>
      </c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</row>
    <row r="43" spans="1:95" ht="13.5" customHeight="1" x14ac:dyDescent="0.2">
      <c r="A43" s="23"/>
      <c r="D43" s="3" t="s">
        <v>64</v>
      </c>
      <c r="E43" s="3"/>
      <c r="F43" s="3"/>
      <c r="G43" s="3"/>
      <c r="H43" s="26"/>
      <c r="I43" s="3"/>
      <c r="J43" s="3"/>
      <c r="K43" s="3"/>
      <c r="L43" s="3"/>
      <c r="M43" s="3"/>
      <c r="N43" s="3"/>
      <c r="O43" s="11">
        <f>BI43</f>
        <v>4170</v>
      </c>
      <c r="P43" s="11">
        <f>BL43</f>
        <v>4112</v>
      </c>
      <c r="Q43" s="11">
        <f>BO43</f>
        <v>4379</v>
      </c>
      <c r="R43" s="11">
        <f>BR43</f>
        <v>4605</v>
      </c>
      <c r="S43" s="11">
        <f>BU43</f>
        <v>4625</v>
      </c>
      <c r="T43" s="11">
        <f>BX43</f>
        <v>4662</v>
      </c>
      <c r="U43" s="11">
        <f>CA43</f>
        <v>4783</v>
      </c>
      <c r="V43" s="11">
        <f>CD43</f>
        <v>4896</v>
      </c>
      <c r="W43" s="11">
        <f>CG43</f>
        <v>5698</v>
      </c>
      <c r="X43" s="11">
        <f>CJ43</f>
        <v>5491</v>
      </c>
      <c r="Y43" s="11">
        <f>CM43</f>
        <v>5996</v>
      </c>
      <c r="Z43" s="3"/>
      <c r="AA43" s="3"/>
      <c r="AB43" s="24"/>
      <c r="AD43" s="3" t="s">
        <v>64</v>
      </c>
      <c r="AF43" s="16"/>
      <c r="AG43" s="16"/>
      <c r="AH43" s="16"/>
      <c r="AI43" s="16"/>
      <c r="AJ43" s="16"/>
      <c r="AK43" s="16"/>
      <c r="AL43" s="16"/>
      <c r="AM43" s="16"/>
      <c r="AN43" s="16"/>
      <c r="BI43" s="39">
        <v>4170</v>
      </c>
      <c r="BJ43" s="39"/>
      <c r="BK43" s="39"/>
      <c r="BL43" s="39">
        <v>4112</v>
      </c>
      <c r="BM43" s="39"/>
      <c r="BN43" s="39"/>
      <c r="BO43" s="39">
        <v>4379</v>
      </c>
      <c r="BP43" s="39"/>
      <c r="BQ43" s="39"/>
      <c r="BR43" s="39">
        <v>4605</v>
      </c>
      <c r="BS43" s="39"/>
      <c r="BT43" s="39"/>
      <c r="BU43" s="39">
        <v>4625</v>
      </c>
      <c r="BV43" s="39"/>
      <c r="BW43" s="39"/>
      <c r="BX43" s="39">
        <v>4662</v>
      </c>
      <c r="BY43" s="39"/>
      <c r="BZ43" s="39"/>
      <c r="CA43" s="39">
        <v>4783</v>
      </c>
      <c r="CB43" s="39"/>
      <c r="CC43" s="39"/>
      <c r="CD43" s="39">
        <v>4896</v>
      </c>
      <c r="CE43" s="39"/>
      <c r="CF43" s="39"/>
      <c r="CG43" s="39">
        <v>5698</v>
      </c>
      <c r="CJ43" s="39">
        <v>5491</v>
      </c>
      <c r="CM43" s="39">
        <v>5996</v>
      </c>
    </row>
    <row r="44" spans="1:95" ht="13.5" customHeight="1" x14ac:dyDescent="0.2">
      <c r="A44" s="23"/>
      <c r="D44" s="15" t="s">
        <v>59</v>
      </c>
      <c r="E44" s="3" t="s">
        <v>63</v>
      </c>
      <c r="F44" s="3"/>
      <c r="G44" s="3"/>
      <c r="H44" s="26"/>
      <c r="I44" s="3"/>
      <c r="J44" s="3"/>
      <c r="K44" s="3"/>
      <c r="L44" s="3"/>
      <c r="M44" s="3"/>
      <c r="N44" s="3"/>
      <c r="O44" s="18">
        <f>IF(BI43&gt;0,(BI44/BI43),"")</f>
        <v>1.4628297362110312E-2</v>
      </c>
      <c r="P44" s="18">
        <f>IF(BL43&gt;0,(BL44/BL43),"")</f>
        <v>1.6050583657587547E-2</v>
      </c>
      <c r="Q44" s="18">
        <f>IF(BO43&gt;0,(BO44/BO43),"")</f>
        <v>1.0961406713861612E-2</v>
      </c>
      <c r="R44" s="18">
        <f>IF(BR43&gt;0,(BR44/BR43),"")</f>
        <v>1.6720955483170468E-2</v>
      </c>
      <c r="S44" s="18">
        <f>IF(BU43&gt;0,(BU44/BU43),"")</f>
        <v>9.945945945945946E-3</v>
      </c>
      <c r="T44" s="18">
        <f>IF(BX43&gt;0,(BX44/BX43),"")</f>
        <v>1.2441012441012441E-2</v>
      </c>
      <c r="U44" s="18">
        <f>CA44/CA$43</f>
        <v>1.2335354380096175E-2</v>
      </c>
      <c r="V44" s="18">
        <f>CD44/CD$43</f>
        <v>1.0620915032679739E-2</v>
      </c>
      <c r="W44" s="18">
        <f>CG44/CG$43</f>
        <v>1.4391014391014392E-2</v>
      </c>
      <c r="X44" s="18">
        <f>CJ44/CJ$43</f>
        <v>1.1655436168275359E-2</v>
      </c>
      <c r="Y44" s="18">
        <f>CM44/CM$43</f>
        <v>1.0840560373582388E-2</v>
      </c>
      <c r="Z44" s="3"/>
      <c r="AA44" s="3"/>
      <c r="AB44" s="24"/>
      <c r="AD44" s="15" t="s">
        <v>59</v>
      </c>
      <c r="AE44" s="3" t="s">
        <v>63</v>
      </c>
      <c r="AF44" s="20"/>
      <c r="AG44" s="20"/>
      <c r="AH44" s="20"/>
      <c r="AI44" s="20"/>
      <c r="AJ44" s="20"/>
      <c r="AK44" s="20"/>
      <c r="AL44" s="20"/>
      <c r="AM44" s="20"/>
      <c r="AN44" s="20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41">
        <v>61</v>
      </c>
      <c r="BJ44" s="41"/>
      <c r="BK44" s="41"/>
      <c r="BL44" s="41">
        <v>66</v>
      </c>
      <c r="BM44" s="41"/>
      <c r="BN44" s="41"/>
      <c r="BO44" s="41">
        <v>48</v>
      </c>
      <c r="BP44" s="41"/>
      <c r="BQ44" s="41"/>
      <c r="BR44" s="41">
        <v>77</v>
      </c>
      <c r="BS44" s="41"/>
      <c r="BT44" s="41"/>
      <c r="BU44" s="41">
        <v>46</v>
      </c>
      <c r="BV44" s="41"/>
      <c r="BW44" s="41"/>
      <c r="BX44" s="41">
        <v>58</v>
      </c>
      <c r="BY44" s="41"/>
      <c r="BZ44" s="41"/>
      <c r="CA44" s="41">
        <v>59</v>
      </c>
      <c r="CB44" s="41"/>
      <c r="CC44" s="41"/>
      <c r="CD44" s="41">
        <v>52</v>
      </c>
      <c r="CE44" s="41"/>
      <c r="CF44" s="41"/>
      <c r="CG44" s="41">
        <v>82</v>
      </c>
      <c r="CJ44" s="41">
        <v>64</v>
      </c>
      <c r="CM44" s="41">
        <v>65</v>
      </c>
    </row>
    <row r="45" spans="1:95" ht="13.5" customHeight="1" x14ac:dyDescent="0.2">
      <c r="A45" s="23"/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15">
        <f>IF(BI43&gt;0,(BI45/BI43),"")</f>
        <v>0.70335731414868108</v>
      </c>
      <c r="P45" s="15">
        <f>IF(BL43&gt;0,(BL45/BL43),"")</f>
        <v>0.68847276264591439</v>
      </c>
      <c r="Q45" s="15">
        <f>IF(BO43&gt;0,(BO45/BO43),"")</f>
        <v>0.7010733044073989</v>
      </c>
      <c r="R45" s="15">
        <f>IF(BR43&gt;0,(BR45/BR43),"")</f>
        <v>0.69619978284473394</v>
      </c>
      <c r="S45" s="15">
        <f>IF(BU43&gt;0,(BU45/BU43),"")</f>
        <v>0.70356756756756755</v>
      </c>
      <c r="T45" s="15">
        <f>IF(BX43&gt;0,(BX45/BX43),"")</f>
        <v>0.70141570141570142</v>
      </c>
      <c r="U45" s="15">
        <f>CA45/CA$43</f>
        <v>0.72067739912188999</v>
      </c>
      <c r="V45" s="15">
        <f>CD45/CD$43</f>
        <v>0.71200980392156865</v>
      </c>
      <c r="W45" s="15">
        <f>CG45/CG$43</f>
        <v>0.70919620919620918</v>
      </c>
      <c r="X45" s="15">
        <f>CJ45/CJ$43</f>
        <v>0.69950828628665085</v>
      </c>
      <c r="Y45" s="15">
        <f>CM45/CM$43</f>
        <v>0.69396264176117417</v>
      </c>
      <c r="Z45" s="3"/>
      <c r="AA45" s="3"/>
      <c r="AB45" s="24"/>
      <c r="AE45" s="35" t="s">
        <v>89</v>
      </c>
      <c r="AF45" s="3"/>
      <c r="AG45" s="3"/>
      <c r="AH45" s="3"/>
      <c r="AI45" s="3"/>
      <c r="AJ45" s="3"/>
      <c r="AK45" s="3"/>
      <c r="AL45" s="81"/>
      <c r="AM45" s="81"/>
      <c r="AN45" s="8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41">
        <f>BI17+BI44</f>
        <v>2933</v>
      </c>
      <c r="BJ45" s="41"/>
      <c r="BK45" s="41"/>
      <c r="BL45" s="41">
        <f>BL17+BL44</f>
        <v>2831</v>
      </c>
      <c r="BM45" s="41"/>
      <c r="BN45" s="41"/>
      <c r="BO45" s="41">
        <f>BO17+BO44</f>
        <v>3070</v>
      </c>
      <c r="BP45" s="41"/>
      <c r="BQ45" s="41"/>
      <c r="BR45" s="41">
        <f>BR17+BR44</f>
        <v>3206</v>
      </c>
      <c r="BS45" s="41"/>
      <c r="BT45" s="41"/>
      <c r="BU45" s="41">
        <f>BU17+BU44</f>
        <v>3254</v>
      </c>
      <c r="BV45" s="41"/>
      <c r="BW45" s="41"/>
      <c r="BX45" s="41">
        <f>BX17+BX44</f>
        <v>3270</v>
      </c>
      <c r="BY45" s="41"/>
      <c r="BZ45" s="41"/>
      <c r="CA45" s="41">
        <f>CA17+CA44</f>
        <v>3447</v>
      </c>
      <c r="CB45" s="41"/>
      <c r="CC45" s="41"/>
      <c r="CD45" s="41">
        <f>CD17+CD44</f>
        <v>3486</v>
      </c>
      <c r="CE45" s="41"/>
      <c r="CF45" s="41"/>
      <c r="CG45" s="41">
        <f>CG17+CG44</f>
        <v>4041</v>
      </c>
      <c r="CJ45" s="41">
        <f>CJ17+CJ44</f>
        <v>3841</v>
      </c>
      <c r="CM45" s="41">
        <f>CM17+CM44</f>
        <v>4161</v>
      </c>
    </row>
    <row r="46" spans="1:95" ht="13.5" customHeight="1" x14ac:dyDescent="0.2">
      <c r="A46" s="23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24"/>
      <c r="AL46" s="15"/>
      <c r="AM46" s="3"/>
      <c r="AN46" s="3"/>
    </row>
    <row r="47" spans="1:95" ht="13.5" customHeight="1" x14ac:dyDescent="0.2">
      <c r="A47" s="2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24"/>
      <c r="AL47" s="15"/>
      <c r="AM47" s="3"/>
      <c r="AN47" s="3"/>
    </row>
    <row r="48" spans="1:95" ht="13.5" customHeight="1" x14ac:dyDescent="0.25">
      <c r="A48" s="23"/>
      <c r="B48" s="94" t="s">
        <v>66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5"/>
      <c r="U48" s="95"/>
      <c r="V48" s="95"/>
      <c r="W48" s="3"/>
      <c r="X48" s="3"/>
      <c r="Y48" s="3"/>
      <c r="Z48" s="3"/>
      <c r="AA48" s="3"/>
      <c r="AB48" s="24"/>
      <c r="AL48" s="15"/>
      <c r="AM48" s="3"/>
      <c r="AN48" s="3"/>
    </row>
    <row r="49" spans="1:40" ht="13.5" hidden="1" customHeight="1" x14ac:dyDescent="0.2">
      <c r="A49" s="23"/>
      <c r="B49" s="3" t="s">
        <v>68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24"/>
      <c r="AL49" s="21"/>
      <c r="AM49" s="22"/>
      <c r="AN49" s="3"/>
    </row>
    <row r="50" spans="1:40" ht="13.5" customHeight="1" x14ac:dyDescent="0.25">
      <c r="A50" s="27"/>
      <c r="B50" s="92" t="s">
        <v>67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3"/>
      <c r="U50" s="93"/>
      <c r="V50" s="93"/>
      <c r="W50" s="31"/>
      <c r="X50" s="31"/>
      <c r="Y50" s="31"/>
      <c r="Z50" s="31"/>
      <c r="AA50" s="31" t="s">
        <v>109</v>
      </c>
      <c r="AB50" s="28"/>
      <c r="AL50" s="21"/>
      <c r="AM50" s="22"/>
      <c r="AN50" s="3"/>
    </row>
    <row r="51" spans="1:40" ht="13.5" customHeight="1" x14ac:dyDescent="0.2">
      <c r="B51" s="3"/>
      <c r="C51" s="3"/>
      <c r="D51" s="3"/>
      <c r="E51" s="3"/>
      <c r="F51" s="8"/>
      <c r="G51" s="8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F51" s="9"/>
      <c r="AG51" s="9"/>
      <c r="AH51" s="9"/>
      <c r="AI51" s="9"/>
      <c r="AJ51" s="9"/>
      <c r="AK51" s="9"/>
      <c r="AL51" s="9"/>
      <c r="AM51" s="9"/>
    </row>
    <row r="52" spans="1:40" ht="13.5" customHeight="1" x14ac:dyDescent="0.2">
      <c r="Q52" s="22"/>
      <c r="R52" s="22"/>
      <c r="S52" s="22"/>
      <c r="T52" s="22"/>
      <c r="U52" s="22"/>
    </row>
  </sheetData>
  <mergeCells count="73">
    <mergeCell ref="CN7:CP7"/>
    <mergeCell ref="CN8:CP8"/>
    <mergeCell ref="BY38:CA38"/>
    <mergeCell ref="AI7:AK7"/>
    <mergeCell ref="AL7:AN7"/>
    <mergeCell ref="BA8:BC8"/>
    <mergeCell ref="BD8:BF8"/>
    <mergeCell ref="BG8:BI8"/>
    <mergeCell ref="BP8:BR8"/>
    <mergeCell ref="BA7:BC7"/>
    <mergeCell ref="BD7:BF7"/>
    <mergeCell ref="BV7:BX7"/>
    <mergeCell ref="BY37:CA37"/>
    <mergeCell ref="BM7:BO7"/>
    <mergeCell ref="BP7:BR7"/>
    <mergeCell ref="BS7:BU7"/>
    <mergeCell ref="A2:AB2"/>
    <mergeCell ref="BJ37:BL37"/>
    <mergeCell ref="BM37:BO37"/>
    <mergeCell ref="BP37:BR37"/>
    <mergeCell ref="BG37:BI37"/>
    <mergeCell ref="AX7:AZ7"/>
    <mergeCell ref="AF7:AH7"/>
    <mergeCell ref="AF8:AH8"/>
    <mergeCell ref="AR8:AT8"/>
    <mergeCell ref="BJ8:BL8"/>
    <mergeCell ref="AO7:AQ7"/>
    <mergeCell ref="AR7:AT7"/>
    <mergeCell ref="AU7:AW7"/>
    <mergeCell ref="BG7:BI7"/>
    <mergeCell ref="BJ7:BL7"/>
    <mergeCell ref="BM8:BO8"/>
    <mergeCell ref="CK7:CM7"/>
    <mergeCell ref="CK8:CM8"/>
    <mergeCell ref="CH7:CJ7"/>
    <mergeCell ref="CH8:CJ8"/>
    <mergeCell ref="CE7:CG7"/>
    <mergeCell ref="CE8:CG8"/>
    <mergeCell ref="BY7:CA7"/>
    <mergeCell ref="CB7:CD7"/>
    <mergeCell ref="BS8:BU8"/>
    <mergeCell ref="BV8:BX8"/>
    <mergeCell ref="BS37:BU37"/>
    <mergeCell ref="CQ7:CS7"/>
    <mergeCell ref="CQ8:CS8"/>
    <mergeCell ref="CB37:CD37"/>
    <mergeCell ref="CB38:CD38"/>
    <mergeCell ref="AI8:AK8"/>
    <mergeCell ref="AL8:AN8"/>
    <mergeCell ref="BY8:CA8"/>
    <mergeCell ref="AO8:AQ8"/>
    <mergeCell ref="AU8:AW8"/>
    <mergeCell ref="AX8:AZ8"/>
    <mergeCell ref="CB8:CD8"/>
    <mergeCell ref="BG38:BI38"/>
    <mergeCell ref="BV38:BX38"/>
    <mergeCell ref="BJ38:BL38"/>
    <mergeCell ref="BM38:BO38"/>
    <mergeCell ref="BP38:BR38"/>
    <mergeCell ref="B48:V48"/>
    <mergeCell ref="B50:V50"/>
    <mergeCell ref="AF12:CS12"/>
    <mergeCell ref="AF18:CS18"/>
    <mergeCell ref="AF42:CM42"/>
    <mergeCell ref="BS38:BU38"/>
    <mergeCell ref="BV37:BX37"/>
    <mergeCell ref="AL45:AN45"/>
    <mergeCell ref="CE37:CG37"/>
    <mergeCell ref="CE38:CG38"/>
    <mergeCell ref="CH37:CJ37"/>
    <mergeCell ref="CH38:CJ38"/>
    <mergeCell ref="CK37:CM37"/>
    <mergeCell ref="CK38:CM38"/>
  </mergeCells>
  <hyperlinks>
    <hyperlink ref="B50:Q50" r:id="rId1" display="Source: IPEDS Graduation Rates 200 Survey (GR200)"/>
    <hyperlink ref="B48:P48" r:id="rId2" display="Source: IPEDS Graduation Rate Survey (GRS)"/>
  </hyperlinks>
  <printOptions horizontalCentered="1"/>
  <pageMargins left="0.7" right="0.45" top="0.5" bottom="0.5" header="0.3" footer="0.3"/>
  <pageSetup scale="93" orientation="portrait" r:id="rId3"/>
  <ignoredErrors>
    <ignoredError sqref="AG18:CD18 AF23:AG23 CD23 AF17:AG17 AI17:CD17 AF20:AG22 AF19:AG19 AI19:AM19 AI20:AM22 AI23:CB23 AO19:AP19 AO20:AP22 AR19:AS19 AR20:AS22 AU19:AV19 AU20:AV22 AX19:AY19 AX20:AY22 BA19:BB19 BA20:BB22 BD19:BE19 BD20:BE22 BG19:BH19 BG20:BH22 BJ19:BK19 BJ20:BK22 BM19:BN19 BM20:BN22 BP19:BQ19 BP20:BQ22 BS19:BT19 BS20:BT22 CE17:CF17 CH17:CJ17 CK17:CL17 CN17:CO17 CQ17:CR17" formulaRange="1"/>
    <ignoredError sqref="CF23" formula="1"/>
    <ignoredError sqref="AA15:AA3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I53"/>
  <sheetViews>
    <sheetView workbookViewId="0"/>
  </sheetViews>
  <sheetFormatPr defaultRowHeight="13.5" customHeight="1" x14ac:dyDescent="0.2"/>
  <cols>
    <col min="1" max="3" width="2.7109375" style="1" customWidth="1"/>
    <col min="4" max="4" width="8.7109375" style="1" customWidth="1"/>
    <col min="5" max="5" width="16.7109375" style="1" customWidth="1"/>
    <col min="6" max="21" width="10.7109375" style="1" hidden="1" customWidth="1"/>
    <col min="22" max="27" width="10.7109375" style="1" customWidth="1"/>
    <col min="28" max="28" width="2.7109375" style="1" customWidth="1"/>
    <col min="29" max="29" width="9.140625" style="1"/>
    <col min="30" max="30" width="9.140625" style="1" customWidth="1"/>
    <col min="31" max="31" width="16.7109375" style="1" customWidth="1"/>
    <col min="32" max="79" width="7.140625" style="39" hidden="1" customWidth="1"/>
    <col min="80" max="82" width="7.140625" style="39" customWidth="1"/>
    <col min="83" max="97" width="7.140625" style="1" customWidth="1"/>
    <col min="98" max="229" width="9.140625" style="1"/>
    <col min="230" max="230" width="3.85546875" style="1" customWidth="1"/>
    <col min="231" max="231" width="10.42578125" style="1" customWidth="1"/>
    <col min="232" max="232" width="0" style="1" hidden="1" customWidth="1"/>
    <col min="233" max="233" width="13.42578125" style="1" customWidth="1"/>
    <col min="234" max="269" width="0" style="1" hidden="1" customWidth="1"/>
    <col min="270" max="284" width="6.7109375" style="1" customWidth="1"/>
    <col min="285" max="285" width="9.140625" style="1"/>
    <col min="286" max="286" width="10.42578125" style="1" customWidth="1"/>
    <col min="287" max="287" width="14.5703125" style="1" customWidth="1"/>
    <col min="288" max="323" width="0" style="1" hidden="1" customWidth="1"/>
    <col min="324" max="338" width="6.7109375" style="1" customWidth="1"/>
    <col min="339" max="485" width="9.140625" style="1"/>
    <col min="486" max="486" width="3.85546875" style="1" customWidth="1"/>
    <col min="487" max="487" width="10.42578125" style="1" customWidth="1"/>
    <col min="488" max="488" width="0" style="1" hidden="1" customWidth="1"/>
    <col min="489" max="489" width="13.42578125" style="1" customWidth="1"/>
    <col min="490" max="525" width="0" style="1" hidden="1" customWidth="1"/>
    <col min="526" max="540" width="6.7109375" style="1" customWidth="1"/>
    <col min="541" max="541" width="9.140625" style="1"/>
    <col min="542" max="542" width="10.42578125" style="1" customWidth="1"/>
    <col min="543" max="543" width="14.5703125" style="1" customWidth="1"/>
    <col min="544" max="579" width="0" style="1" hidden="1" customWidth="1"/>
    <col min="580" max="594" width="6.7109375" style="1" customWidth="1"/>
    <col min="595" max="741" width="9.140625" style="1"/>
    <col min="742" max="742" width="3.85546875" style="1" customWidth="1"/>
    <col min="743" max="743" width="10.42578125" style="1" customWidth="1"/>
    <col min="744" max="744" width="0" style="1" hidden="1" customWidth="1"/>
    <col min="745" max="745" width="13.42578125" style="1" customWidth="1"/>
    <col min="746" max="781" width="0" style="1" hidden="1" customWidth="1"/>
    <col min="782" max="796" width="6.7109375" style="1" customWidth="1"/>
    <col min="797" max="797" width="9.140625" style="1"/>
    <col min="798" max="798" width="10.42578125" style="1" customWidth="1"/>
    <col min="799" max="799" width="14.5703125" style="1" customWidth="1"/>
    <col min="800" max="835" width="0" style="1" hidden="1" customWidth="1"/>
    <col min="836" max="850" width="6.7109375" style="1" customWidth="1"/>
    <col min="851" max="997" width="9.140625" style="1"/>
    <col min="998" max="998" width="3.85546875" style="1" customWidth="1"/>
    <col min="999" max="999" width="10.42578125" style="1" customWidth="1"/>
    <col min="1000" max="1000" width="0" style="1" hidden="1" customWidth="1"/>
    <col min="1001" max="1001" width="13.42578125" style="1" customWidth="1"/>
    <col min="1002" max="1037" width="0" style="1" hidden="1" customWidth="1"/>
    <col min="1038" max="1052" width="6.7109375" style="1" customWidth="1"/>
    <col min="1053" max="1053" width="9.140625" style="1"/>
    <col min="1054" max="1054" width="10.42578125" style="1" customWidth="1"/>
    <col min="1055" max="1055" width="14.5703125" style="1" customWidth="1"/>
    <col min="1056" max="1091" width="0" style="1" hidden="1" customWidth="1"/>
    <col min="1092" max="1106" width="6.7109375" style="1" customWidth="1"/>
    <col min="1107" max="1253" width="9.140625" style="1"/>
    <col min="1254" max="1254" width="3.85546875" style="1" customWidth="1"/>
    <col min="1255" max="1255" width="10.42578125" style="1" customWidth="1"/>
    <col min="1256" max="1256" width="0" style="1" hidden="1" customWidth="1"/>
    <col min="1257" max="1257" width="13.42578125" style="1" customWidth="1"/>
    <col min="1258" max="1293" width="0" style="1" hidden="1" customWidth="1"/>
    <col min="1294" max="1308" width="6.7109375" style="1" customWidth="1"/>
    <col min="1309" max="1309" width="9.140625" style="1"/>
    <col min="1310" max="1310" width="10.42578125" style="1" customWidth="1"/>
    <col min="1311" max="1311" width="14.5703125" style="1" customWidth="1"/>
    <col min="1312" max="1347" width="0" style="1" hidden="1" customWidth="1"/>
    <col min="1348" max="1362" width="6.7109375" style="1" customWidth="1"/>
    <col min="1363" max="1509" width="9.140625" style="1"/>
    <col min="1510" max="1510" width="3.85546875" style="1" customWidth="1"/>
    <col min="1511" max="1511" width="10.42578125" style="1" customWidth="1"/>
    <col min="1512" max="1512" width="0" style="1" hidden="1" customWidth="1"/>
    <col min="1513" max="1513" width="13.42578125" style="1" customWidth="1"/>
    <col min="1514" max="1549" width="0" style="1" hidden="1" customWidth="1"/>
    <col min="1550" max="1564" width="6.7109375" style="1" customWidth="1"/>
    <col min="1565" max="1565" width="9.140625" style="1"/>
    <col min="1566" max="1566" width="10.42578125" style="1" customWidth="1"/>
    <col min="1567" max="1567" width="14.5703125" style="1" customWidth="1"/>
    <col min="1568" max="1603" width="0" style="1" hidden="1" customWidth="1"/>
    <col min="1604" max="1618" width="6.7109375" style="1" customWidth="1"/>
    <col min="1619" max="1765" width="9.140625" style="1"/>
    <col min="1766" max="1766" width="3.85546875" style="1" customWidth="1"/>
    <col min="1767" max="1767" width="10.42578125" style="1" customWidth="1"/>
    <col min="1768" max="1768" width="0" style="1" hidden="1" customWidth="1"/>
    <col min="1769" max="1769" width="13.42578125" style="1" customWidth="1"/>
    <col min="1770" max="1805" width="0" style="1" hidden="1" customWidth="1"/>
    <col min="1806" max="1820" width="6.7109375" style="1" customWidth="1"/>
    <col min="1821" max="1821" width="9.140625" style="1"/>
    <col min="1822" max="1822" width="10.42578125" style="1" customWidth="1"/>
    <col min="1823" max="1823" width="14.5703125" style="1" customWidth="1"/>
    <col min="1824" max="1859" width="0" style="1" hidden="1" customWidth="1"/>
    <col min="1860" max="1874" width="6.7109375" style="1" customWidth="1"/>
    <col min="1875" max="2021" width="9.140625" style="1"/>
    <col min="2022" max="2022" width="3.85546875" style="1" customWidth="1"/>
    <col min="2023" max="2023" width="10.42578125" style="1" customWidth="1"/>
    <col min="2024" max="2024" width="0" style="1" hidden="1" customWidth="1"/>
    <col min="2025" max="2025" width="13.42578125" style="1" customWidth="1"/>
    <col min="2026" max="2061" width="0" style="1" hidden="1" customWidth="1"/>
    <col min="2062" max="2076" width="6.7109375" style="1" customWidth="1"/>
    <col min="2077" max="2077" width="9.140625" style="1"/>
    <col min="2078" max="2078" width="10.42578125" style="1" customWidth="1"/>
    <col min="2079" max="2079" width="14.5703125" style="1" customWidth="1"/>
    <col min="2080" max="2115" width="0" style="1" hidden="1" customWidth="1"/>
    <col min="2116" max="2130" width="6.7109375" style="1" customWidth="1"/>
    <col min="2131" max="2277" width="9.140625" style="1"/>
    <col min="2278" max="2278" width="3.85546875" style="1" customWidth="1"/>
    <col min="2279" max="2279" width="10.42578125" style="1" customWidth="1"/>
    <col min="2280" max="2280" width="0" style="1" hidden="1" customWidth="1"/>
    <col min="2281" max="2281" width="13.42578125" style="1" customWidth="1"/>
    <col min="2282" max="2317" width="0" style="1" hidden="1" customWidth="1"/>
    <col min="2318" max="2332" width="6.7109375" style="1" customWidth="1"/>
    <col min="2333" max="2333" width="9.140625" style="1"/>
    <col min="2334" max="2334" width="10.42578125" style="1" customWidth="1"/>
    <col min="2335" max="2335" width="14.5703125" style="1" customWidth="1"/>
    <col min="2336" max="2371" width="0" style="1" hidden="1" customWidth="1"/>
    <col min="2372" max="2386" width="6.7109375" style="1" customWidth="1"/>
    <col min="2387" max="2533" width="9.140625" style="1"/>
    <col min="2534" max="2534" width="3.85546875" style="1" customWidth="1"/>
    <col min="2535" max="2535" width="10.42578125" style="1" customWidth="1"/>
    <col min="2536" max="2536" width="0" style="1" hidden="1" customWidth="1"/>
    <col min="2537" max="2537" width="13.42578125" style="1" customWidth="1"/>
    <col min="2538" max="2573" width="0" style="1" hidden="1" customWidth="1"/>
    <col min="2574" max="2588" width="6.7109375" style="1" customWidth="1"/>
    <col min="2589" max="2589" width="9.140625" style="1"/>
    <col min="2590" max="2590" width="10.42578125" style="1" customWidth="1"/>
    <col min="2591" max="2591" width="14.5703125" style="1" customWidth="1"/>
    <col min="2592" max="2627" width="0" style="1" hidden="1" customWidth="1"/>
    <col min="2628" max="2642" width="6.7109375" style="1" customWidth="1"/>
    <col min="2643" max="2789" width="9.140625" style="1"/>
    <col min="2790" max="2790" width="3.85546875" style="1" customWidth="1"/>
    <col min="2791" max="2791" width="10.42578125" style="1" customWidth="1"/>
    <col min="2792" max="2792" width="0" style="1" hidden="1" customWidth="1"/>
    <col min="2793" max="2793" width="13.42578125" style="1" customWidth="1"/>
    <col min="2794" max="2829" width="0" style="1" hidden="1" customWidth="1"/>
    <col min="2830" max="2844" width="6.7109375" style="1" customWidth="1"/>
    <col min="2845" max="2845" width="9.140625" style="1"/>
    <col min="2846" max="2846" width="10.42578125" style="1" customWidth="1"/>
    <col min="2847" max="2847" width="14.5703125" style="1" customWidth="1"/>
    <col min="2848" max="2883" width="0" style="1" hidden="1" customWidth="1"/>
    <col min="2884" max="2898" width="6.7109375" style="1" customWidth="1"/>
    <col min="2899" max="3045" width="9.140625" style="1"/>
    <col min="3046" max="3046" width="3.85546875" style="1" customWidth="1"/>
    <col min="3047" max="3047" width="10.42578125" style="1" customWidth="1"/>
    <col min="3048" max="3048" width="0" style="1" hidden="1" customWidth="1"/>
    <col min="3049" max="3049" width="13.42578125" style="1" customWidth="1"/>
    <col min="3050" max="3085" width="0" style="1" hidden="1" customWidth="1"/>
    <col min="3086" max="3100" width="6.7109375" style="1" customWidth="1"/>
    <col min="3101" max="3101" width="9.140625" style="1"/>
    <col min="3102" max="3102" width="10.42578125" style="1" customWidth="1"/>
    <col min="3103" max="3103" width="14.5703125" style="1" customWidth="1"/>
    <col min="3104" max="3139" width="0" style="1" hidden="1" customWidth="1"/>
    <col min="3140" max="3154" width="6.7109375" style="1" customWidth="1"/>
    <col min="3155" max="3301" width="9.140625" style="1"/>
    <col min="3302" max="3302" width="3.85546875" style="1" customWidth="1"/>
    <col min="3303" max="3303" width="10.42578125" style="1" customWidth="1"/>
    <col min="3304" max="3304" width="0" style="1" hidden="1" customWidth="1"/>
    <col min="3305" max="3305" width="13.42578125" style="1" customWidth="1"/>
    <col min="3306" max="3341" width="0" style="1" hidden="1" customWidth="1"/>
    <col min="3342" max="3356" width="6.7109375" style="1" customWidth="1"/>
    <col min="3357" max="3357" width="9.140625" style="1"/>
    <col min="3358" max="3358" width="10.42578125" style="1" customWidth="1"/>
    <col min="3359" max="3359" width="14.5703125" style="1" customWidth="1"/>
    <col min="3360" max="3395" width="0" style="1" hidden="1" customWidth="1"/>
    <col min="3396" max="3410" width="6.7109375" style="1" customWidth="1"/>
    <col min="3411" max="3557" width="9.140625" style="1"/>
    <col min="3558" max="3558" width="3.85546875" style="1" customWidth="1"/>
    <col min="3559" max="3559" width="10.42578125" style="1" customWidth="1"/>
    <col min="3560" max="3560" width="0" style="1" hidden="1" customWidth="1"/>
    <col min="3561" max="3561" width="13.42578125" style="1" customWidth="1"/>
    <col min="3562" max="3597" width="0" style="1" hidden="1" customWidth="1"/>
    <col min="3598" max="3612" width="6.7109375" style="1" customWidth="1"/>
    <col min="3613" max="3613" width="9.140625" style="1"/>
    <col min="3614" max="3614" width="10.42578125" style="1" customWidth="1"/>
    <col min="3615" max="3615" width="14.5703125" style="1" customWidth="1"/>
    <col min="3616" max="3651" width="0" style="1" hidden="1" customWidth="1"/>
    <col min="3652" max="3666" width="6.7109375" style="1" customWidth="1"/>
    <col min="3667" max="3813" width="9.140625" style="1"/>
    <col min="3814" max="3814" width="3.85546875" style="1" customWidth="1"/>
    <col min="3815" max="3815" width="10.42578125" style="1" customWidth="1"/>
    <col min="3816" max="3816" width="0" style="1" hidden="1" customWidth="1"/>
    <col min="3817" max="3817" width="13.42578125" style="1" customWidth="1"/>
    <col min="3818" max="3853" width="0" style="1" hidden="1" customWidth="1"/>
    <col min="3854" max="3868" width="6.7109375" style="1" customWidth="1"/>
    <col min="3869" max="3869" width="9.140625" style="1"/>
    <col min="3870" max="3870" width="10.42578125" style="1" customWidth="1"/>
    <col min="3871" max="3871" width="14.5703125" style="1" customWidth="1"/>
    <col min="3872" max="3907" width="0" style="1" hidden="1" customWidth="1"/>
    <col min="3908" max="3922" width="6.7109375" style="1" customWidth="1"/>
    <col min="3923" max="4069" width="9.140625" style="1"/>
    <col min="4070" max="4070" width="3.85546875" style="1" customWidth="1"/>
    <col min="4071" max="4071" width="10.42578125" style="1" customWidth="1"/>
    <col min="4072" max="4072" width="0" style="1" hidden="1" customWidth="1"/>
    <col min="4073" max="4073" width="13.42578125" style="1" customWidth="1"/>
    <col min="4074" max="4109" width="0" style="1" hidden="1" customWidth="1"/>
    <col min="4110" max="4124" width="6.7109375" style="1" customWidth="1"/>
    <col min="4125" max="4125" width="9.140625" style="1"/>
    <col min="4126" max="4126" width="10.42578125" style="1" customWidth="1"/>
    <col min="4127" max="4127" width="14.5703125" style="1" customWidth="1"/>
    <col min="4128" max="4163" width="0" style="1" hidden="1" customWidth="1"/>
    <col min="4164" max="4178" width="6.7109375" style="1" customWidth="1"/>
    <col min="4179" max="4325" width="9.140625" style="1"/>
    <col min="4326" max="4326" width="3.85546875" style="1" customWidth="1"/>
    <col min="4327" max="4327" width="10.42578125" style="1" customWidth="1"/>
    <col min="4328" max="4328" width="0" style="1" hidden="1" customWidth="1"/>
    <col min="4329" max="4329" width="13.42578125" style="1" customWidth="1"/>
    <col min="4330" max="4365" width="0" style="1" hidden="1" customWidth="1"/>
    <col min="4366" max="4380" width="6.7109375" style="1" customWidth="1"/>
    <col min="4381" max="4381" width="9.140625" style="1"/>
    <col min="4382" max="4382" width="10.42578125" style="1" customWidth="1"/>
    <col min="4383" max="4383" width="14.5703125" style="1" customWidth="1"/>
    <col min="4384" max="4419" width="0" style="1" hidden="1" customWidth="1"/>
    <col min="4420" max="4434" width="6.7109375" style="1" customWidth="1"/>
    <col min="4435" max="4581" width="9.140625" style="1"/>
    <col min="4582" max="4582" width="3.85546875" style="1" customWidth="1"/>
    <col min="4583" max="4583" width="10.42578125" style="1" customWidth="1"/>
    <col min="4584" max="4584" width="0" style="1" hidden="1" customWidth="1"/>
    <col min="4585" max="4585" width="13.42578125" style="1" customWidth="1"/>
    <col min="4586" max="4621" width="0" style="1" hidden="1" customWidth="1"/>
    <col min="4622" max="4636" width="6.7109375" style="1" customWidth="1"/>
    <col min="4637" max="4637" width="9.140625" style="1"/>
    <col min="4638" max="4638" width="10.42578125" style="1" customWidth="1"/>
    <col min="4639" max="4639" width="14.5703125" style="1" customWidth="1"/>
    <col min="4640" max="4675" width="0" style="1" hidden="1" customWidth="1"/>
    <col min="4676" max="4690" width="6.7109375" style="1" customWidth="1"/>
    <col min="4691" max="4837" width="9.140625" style="1"/>
    <col min="4838" max="4838" width="3.85546875" style="1" customWidth="1"/>
    <col min="4839" max="4839" width="10.42578125" style="1" customWidth="1"/>
    <col min="4840" max="4840" width="0" style="1" hidden="1" customWidth="1"/>
    <col min="4841" max="4841" width="13.42578125" style="1" customWidth="1"/>
    <col min="4842" max="4877" width="0" style="1" hidden="1" customWidth="1"/>
    <col min="4878" max="4892" width="6.7109375" style="1" customWidth="1"/>
    <col min="4893" max="4893" width="9.140625" style="1"/>
    <col min="4894" max="4894" width="10.42578125" style="1" customWidth="1"/>
    <col min="4895" max="4895" width="14.5703125" style="1" customWidth="1"/>
    <col min="4896" max="4931" width="0" style="1" hidden="1" customWidth="1"/>
    <col min="4932" max="4946" width="6.7109375" style="1" customWidth="1"/>
    <col min="4947" max="5093" width="9.140625" style="1"/>
    <col min="5094" max="5094" width="3.85546875" style="1" customWidth="1"/>
    <col min="5095" max="5095" width="10.42578125" style="1" customWidth="1"/>
    <col min="5096" max="5096" width="0" style="1" hidden="1" customWidth="1"/>
    <col min="5097" max="5097" width="13.42578125" style="1" customWidth="1"/>
    <col min="5098" max="5133" width="0" style="1" hidden="1" customWidth="1"/>
    <col min="5134" max="5148" width="6.7109375" style="1" customWidth="1"/>
    <col min="5149" max="5149" width="9.140625" style="1"/>
    <col min="5150" max="5150" width="10.42578125" style="1" customWidth="1"/>
    <col min="5151" max="5151" width="14.5703125" style="1" customWidth="1"/>
    <col min="5152" max="5187" width="0" style="1" hidden="1" customWidth="1"/>
    <col min="5188" max="5202" width="6.7109375" style="1" customWidth="1"/>
    <col min="5203" max="5349" width="9.140625" style="1"/>
    <col min="5350" max="5350" width="3.85546875" style="1" customWidth="1"/>
    <col min="5351" max="5351" width="10.42578125" style="1" customWidth="1"/>
    <col min="5352" max="5352" width="0" style="1" hidden="1" customWidth="1"/>
    <col min="5353" max="5353" width="13.42578125" style="1" customWidth="1"/>
    <col min="5354" max="5389" width="0" style="1" hidden="1" customWidth="1"/>
    <col min="5390" max="5404" width="6.7109375" style="1" customWidth="1"/>
    <col min="5405" max="5405" width="9.140625" style="1"/>
    <col min="5406" max="5406" width="10.42578125" style="1" customWidth="1"/>
    <col min="5407" max="5407" width="14.5703125" style="1" customWidth="1"/>
    <col min="5408" max="5443" width="0" style="1" hidden="1" customWidth="1"/>
    <col min="5444" max="5458" width="6.7109375" style="1" customWidth="1"/>
    <col min="5459" max="5605" width="9.140625" style="1"/>
    <col min="5606" max="5606" width="3.85546875" style="1" customWidth="1"/>
    <col min="5607" max="5607" width="10.42578125" style="1" customWidth="1"/>
    <col min="5608" max="5608" width="0" style="1" hidden="1" customWidth="1"/>
    <col min="5609" max="5609" width="13.42578125" style="1" customWidth="1"/>
    <col min="5610" max="5645" width="0" style="1" hidden="1" customWidth="1"/>
    <col min="5646" max="5660" width="6.7109375" style="1" customWidth="1"/>
    <col min="5661" max="5661" width="9.140625" style="1"/>
    <col min="5662" max="5662" width="10.42578125" style="1" customWidth="1"/>
    <col min="5663" max="5663" width="14.5703125" style="1" customWidth="1"/>
    <col min="5664" max="5699" width="0" style="1" hidden="1" customWidth="1"/>
    <col min="5700" max="5714" width="6.7109375" style="1" customWidth="1"/>
    <col min="5715" max="5861" width="9.140625" style="1"/>
    <col min="5862" max="5862" width="3.85546875" style="1" customWidth="1"/>
    <col min="5863" max="5863" width="10.42578125" style="1" customWidth="1"/>
    <col min="5864" max="5864" width="0" style="1" hidden="1" customWidth="1"/>
    <col min="5865" max="5865" width="13.42578125" style="1" customWidth="1"/>
    <col min="5866" max="5901" width="0" style="1" hidden="1" customWidth="1"/>
    <col min="5902" max="5916" width="6.7109375" style="1" customWidth="1"/>
    <col min="5917" max="5917" width="9.140625" style="1"/>
    <col min="5918" max="5918" width="10.42578125" style="1" customWidth="1"/>
    <col min="5919" max="5919" width="14.5703125" style="1" customWidth="1"/>
    <col min="5920" max="5955" width="0" style="1" hidden="1" customWidth="1"/>
    <col min="5956" max="5970" width="6.7109375" style="1" customWidth="1"/>
    <col min="5971" max="6117" width="9.140625" style="1"/>
    <col min="6118" max="6118" width="3.85546875" style="1" customWidth="1"/>
    <col min="6119" max="6119" width="10.42578125" style="1" customWidth="1"/>
    <col min="6120" max="6120" width="0" style="1" hidden="1" customWidth="1"/>
    <col min="6121" max="6121" width="13.42578125" style="1" customWidth="1"/>
    <col min="6122" max="6157" width="0" style="1" hidden="1" customWidth="1"/>
    <col min="6158" max="6172" width="6.7109375" style="1" customWidth="1"/>
    <col min="6173" max="6173" width="9.140625" style="1"/>
    <col min="6174" max="6174" width="10.42578125" style="1" customWidth="1"/>
    <col min="6175" max="6175" width="14.5703125" style="1" customWidth="1"/>
    <col min="6176" max="6211" width="0" style="1" hidden="1" customWidth="1"/>
    <col min="6212" max="6226" width="6.7109375" style="1" customWidth="1"/>
    <col min="6227" max="6373" width="9.140625" style="1"/>
    <col min="6374" max="6374" width="3.85546875" style="1" customWidth="1"/>
    <col min="6375" max="6375" width="10.42578125" style="1" customWidth="1"/>
    <col min="6376" max="6376" width="0" style="1" hidden="1" customWidth="1"/>
    <col min="6377" max="6377" width="13.42578125" style="1" customWidth="1"/>
    <col min="6378" max="6413" width="0" style="1" hidden="1" customWidth="1"/>
    <col min="6414" max="6428" width="6.7109375" style="1" customWidth="1"/>
    <col min="6429" max="6429" width="9.140625" style="1"/>
    <col min="6430" max="6430" width="10.42578125" style="1" customWidth="1"/>
    <col min="6431" max="6431" width="14.5703125" style="1" customWidth="1"/>
    <col min="6432" max="6467" width="0" style="1" hidden="1" customWidth="1"/>
    <col min="6468" max="6482" width="6.7109375" style="1" customWidth="1"/>
    <col min="6483" max="6629" width="9.140625" style="1"/>
    <col min="6630" max="6630" width="3.85546875" style="1" customWidth="1"/>
    <col min="6631" max="6631" width="10.42578125" style="1" customWidth="1"/>
    <col min="6632" max="6632" width="0" style="1" hidden="1" customWidth="1"/>
    <col min="6633" max="6633" width="13.42578125" style="1" customWidth="1"/>
    <col min="6634" max="6669" width="0" style="1" hidden="1" customWidth="1"/>
    <col min="6670" max="6684" width="6.7109375" style="1" customWidth="1"/>
    <col min="6685" max="6685" width="9.140625" style="1"/>
    <col min="6686" max="6686" width="10.42578125" style="1" customWidth="1"/>
    <col min="6687" max="6687" width="14.5703125" style="1" customWidth="1"/>
    <col min="6688" max="6723" width="0" style="1" hidden="1" customWidth="1"/>
    <col min="6724" max="6738" width="6.7109375" style="1" customWidth="1"/>
    <col min="6739" max="6885" width="9.140625" style="1"/>
    <col min="6886" max="6886" width="3.85546875" style="1" customWidth="1"/>
    <col min="6887" max="6887" width="10.42578125" style="1" customWidth="1"/>
    <col min="6888" max="6888" width="0" style="1" hidden="1" customWidth="1"/>
    <col min="6889" max="6889" width="13.42578125" style="1" customWidth="1"/>
    <col min="6890" max="6925" width="0" style="1" hidden="1" customWidth="1"/>
    <col min="6926" max="6940" width="6.7109375" style="1" customWidth="1"/>
    <col min="6941" max="6941" width="9.140625" style="1"/>
    <col min="6942" max="6942" width="10.42578125" style="1" customWidth="1"/>
    <col min="6943" max="6943" width="14.5703125" style="1" customWidth="1"/>
    <col min="6944" max="6979" width="0" style="1" hidden="1" customWidth="1"/>
    <col min="6980" max="6994" width="6.7109375" style="1" customWidth="1"/>
    <col min="6995" max="7141" width="9.140625" style="1"/>
    <col min="7142" max="7142" width="3.85546875" style="1" customWidth="1"/>
    <col min="7143" max="7143" width="10.42578125" style="1" customWidth="1"/>
    <col min="7144" max="7144" width="0" style="1" hidden="1" customWidth="1"/>
    <col min="7145" max="7145" width="13.42578125" style="1" customWidth="1"/>
    <col min="7146" max="7181" width="0" style="1" hidden="1" customWidth="1"/>
    <col min="7182" max="7196" width="6.7109375" style="1" customWidth="1"/>
    <col min="7197" max="7197" width="9.140625" style="1"/>
    <col min="7198" max="7198" width="10.42578125" style="1" customWidth="1"/>
    <col min="7199" max="7199" width="14.5703125" style="1" customWidth="1"/>
    <col min="7200" max="7235" width="0" style="1" hidden="1" customWidth="1"/>
    <col min="7236" max="7250" width="6.7109375" style="1" customWidth="1"/>
    <col min="7251" max="7397" width="9.140625" style="1"/>
    <col min="7398" max="7398" width="3.85546875" style="1" customWidth="1"/>
    <col min="7399" max="7399" width="10.42578125" style="1" customWidth="1"/>
    <col min="7400" max="7400" width="0" style="1" hidden="1" customWidth="1"/>
    <col min="7401" max="7401" width="13.42578125" style="1" customWidth="1"/>
    <col min="7402" max="7437" width="0" style="1" hidden="1" customWidth="1"/>
    <col min="7438" max="7452" width="6.7109375" style="1" customWidth="1"/>
    <col min="7453" max="7453" width="9.140625" style="1"/>
    <col min="7454" max="7454" width="10.42578125" style="1" customWidth="1"/>
    <col min="7455" max="7455" width="14.5703125" style="1" customWidth="1"/>
    <col min="7456" max="7491" width="0" style="1" hidden="1" customWidth="1"/>
    <col min="7492" max="7506" width="6.7109375" style="1" customWidth="1"/>
    <col min="7507" max="7653" width="9.140625" style="1"/>
    <col min="7654" max="7654" width="3.85546875" style="1" customWidth="1"/>
    <col min="7655" max="7655" width="10.42578125" style="1" customWidth="1"/>
    <col min="7656" max="7656" width="0" style="1" hidden="1" customWidth="1"/>
    <col min="7657" max="7657" width="13.42578125" style="1" customWidth="1"/>
    <col min="7658" max="7693" width="0" style="1" hidden="1" customWidth="1"/>
    <col min="7694" max="7708" width="6.7109375" style="1" customWidth="1"/>
    <col min="7709" max="7709" width="9.140625" style="1"/>
    <col min="7710" max="7710" width="10.42578125" style="1" customWidth="1"/>
    <col min="7711" max="7711" width="14.5703125" style="1" customWidth="1"/>
    <col min="7712" max="7747" width="0" style="1" hidden="1" customWidth="1"/>
    <col min="7748" max="7762" width="6.7109375" style="1" customWidth="1"/>
    <col min="7763" max="7909" width="9.140625" style="1"/>
    <col min="7910" max="7910" width="3.85546875" style="1" customWidth="1"/>
    <col min="7911" max="7911" width="10.42578125" style="1" customWidth="1"/>
    <col min="7912" max="7912" width="0" style="1" hidden="1" customWidth="1"/>
    <col min="7913" max="7913" width="13.42578125" style="1" customWidth="1"/>
    <col min="7914" max="7949" width="0" style="1" hidden="1" customWidth="1"/>
    <col min="7950" max="7964" width="6.7109375" style="1" customWidth="1"/>
    <col min="7965" max="7965" width="9.140625" style="1"/>
    <col min="7966" max="7966" width="10.42578125" style="1" customWidth="1"/>
    <col min="7967" max="7967" width="14.5703125" style="1" customWidth="1"/>
    <col min="7968" max="8003" width="0" style="1" hidden="1" customWidth="1"/>
    <col min="8004" max="8018" width="6.7109375" style="1" customWidth="1"/>
    <col min="8019" max="8165" width="9.140625" style="1"/>
    <col min="8166" max="8166" width="3.85546875" style="1" customWidth="1"/>
    <col min="8167" max="8167" width="10.42578125" style="1" customWidth="1"/>
    <col min="8168" max="8168" width="0" style="1" hidden="1" customWidth="1"/>
    <col min="8169" max="8169" width="13.42578125" style="1" customWidth="1"/>
    <col min="8170" max="8205" width="0" style="1" hidden="1" customWidth="1"/>
    <col min="8206" max="8220" width="6.7109375" style="1" customWidth="1"/>
    <col min="8221" max="8221" width="9.140625" style="1"/>
    <col min="8222" max="8222" width="10.42578125" style="1" customWidth="1"/>
    <col min="8223" max="8223" width="14.5703125" style="1" customWidth="1"/>
    <col min="8224" max="8259" width="0" style="1" hidden="1" customWidth="1"/>
    <col min="8260" max="8274" width="6.7109375" style="1" customWidth="1"/>
    <col min="8275" max="8421" width="9.140625" style="1"/>
    <col min="8422" max="8422" width="3.85546875" style="1" customWidth="1"/>
    <col min="8423" max="8423" width="10.42578125" style="1" customWidth="1"/>
    <col min="8424" max="8424" width="0" style="1" hidden="1" customWidth="1"/>
    <col min="8425" max="8425" width="13.42578125" style="1" customWidth="1"/>
    <col min="8426" max="8461" width="0" style="1" hidden="1" customWidth="1"/>
    <col min="8462" max="8476" width="6.7109375" style="1" customWidth="1"/>
    <col min="8477" max="8477" width="9.140625" style="1"/>
    <col min="8478" max="8478" width="10.42578125" style="1" customWidth="1"/>
    <col min="8479" max="8479" width="14.5703125" style="1" customWidth="1"/>
    <col min="8480" max="8515" width="0" style="1" hidden="1" customWidth="1"/>
    <col min="8516" max="8530" width="6.7109375" style="1" customWidth="1"/>
    <col min="8531" max="8677" width="9.140625" style="1"/>
    <col min="8678" max="8678" width="3.85546875" style="1" customWidth="1"/>
    <col min="8679" max="8679" width="10.42578125" style="1" customWidth="1"/>
    <col min="8680" max="8680" width="0" style="1" hidden="1" customWidth="1"/>
    <col min="8681" max="8681" width="13.42578125" style="1" customWidth="1"/>
    <col min="8682" max="8717" width="0" style="1" hidden="1" customWidth="1"/>
    <col min="8718" max="8732" width="6.7109375" style="1" customWidth="1"/>
    <col min="8733" max="8733" width="9.140625" style="1"/>
    <col min="8734" max="8734" width="10.42578125" style="1" customWidth="1"/>
    <col min="8735" max="8735" width="14.5703125" style="1" customWidth="1"/>
    <col min="8736" max="8771" width="0" style="1" hidden="1" customWidth="1"/>
    <col min="8772" max="8786" width="6.7109375" style="1" customWidth="1"/>
    <col min="8787" max="8933" width="9.140625" style="1"/>
    <col min="8934" max="8934" width="3.85546875" style="1" customWidth="1"/>
    <col min="8935" max="8935" width="10.42578125" style="1" customWidth="1"/>
    <col min="8936" max="8936" width="0" style="1" hidden="1" customWidth="1"/>
    <col min="8937" max="8937" width="13.42578125" style="1" customWidth="1"/>
    <col min="8938" max="8973" width="0" style="1" hidden="1" customWidth="1"/>
    <col min="8974" max="8988" width="6.7109375" style="1" customWidth="1"/>
    <col min="8989" max="8989" width="9.140625" style="1"/>
    <col min="8990" max="8990" width="10.42578125" style="1" customWidth="1"/>
    <col min="8991" max="8991" width="14.5703125" style="1" customWidth="1"/>
    <col min="8992" max="9027" width="0" style="1" hidden="1" customWidth="1"/>
    <col min="9028" max="9042" width="6.7109375" style="1" customWidth="1"/>
    <col min="9043" max="9189" width="9.140625" style="1"/>
    <col min="9190" max="9190" width="3.85546875" style="1" customWidth="1"/>
    <col min="9191" max="9191" width="10.42578125" style="1" customWidth="1"/>
    <col min="9192" max="9192" width="0" style="1" hidden="1" customWidth="1"/>
    <col min="9193" max="9193" width="13.42578125" style="1" customWidth="1"/>
    <col min="9194" max="9229" width="0" style="1" hidden="1" customWidth="1"/>
    <col min="9230" max="9244" width="6.7109375" style="1" customWidth="1"/>
    <col min="9245" max="9245" width="9.140625" style="1"/>
    <col min="9246" max="9246" width="10.42578125" style="1" customWidth="1"/>
    <col min="9247" max="9247" width="14.5703125" style="1" customWidth="1"/>
    <col min="9248" max="9283" width="0" style="1" hidden="1" customWidth="1"/>
    <col min="9284" max="9298" width="6.7109375" style="1" customWidth="1"/>
    <col min="9299" max="9445" width="9.140625" style="1"/>
    <col min="9446" max="9446" width="3.85546875" style="1" customWidth="1"/>
    <col min="9447" max="9447" width="10.42578125" style="1" customWidth="1"/>
    <col min="9448" max="9448" width="0" style="1" hidden="1" customWidth="1"/>
    <col min="9449" max="9449" width="13.42578125" style="1" customWidth="1"/>
    <col min="9450" max="9485" width="0" style="1" hidden="1" customWidth="1"/>
    <col min="9486" max="9500" width="6.7109375" style="1" customWidth="1"/>
    <col min="9501" max="9501" width="9.140625" style="1"/>
    <col min="9502" max="9502" width="10.42578125" style="1" customWidth="1"/>
    <col min="9503" max="9503" width="14.5703125" style="1" customWidth="1"/>
    <col min="9504" max="9539" width="0" style="1" hidden="1" customWidth="1"/>
    <col min="9540" max="9554" width="6.7109375" style="1" customWidth="1"/>
    <col min="9555" max="9701" width="9.140625" style="1"/>
    <col min="9702" max="9702" width="3.85546875" style="1" customWidth="1"/>
    <col min="9703" max="9703" width="10.42578125" style="1" customWidth="1"/>
    <col min="9704" max="9704" width="0" style="1" hidden="1" customWidth="1"/>
    <col min="9705" max="9705" width="13.42578125" style="1" customWidth="1"/>
    <col min="9706" max="9741" width="0" style="1" hidden="1" customWidth="1"/>
    <col min="9742" max="9756" width="6.7109375" style="1" customWidth="1"/>
    <col min="9757" max="9757" width="9.140625" style="1"/>
    <col min="9758" max="9758" width="10.42578125" style="1" customWidth="1"/>
    <col min="9759" max="9759" width="14.5703125" style="1" customWidth="1"/>
    <col min="9760" max="9795" width="0" style="1" hidden="1" customWidth="1"/>
    <col min="9796" max="9810" width="6.7109375" style="1" customWidth="1"/>
    <col min="9811" max="9957" width="9.140625" style="1"/>
    <col min="9958" max="9958" width="3.85546875" style="1" customWidth="1"/>
    <col min="9959" max="9959" width="10.42578125" style="1" customWidth="1"/>
    <col min="9960" max="9960" width="0" style="1" hidden="1" customWidth="1"/>
    <col min="9961" max="9961" width="13.42578125" style="1" customWidth="1"/>
    <col min="9962" max="9997" width="0" style="1" hidden="1" customWidth="1"/>
    <col min="9998" max="10012" width="6.7109375" style="1" customWidth="1"/>
    <col min="10013" max="10013" width="9.140625" style="1"/>
    <col min="10014" max="10014" width="10.42578125" style="1" customWidth="1"/>
    <col min="10015" max="10015" width="14.5703125" style="1" customWidth="1"/>
    <col min="10016" max="10051" width="0" style="1" hidden="1" customWidth="1"/>
    <col min="10052" max="10066" width="6.7109375" style="1" customWidth="1"/>
    <col min="10067" max="10213" width="9.140625" style="1"/>
    <col min="10214" max="10214" width="3.85546875" style="1" customWidth="1"/>
    <col min="10215" max="10215" width="10.42578125" style="1" customWidth="1"/>
    <col min="10216" max="10216" width="0" style="1" hidden="1" customWidth="1"/>
    <col min="10217" max="10217" width="13.42578125" style="1" customWidth="1"/>
    <col min="10218" max="10253" width="0" style="1" hidden="1" customWidth="1"/>
    <col min="10254" max="10268" width="6.7109375" style="1" customWidth="1"/>
    <col min="10269" max="10269" width="9.140625" style="1"/>
    <col min="10270" max="10270" width="10.42578125" style="1" customWidth="1"/>
    <col min="10271" max="10271" width="14.5703125" style="1" customWidth="1"/>
    <col min="10272" max="10307" width="0" style="1" hidden="1" customWidth="1"/>
    <col min="10308" max="10322" width="6.7109375" style="1" customWidth="1"/>
    <col min="10323" max="10469" width="9.140625" style="1"/>
    <col min="10470" max="10470" width="3.85546875" style="1" customWidth="1"/>
    <col min="10471" max="10471" width="10.42578125" style="1" customWidth="1"/>
    <col min="10472" max="10472" width="0" style="1" hidden="1" customWidth="1"/>
    <col min="10473" max="10473" width="13.42578125" style="1" customWidth="1"/>
    <col min="10474" max="10509" width="0" style="1" hidden="1" customWidth="1"/>
    <col min="10510" max="10524" width="6.7109375" style="1" customWidth="1"/>
    <col min="10525" max="10525" width="9.140625" style="1"/>
    <col min="10526" max="10526" width="10.42578125" style="1" customWidth="1"/>
    <col min="10527" max="10527" width="14.5703125" style="1" customWidth="1"/>
    <col min="10528" max="10563" width="0" style="1" hidden="1" customWidth="1"/>
    <col min="10564" max="10578" width="6.7109375" style="1" customWidth="1"/>
    <col min="10579" max="10725" width="9.140625" style="1"/>
    <col min="10726" max="10726" width="3.85546875" style="1" customWidth="1"/>
    <col min="10727" max="10727" width="10.42578125" style="1" customWidth="1"/>
    <col min="10728" max="10728" width="0" style="1" hidden="1" customWidth="1"/>
    <col min="10729" max="10729" width="13.42578125" style="1" customWidth="1"/>
    <col min="10730" max="10765" width="0" style="1" hidden="1" customWidth="1"/>
    <col min="10766" max="10780" width="6.7109375" style="1" customWidth="1"/>
    <col min="10781" max="10781" width="9.140625" style="1"/>
    <col min="10782" max="10782" width="10.42578125" style="1" customWidth="1"/>
    <col min="10783" max="10783" width="14.5703125" style="1" customWidth="1"/>
    <col min="10784" max="10819" width="0" style="1" hidden="1" customWidth="1"/>
    <col min="10820" max="10834" width="6.7109375" style="1" customWidth="1"/>
    <col min="10835" max="10981" width="9.140625" style="1"/>
    <col min="10982" max="10982" width="3.85546875" style="1" customWidth="1"/>
    <col min="10983" max="10983" width="10.42578125" style="1" customWidth="1"/>
    <col min="10984" max="10984" width="0" style="1" hidden="1" customWidth="1"/>
    <col min="10985" max="10985" width="13.42578125" style="1" customWidth="1"/>
    <col min="10986" max="11021" width="0" style="1" hidden="1" customWidth="1"/>
    <col min="11022" max="11036" width="6.7109375" style="1" customWidth="1"/>
    <col min="11037" max="11037" width="9.140625" style="1"/>
    <col min="11038" max="11038" width="10.42578125" style="1" customWidth="1"/>
    <col min="11039" max="11039" width="14.5703125" style="1" customWidth="1"/>
    <col min="11040" max="11075" width="0" style="1" hidden="1" customWidth="1"/>
    <col min="11076" max="11090" width="6.7109375" style="1" customWidth="1"/>
    <col min="11091" max="11237" width="9.140625" style="1"/>
    <col min="11238" max="11238" width="3.85546875" style="1" customWidth="1"/>
    <col min="11239" max="11239" width="10.42578125" style="1" customWidth="1"/>
    <col min="11240" max="11240" width="0" style="1" hidden="1" customWidth="1"/>
    <col min="11241" max="11241" width="13.42578125" style="1" customWidth="1"/>
    <col min="11242" max="11277" width="0" style="1" hidden="1" customWidth="1"/>
    <col min="11278" max="11292" width="6.7109375" style="1" customWidth="1"/>
    <col min="11293" max="11293" width="9.140625" style="1"/>
    <col min="11294" max="11294" width="10.42578125" style="1" customWidth="1"/>
    <col min="11295" max="11295" width="14.5703125" style="1" customWidth="1"/>
    <col min="11296" max="11331" width="0" style="1" hidden="1" customWidth="1"/>
    <col min="11332" max="11346" width="6.7109375" style="1" customWidth="1"/>
    <col min="11347" max="11493" width="9.140625" style="1"/>
    <col min="11494" max="11494" width="3.85546875" style="1" customWidth="1"/>
    <col min="11495" max="11495" width="10.42578125" style="1" customWidth="1"/>
    <col min="11496" max="11496" width="0" style="1" hidden="1" customWidth="1"/>
    <col min="11497" max="11497" width="13.42578125" style="1" customWidth="1"/>
    <col min="11498" max="11533" width="0" style="1" hidden="1" customWidth="1"/>
    <col min="11534" max="11548" width="6.7109375" style="1" customWidth="1"/>
    <col min="11549" max="11549" width="9.140625" style="1"/>
    <col min="11550" max="11550" width="10.42578125" style="1" customWidth="1"/>
    <col min="11551" max="11551" width="14.5703125" style="1" customWidth="1"/>
    <col min="11552" max="11587" width="0" style="1" hidden="1" customWidth="1"/>
    <col min="11588" max="11602" width="6.7109375" style="1" customWidth="1"/>
    <col min="11603" max="11749" width="9.140625" style="1"/>
    <col min="11750" max="11750" width="3.85546875" style="1" customWidth="1"/>
    <col min="11751" max="11751" width="10.42578125" style="1" customWidth="1"/>
    <col min="11752" max="11752" width="0" style="1" hidden="1" customWidth="1"/>
    <col min="11753" max="11753" width="13.42578125" style="1" customWidth="1"/>
    <col min="11754" max="11789" width="0" style="1" hidden="1" customWidth="1"/>
    <col min="11790" max="11804" width="6.7109375" style="1" customWidth="1"/>
    <col min="11805" max="11805" width="9.140625" style="1"/>
    <col min="11806" max="11806" width="10.42578125" style="1" customWidth="1"/>
    <col min="11807" max="11807" width="14.5703125" style="1" customWidth="1"/>
    <col min="11808" max="11843" width="0" style="1" hidden="1" customWidth="1"/>
    <col min="11844" max="11858" width="6.7109375" style="1" customWidth="1"/>
    <col min="11859" max="12005" width="9.140625" style="1"/>
    <col min="12006" max="12006" width="3.85546875" style="1" customWidth="1"/>
    <col min="12007" max="12007" width="10.42578125" style="1" customWidth="1"/>
    <col min="12008" max="12008" width="0" style="1" hidden="1" customWidth="1"/>
    <col min="12009" max="12009" width="13.42578125" style="1" customWidth="1"/>
    <col min="12010" max="12045" width="0" style="1" hidden="1" customWidth="1"/>
    <col min="12046" max="12060" width="6.7109375" style="1" customWidth="1"/>
    <col min="12061" max="12061" width="9.140625" style="1"/>
    <col min="12062" max="12062" width="10.42578125" style="1" customWidth="1"/>
    <col min="12063" max="12063" width="14.5703125" style="1" customWidth="1"/>
    <col min="12064" max="12099" width="0" style="1" hidden="1" customWidth="1"/>
    <col min="12100" max="12114" width="6.7109375" style="1" customWidth="1"/>
    <col min="12115" max="12261" width="9.140625" style="1"/>
    <col min="12262" max="12262" width="3.85546875" style="1" customWidth="1"/>
    <col min="12263" max="12263" width="10.42578125" style="1" customWidth="1"/>
    <col min="12264" max="12264" width="0" style="1" hidden="1" customWidth="1"/>
    <col min="12265" max="12265" width="13.42578125" style="1" customWidth="1"/>
    <col min="12266" max="12301" width="0" style="1" hidden="1" customWidth="1"/>
    <col min="12302" max="12316" width="6.7109375" style="1" customWidth="1"/>
    <col min="12317" max="12317" width="9.140625" style="1"/>
    <col min="12318" max="12318" width="10.42578125" style="1" customWidth="1"/>
    <col min="12319" max="12319" width="14.5703125" style="1" customWidth="1"/>
    <col min="12320" max="12355" width="0" style="1" hidden="1" customWidth="1"/>
    <col min="12356" max="12370" width="6.7109375" style="1" customWidth="1"/>
    <col min="12371" max="12517" width="9.140625" style="1"/>
    <col min="12518" max="12518" width="3.85546875" style="1" customWidth="1"/>
    <col min="12519" max="12519" width="10.42578125" style="1" customWidth="1"/>
    <col min="12520" max="12520" width="0" style="1" hidden="1" customWidth="1"/>
    <col min="12521" max="12521" width="13.42578125" style="1" customWidth="1"/>
    <col min="12522" max="12557" width="0" style="1" hidden="1" customWidth="1"/>
    <col min="12558" max="12572" width="6.7109375" style="1" customWidth="1"/>
    <col min="12573" max="12573" width="9.140625" style="1"/>
    <col min="12574" max="12574" width="10.42578125" style="1" customWidth="1"/>
    <col min="12575" max="12575" width="14.5703125" style="1" customWidth="1"/>
    <col min="12576" max="12611" width="0" style="1" hidden="1" customWidth="1"/>
    <col min="12612" max="12626" width="6.7109375" style="1" customWidth="1"/>
    <col min="12627" max="12773" width="9.140625" style="1"/>
    <col min="12774" max="12774" width="3.85546875" style="1" customWidth="1"/>
    <col min="12775" max="12775" width="10.42578125" style="1" customWidth="1"/>
    <col min="12776" max="12776" width="0" style="1" hidden="1" customWidth="1"/>
    <col min="12777" max="12777" width="13.42578125" style="1" customWidth="1"/>
    <col min="12778" max="12813" width="0" style="1" hidden="1" customWidth="1"/>
    <col min="12814" max="12828" width="6.7109375" style="1" customWidth="1"/>
    <col min="12829" max="12829" width="9.140625" style="1"/>
    <col min="12830" max="12830" width="10.42578125" style="1" customWidth="1"/>
    <col min="12831" max="12831" width="14.5703125" style="1" customWidth="1"/>
    <col min="12832" max="12867" width="0" style="1" hidden="1" customWidth="1"/>
    <col min="12868" max="12882" width="6.7109375" style="1" customWidth="1"/>
    <col min="12883" max="13029" width="9.140625" style="1"/>
    <col min="13030" max="13030" width="3.85546875" style="1" customWidth="1"/>
    <col min="13031" max="13031" width="10.42578125" style="1" customWidth="1"/>
    <col min="13032" max="13032" width="0" style="1" hidden="1" customWidth="1"/>
    <col min="13033" max="13033" width="13.42578125" style="1" customWidth="1"/>
    <col min="13034" max="13069" width="0" style="1" hidden="1" customWidth="1"/>
    <col min="13070" max="13084" width="6.7109375" style="1" customWidth="1"/>
    <col min="13085" max="13085" width="9.140625" style="1"/>
    <col min="13086" max="13086" width="10.42578125" style="1" customWidth="1"/>
    <col min="13087" max="13087" width="14.5703125" style="1" customWidth="1"/>
    <col min="13088" max="13123" width="0" style="1" hidden="1" customWidth="1"/>
    <col min="13124" max="13138" width="6.7109375" style="1" customWidth="1"/>
    <col min="13139" max="13285" width="9.140625" style="1"/>
    <col min="13286" max="13286" width="3.85546875" style="1" customWidth="1"/>
    <col min="13287" max="13287" width="10.42578125" style="1" customWidth="1"/>
    <col min="13288" max="13288" width="0" style="1" hidden="1" customWidth="1"/>
    <col min="13289" max="13289" width="13.42578125" style="1" customWidth="1"/>
    <col min="13290" max="13325" width="0" style="1" hidden="1" customWidth="1"/>
    <col min="13326" max="13340" width="6.7109375" style="1" customWidth="1"/>
    <col min="13341" max="13341" width="9.140625" style="1"/>
    <col min="13342" max="13342" width="10.42578125" style="1" customWidth="1"/>
    <col min="13343" max="13343" width="14.5703125" style="1" customWidth="1"/>
    <col min="13344" max="13379" width="0" style="1" hidden="1" customWidth="1"/>
    <col min="13380" max="13394" width="6.7109375" style="1" customWidth="1"/>
    <col min="13395" max="13541" width="9.140625" style="1"/>
    <col min="13542" max="13542" width="3.85546875" style="1" customWidth="1"/>
    <col min="13543" max="13543" width="10.42578125" style="1" customWidth="1"/>
    <col min="13544" max="13544" width="0" style="1" hidden="1" customWidth="1"/>
    <col min="13545" max="13545" width="13.42578125" style="1" customWidth="1"/>
    <col min="13546" max="13581" width="0" style="1" hidden="1" customWidth="1"/>
    <col min="13582" max="13596" width="6.7109375" style="1" customWidth="1"/>
    <col min="13597" max="13597" width="9.140625" style="1"/>
    <col min="13598" max="13598" width="10.42578125" style="1" customWidth="1"/>
    <col min="13599" max="13599" width="14.5703125" style="1" customWidth="1"/>
    <col min="13600" max="13635" width="0" style="1" hidden="1" customWidth="1"/>
    <col min="13636" max="13650" width="6.7109375" style="1" customWidth="1"/>
    <col min="13651" max="13797" width="9.140625" style="1"/>
    <col min="13798" max="13798" width="3.85546875" style="1" customWidth="1"/>
    <col min="13799" max="13799" width="10.42578125" style="1" customWidth="1"/>
    <col min="13800" max="13800" width="0" style="1" hidden="1" customWidth="1"/>
    <col min="13801" max="13801" width="13.42578125" style="1" customWidth="1"/>
    <col min="13802" max="13837" width="0" style="1" hidden="1" customWidth="1"/>
    <col min="13838" max="13852" width="6.7109375" style="1" customWidth="1"/>
    <col min="13853" max="13853" width="9.140625" style="1"/>
    <col min="13854" max="13854" width="10.42578125" style="1" customWidth="1"/>
    <col min="13855" max="13855" width="14.5703125" style="1" customWidth="1"/>
    <col min="13856" max="13891" width="0" style="1" hidden="1" customWidth="1"/>
    <col min="13892" max="13906" width="6.7109375" style="1" customWidth="1"/>
    <col min="13907" max="14053" width="9.140625" style="1"/>
    <col min="14054" max="14054" width="3.85546875" style="1" customWidth="1"/>
    <col min="14055" max="14055" width="10.42578125" style="1" customWidth="1"/>
    <col min="14056" max="14056" width="0" style="1" hidden="1" customWidth="1"/>
    <col min="14057" max="14057" width="13.42578125" style="1" customWidth="1"/>
    <col min="14058" max="14093" width="0" style="1" hidden="1" customWidth="1"/>
    <col min="14094" max="14108" width="6.7109375" style="1" customWidth="1"/>
    <col min="14109" max="14109" width="9.140625" style="1"/>
    <col min="14110" max="14110" width="10.42578125" style="1" customWidth="1"/>
    <col min="14111" max="14111" width="14.5703125" style="1" customWidth="1"/>
    <col min="14112" max="14147" width="0" style="1" hidden="1" customWidth="1"/>
    <col min="14148" max="14162" width="6.7109375" style="1" customWidth="1"/>
    <col min="14163" max="14309" width="9.140625" style="1"/>
    <col min="14310" max="14310" width="3.85546875" style="1" customWidth="1"/>
    <col min="14311" max="14311" width="10.42578125" style="1" customWidth="1"/>
    <col min="14312" max="14312" width="0" style="1" hidden="1" customWidth="1"/>
    <col min="14313" max="14313" width="13.42578125" style="1" customWidth="1"/>
    <col min="14314" max="14349" width="0" style="1" hidden="1" customWidth="1"/>
    <col min="14350" max="14364" width="6.7109375" style="1" customWidth="1"/>
    <col min="14365" max="14365" width="9.140625" style="1"/>
    <col min="14366" max="14366" width="10.42578125" style="1" customWidth="1"/>
    <col min="14367" max="14367" width="14.5703125" style="1" customWidth="1"/>
    <col min="14368" max="14403" width="0" style="1" hidden="1" customWidth="1"/>
    <col min="14404" max="14418" width="6.7109375" style="1" customWidth="1"/>
    <col min="14419" max="14565" width="9.140625" style="1"/>
    <col min="14566" max="14566" width="3.85546875" style="1" customWidth="1"/>
    <col min="14567" max="14567" width="10.42578125" style="1" customWidth="1"/>
    <col min="14568" max="14568" width="0" style="1" hidden="1" customWidth="1"/>
    <col min="14569" max="14569" width="13.42578125" style="1" customWidth="1"/>
    <col min="14570" max="14605" width="0" style="1" hidden="1" customWidth="1"/>
    <col min="14606" max="14620" width="6.7109375" style="1" customWidth="1"/>
    <col min="14621" max="14621" width="9.140625" style="1"/>
    <col min="14622" max="14622" width="10.42578125" style="1" customWidth="1"/>
    <col min="14623" max="14623" width="14.5703125" style="1" customWidth="1"/>
    <col min="14624" max="14659" width="0" style="1" hidden="1" customWidth="1"/>
    <col min="14660" max="14674" width="6.7109375" style="1" customWidth="1"/>
    <col min="14675" max="14821" width="9.140625" style="1"/>
    <col min="14822" max="14822" width="3.85546875" style="1" customWidth="1"/>
    <col min="14823" max="14823" width="10.42578125" style="1" customWidth="1"/>
    <col min="14824" max="14824" width="0" style="1" hidden="1" customWidth="1"/>
    <col min="14825" max="14825" width="13.42578125" style="1" customWidth="1"/>
    <col min="14826" max="14861" width="0" style="1" hidden="1" customWidth="1"/>
    <col min="14862" max="14876" width="6.7109375" style="1" customWidth="1"/>
    <col min="14877" max="14877" width="9.140625" style="1"/>
    <col min="14878" max="14878" width="10.42578125" style="1" customWidth="1"/>
    <col min="14879" max="14879" width="14.5703125" style="1" customWidth="1"/>
    <col min="14880" max="14915" width="0" style="1" hidden="1" customWidth="1"/>
    <col min="14916" max="14930" width="6.7109375" style="1" customWidth="1"/>
    <col min="14931" max="15077" width="9.140625" style="1"/>
    <col min="15078" max="15078" width="3.85546875" style="1" customWidth="1"/>
    <col min="15079" max="15079" width="10.42578125" style="1" customWidth="1"/>
    <col min="15080" max="15080" width="0" style="1" hidden="1" customWidth="1"/>
    <col min="15081" max="15081" width="13.42578125" style="1" customWidth="1"/>
    <col min="15082" max="15117" width="0" style="1" hidden="1" customWidth="1"/>
    <col min="15118" max="15132" width="6.7109375" style="1" customWidth="1"/>
    <col min="15133" max="15133" width="9.140625" style="1"/>
    <col min="15134" max="15134" width="10.42578125" style="1" customWidth="1"/>
    <col min="15135" max="15135" width="14.5703125" style="1" customWidth="1"/>
    <col min="15136" max="15171" width="0" style="1" hidden="1" customWidth="1"/>
    <col min="15172" max="15186" width="6.7109375" style="1" customWidth="1"/>
    <col min="15187" max="15333" width="9.140625" style="1"/>
    <col min="15334" max="15334" width="3.85546875" style="1" customWidth="1"/>
    <col min="15335" max="15335" width="10.42578125" style="1" customWidth="1"/>
    <col min="15336" max="15336" width="0" style="1" hidden="1" customWidth="1"/>
    <col min="15337" max="15337" width="13.42578125" style="1" customWidth="1"/>
    <col min="15338" max="15373" width="0" style="1" hidden="1" customWidth="1"/>
    <col min="15374" max="15388" width="6.7109375" style="1" customWidth="1"/>
    <col min="15389" max="15389" width="9.140625" style="1"/>
    <col min="15390" max="15390" width="10.42578125" style="1" customWidth="1"/>
    <col min="15391" max="15391" width="14.5703125" style="1" customWidth="1"/>
    <col min="15392" max="15427" width="0" style="1" hidden="1" customWidth="1"/>
    <col min="15428" max="15442" width="6.7109375" style="1" customWidth="1"/>
    <col min="15443" max="15589" width="9.140625" style="1"/>
    <col min="15590" max="15590" width="3.85546875" style="1" customWidth="1"/>
    <col min="15591" max="15591" width="10.42578125" style="1" customWidth="1"/>
    <col min="15592" max="15592" width="0" style="1" hidden="1" customWidth="1"/>
    <col min="15593" max="15593" width="13.42578125" style="1" customWidth="1"/>
    <col min="15594" max="15629" width="0" style="1" hidden="1" customWidth="1"/>
    <col min="15630" max="15644" width="6.7109375" style="1" customWidth="1"/>
    <col min="15645" max="15645" width="9.140625" style="1"/>
    <col min="15646" max="15646" width="10.42578125" style="1" customWidth="1"/>
    <col min="15647" max="15647" width="14.5703125" style="1" customWidth="1"/>
    <col min="15648" max="15683" width="0" style="1" hidden="1" customWidth="1"/>
    <col min="15684" max="15698" width="6.7109375" style="1" customWidth="1"/>
    <col min="15699" max="15845" width="9.140625" style="1"/>
    <col min="15846" max="15846" width="3.85546875" style="1" customWidth="1"/>
    <col min="15847" max="15847" width="10.42578125" style="1" customWidth="1"/>
    <col min="15848" max="15848" width="0" style="1" hidden="1" customWidth="1"/>
    <col min="15849" max="15849" width="13.42578125" style="1" customWidth="1"/>
    <col min="15850" max="15885" width="0" style="1" hidden="1" customWidth="1"/>
    <col min="15886" max="15900" width="6.7109375" style="1" customWidth="1"/>
    <col min="15901" max="15901" width="9.140625" style="1"/>
    <col min="15902" max="15902" width="10.42578125" style="1" customWidth="1"/>
    <col min="15903" max="15903" width="14.5703125" style="1" customWidth="1"/>
    <col min="15904" max="15939" width="0" style="1" hidden="1" customWidth="1"/>
    <col min="15940" max="15954" width="6.7109375" style="1" customWidth="1"/>
    <col min="15955" max="16101" width="9.140625" style="1"/>
    <col min="16102" max="16102" width="3.85546875" style="1" customWidth="1"/>
    <col min="16103" max="16103" width="10.42578125" style="1" customWidth="1"/>
    <col min="16104" max="16104" width="0" style="1" hidden="1" customWidth="1"/>
    <col min="16105" max="16105" width="13.42578125" style="1" customWidth="1"/>
    <col min="16106" max="16141" width="0" style="1" hidden="1" customWidth="1"/>
    <col min="16142" max="16156" width="6.7109375" style="1" customWidth="1"/>
    <col min="16157" max="16157" width="9.140625" style="1"/>
    <col min="16158" max="16158" width="10.42578125" style="1" customWidth="1"/>
    <col min="16159" max="16159" width="14.5703125" style="1" customWidth="1"/>
    <col min="16160" max="16195" width="0" style="1" hidden="1" customWidth="1"/>
    <col min="16196" max="16210" width="6.7109375" style="1" customWidth="1"/>
    <col min="16211" max="16384" width="9.140625" style="1"/>
  </cols>
  <sheetData>
    <row r="2" spans="1:113" ht="15" customHeight="1" x14ac:dyDescent="0.25">
      <c r="A2" s="87" t="s">
        <v>20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90"/>
    </row>
    <row r="3" spans="1:113" ht="13.5" customHeight="1" x14ac:dyDescent="0.2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24"/>
    </row>
    <row r="4" spans="1:113" ht="15" customHeight="1" x14ac:dyDescent="0.25">
      <c r="A4" s="23"/>
      <c r="B4" s="29" t="s">
        <v>22</v>
      </c>
      <c r="C4" s="4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24"/>
    </row>
    <row r="5" spans="1:113" ht="15" customHeight="1" x14ac:dyDescent="0.25">
      <c r="A5" s="23"/>
      <c r="B5" s="44" t="s">
        <v>80</v>
      </c>
      <c r="C5" s="47"/>
      <c r="D5" s="47"/>
      <c r="E5" s="47"/>
      <c r="F5" s="3"/>
      <c r="G5" s="3"/>
      <c r="H5" s="3"/>
      <c r="I5" s="3"/>
      <c r="J5" s="3"/>
      <c r="K5" s="3"/>
      <c r="L5" s="4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24"/>
      <c r="AD5" s="40" t="s">
        <v>83</v>
      </c>
      <c r="AF5" s="3"/>
      <c r="AG5" s="3"/>
      <c r="AH5" s="3"/>
      <c r="AI5" s="3"/>
      <c r="AJ5" s="3"/>
      <c r="AK5" s="3"/>
      <c r="AL5" s="3"/>
      <c r="AM5" s="3"/>
      <c r="AN5" s="3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</row>
    <row r="6" spans="1:113" ht="13.5" customHeight="1" thickBot="1" x14ac:dyDescent="0.25">
      <c r="A6" s="2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24"/>
      <c r="AD6" s="40" t="s">
        <v>58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</row>
    <row r="7" spans="1:113" ht="13.5" customHeight="1" thickTop="1" x14ac:dyDescent="0.2">
      <c r="A7" s="23"/>
      <c r="B7" s="3"/>
      <c r="C7" s="4"/>
      <c r="D7" s="4"/>
      <c r="E7" s="4"/>
      <c r="F7" s="34" t="s">
        <v>74</v>
      </c>
      <c r="G7" s="35" t="s">
        <v>75</v>
      </c>
      <c r="H7" s="35" t="s">
        <v>76</v>
      </c>
      <c r="I7" s="35" t="s">
        <v>77</v>
      </c>
      <c r="J7" s="35" t="s">
        <v>78</v>
      </c>
      <c r="K7" s="35" t="s">
        <v>79</v>
      </c>
      <c r="L7" s="35" t="s">
        <v>73</v>
      </c>
      <c r="M7" s="35" t="s">
        <v>72</v>
      </c>
      <c r="N7" s="34" t="s">
        <v>71</v>
      </c>
      <c r="O7" s="35" t="s">
        <v>70</v>
      </c>
      <c r="P7" s="35" t="s">
        <v>69</v>
      </c>
      <c r="Q7" s="35" t="s">
        <v>40</v>
      </c>
      <c r="R7" s="35" t="s">
        <v>39</v>
      </c>
      <c r="S7" s="35" t="s">
        <v>38</v>
      </c>
      <c r="T7" s="35" t="s">
        <v>37</v>
      </c>
      <c r="U7" s="35" t="s">
        <v>36</v>
      </c>
      <c r="V7" s="35" t="s">
        <v>34</v>
      </c>
      <c r="W7" s="35" t="s">
        <v>33</v>
      </c>
      <c r="X7" s="35" t="s">
        <v>32</v>
      </c>
      <c r="Y7" s="35" t="s">
        <v>31</v>
      </c>
      <c r="Z7" s="35" t="s">
        <v>30</v>
      </c>
      <c r="AA7" s="35" t="s">
        <v>29</v>
      </c>
      <c r="AB7" s="48"/>
      <c r="AF7" s="81" t="s">
        <v>41</v>
      </c>
      <c r="AG7" s="81"/>
      <c r="AH7" s="81"/>
      <c r="AI7" s="81" t="s">
        <v>42</v>
      </c>
      <c r="AJ7" s="81"/>
      <c r="AK7" s="81"/>
      <c r="AL7" s="81" t="s">
        <v>43</v>
      </c>
      <c r="AM7" s="81"/>
      <c r="AN7" s="81"/>
      <c r="AO7" s="81" t="s">
        <v>44</v>
      </c>
      <c r="AP7" s="81"/>
      <c r="AQ7" s="81"/>
      <c r="AR7" s="81" t="s">
        <v>45</v>
      </c>
      <c r="AS7" s="81"/>
      <c r="AT7" s="81"/>
      <c r="AU7" s="81" t="s">
        <v>46</v>
      </c>
      <c r="AV7" s="81"/>
      <c r="AW7" s="81"/>
      <c r="AX7" s="81" t="s">
        <v>47</v>
      </c>
      <c r="AY7" s="81"/>
      <c r="AZ7" s="81"/>
      <c r="BA7" s="81" t="s">
        <v>48</v>
      </c>
      <c r="BB7" s="81"/>
      <c r="BC7" s="81"/>
      <c r="BD7" s="81" t="s">
        <v>49</v>
      </c>
      <c r="BE7" s="81"/>
      <c r="BF7" s="81"/>
      <c r="BG7" s="81" t="s">
        <v>50</v>
      </c>
      <c r="BH7" s="81"/>
      <c r="BI7" s="81"/>
      <c r="BJ7" s="81" t="s">
        <v>51</v>
      </c>
      <c r="BK7" s="81"/>
      <c r="BL7" s="81"/>
      <c r="BM7" s="81" t="s">
        <v>52</v>
      </c>
      <c r="BN7" s="81"/>
      <c r="BO7" s="81"/>
      <c r="BP7" s="81" t="s">
        <v>53</v>
      </c>
      <c r="BQ7" s="81"/>
      <c r="BR7" s="81"/>
      <c r="BS7" s="81" t="s">
        <v>54</v>
      </c>
      <c r="BT7" s="81"/>
      <c r="BU7" s="81"/>
      <c r="BV7" s="81" t="s">
        <v>55</v>
      </c>
      <c r="BW7" s="81"/>
      <c r="BX7" s="81"/>
      <c r="BY7" s="81" t="s">
        <v>56</v>
      </c>
      <c r="BZ7" s="81"/>
      <c r="CA7" s="81"/>
      <c r="CB7" s="81" t="s">
        <v>27</v>
      </c>
      <c r="CC7" s="81"/>
      <c r="CD7" s="81"/>
      <c r="CE7" s="81" t="s">
        <v>91</v>
      </c>
      <c r="CF7" s="81"/>
      <c r="CG7" s="81"/>
      <c r="CH7" s="81" t="s">
        <v>98</v>
      </c>
      <c r="CI7" s="81"/>
      <c r="CJ7" s="81"/>
      <c r="CK7" s="81" t="s">
        <v>102</v>
      </c>
      <c r="CL7" s="81"/>
      <c r="CM7" s="81"/>
      <c r="CN7" s="81" t="s">
        <v>105</v>
      </c>
      <c r="CO7" s="81"/>
      <c r="CP7" s="81"/>
      <c r="CQ7" s="81" t="s">
        <v>107</v>
      </c>
      <c r="CR7" s="81"/>
      <c r="CS7" s="81"/>
    </row>
    <row r="8" spans="1:113" ht="13.5" customHeight="1" x14ac:dyDescent="0.2">
      <c r="A8" s="23"/>
      <c r="B8" s="3"/>
      <c r="C8" s="4"/>
      <c r="D8" s="4"/>
      <c r="E8" s="4"/>
      <c r="F8" s="35" t="s">
        <v>35</v>
      </c>
      <c r="G8" s="35" t="s">
        <v>35</v>
      </c>
      <c r="H8" s="35" t="s">
        <v>35</v>
      </c>
      <c r="I8" s="35" t="s">
        <v>35</v>
      </c>
      <c r="J8" s="35" t="s">
        <v>35</v>
      </c>
      <c r="K8" s="35" t="s">
        <v>35</v>
      </c>
      <c r="L8" s="35" t="s">
        <v>35</v>
      </c>
      <c r="M8" s="35" t="s">
        <v>35</v>
      </c>
      <c r="N8" s="35" t="s">
        <v>35</v>
      </c>
      <c r="O8" s="35" t="s">
        <v>35</v>
      </c>
      <c r="P8" s="35" t="s">
        <v>35</v>
      </c>
      <c r="Q8" s="35" t="s">
        <v>35</v>
      </c>
      <c r="R8" s="35" t="s">
        <v>35</v>
      </c>
      <c r="S8" s="35" t="s">
        <v>35</v>
      </c>
      <c r="T8" s="35" t="s">
        <v>35</v>
      </c>
      <c r="U8" s="35" t="s">
        <v>35</v>
      </c>
      <c r="V8" s="35" t="s">
        <v>35</v>
      </c>
      <c r="W8" s="35" t="s">
        <v>35</v>
      </c>
      <c r="X8" s="35" t="s">
        <v>35</v>
      </c>
      <c r="Y8" s="35" t="s">
        <v>35</v>
      </c>
      <c r="Z8" s="35" t="s">
        <v>35</v>
      </c>
      <c r="AA8" s="35" t="s">
        <v>35</v>
      </c>
      <c r="AB8" s="48"/>
      <c r="AC8" s="3"/>
      <c r="AD8" s="3"/>
      <c r="AE8" s="3"/>
      <c r="AF8" s="81" t="s">
        <v>1</v>
      </c>
      <c r="AG8" s="81"/>
      <c r="AH8" s="81"/>
      <c r="AI8" s="81" t="s">
        <v>2</v>
      </c>
      <c r="AJ8" s="81"/>
      <c r="AK8" s="81"/>
      <c r="AL8" s="81" t="s">
        <v>3</v>
      </c>
      <c r="AM8" s="81"/>
      <c r="AN8" s="81"/>
      <c r="AO8" s="81" t="s">
        <v>4</v>
      </c>
      <c r="AP8" s="81"/>
      <c r="AQ8" s="81"/>
      <c r="AR8" s="81" t="s">
        <v>5</v>
      </c>
      <c r="AS8" s="81"/>
      <c r="AT8" s="81"/>
      <c r="AU8" s="81" t="s">
        <v>6</v>
      </c>
      <c r="AV8" s="81"/>
      <c r="AW8" s="81"/>
      <c r="AX8" s="81" t="s">
        <v>7</v>
      </c>
      <c r="AY8" s="81"/>
      <c r="AZ8" s="81"/>
      <c r="BA8" s="81" t="s">
        <v>8</v>
      </c>
      <c r="BB8" s="81"/>
      <c r="BC8" s="81"/>
      <c r="BD8" s="81" t="s">
        <v>9</v>
      </c>
      <c r="BE8" s="81"/>
      <c r="BF8" s="81"/>
      <c r="BG8" s="81" t="s">
        <v>10</v>
      </c>
      <c r="BH8" s="81"/>
      <c r="BI8" s="81"/>
      <c r="BJ8" s="81" t="s">
        <v>11</v>
      </c>
      <c r="BK8" s="81"/>
      <c r="BL8" s="81"/>
      <c r="BM8" s="81" t="s">
        <v>12</v>
      </c>
      <c r="BN8" s="81"/>
      <c r="BO8" s="81"/>
      <c r="BP8" s="81" t="s">
        <v>13</v>
      </c>
      <c r="BQ8" s="81"/>
      <c r="BR8" s="81"/>
      <c r="BS8" s="81" t="s">
        <v>14</v>
      </c>
      <c r="BT8" s="81"/>
      <c r="BU8" s="81"/>
      <c r="BV8" s="81" t="s">
        <v>15</v>
      </c>
      <c r="BW8" s="81"/>
      <c r="BX8" s="81"/>
      <c r="BY8" s="81" t="s">
        <v>16</v>
      </c>
      <c r="BZ8" s="81"/>
      <c r="CA8" s="81"/>
      <c r="CB8" s="81" t="s">
        <v>17</v>
      </c>
      <c r="CC8" s="81"/>
      <c r="CD8" s="81"/>
      <c r="CE8" s="81" t="s">
        <v>92</v>
      </c>
      <c r="CF8" s="81"/>
      <c r="CG8" s="81"/>
      <c r="CH8" s="81" t="s">
        <v>99</v>
      </c>
      <c r="CI8" s="81"/>
      <c r="CJ8" s="81"/>
      <c r="CK8" s="81" t="s">
        <v>101</v>
      </c>
      <c r="CL8" s="81"/>
      <c r="CM8" s="81"/>
      <c r="CN8" s="81" t="s">
        <v>104</v>
      </c>
      <c r="CO8" s="81"/>
      <c r="CP8" s="81"/>
      <c r="CQ8" s="81" t="s">
        <v>108</v>
      </c>
      <c r="CR8" s="81"/>
      <c r="CS8" s="81"/>
    </row>
    <row r="9" spans="1:113" ht="13.5" customHeight="1" x14ac:dyDescent="0.2">
      <c r="A9" s="23"/>
      <c r="B9" s="17"/>
      <c r="C9" s="6"/>
      <c r="D9" s="6"/>
      <c r="E9" s="6"/>
      <c r="F9" s="31" t="s">
        <v>73</v>
      </c>
      <c r="G9" s="31" t="s">
        <v>72</v>
      </c>
      <c r="H9" s="31" t="s">
        <v>71</v>
      </c>
      <c r="I9" s="31" t="s">
        <v>70</v>
      </c>
      <c r="J9" s="31" t="s">
        <v>69</v>
      </c>
      <c r="K9" s="31" t="s">
        <v>40</v>
      </c>
      <c r="L9" s="31" t="s">
        <v>39</v>
      </c>
      <c r="M9" s="31" t="s">
        <v>38</v>
      </c>
      <c r="N9" s="31" t="s">
        <v>37</v>
      </c>
      <c r="O9" s="31" t="s">
        <v>36</v>
      </c>
      <c r="P9" s="31" t="s">
        <v>34</v>
      </c>
      <c r="Q9" s="31" t="s">
        <v>33</v>
      </c>
      <c r="R9" s="31" t="s">
        <v>32</v>
      </c>
      <c r="S9" s="31" t="s">
        <v>31</v>
      </c>
      <c r="T9" s="31" t="s">
        <v>30</v>
      </c>
      <c r="U9" s="31" t="s">
        <v>29</v>
      </c>
      <c r="V9" s="31" t="s">
        <v>28</v>
      </c>
      <c r="W9" s="31" t="s">
        <v>90</v>
      </c>
      <c r="X9" s="31" t="s">
        <v>97</v>
      </c>
      <c r="Y9" s="31" t="s">
        <v>100</v>
      </c>
      <c r="Z9" s="31" t="s">
        <v>103</v>
      </c>
      <c r="AA9" s="31" t="s">
        <v>106</v>
      </c>
      <c r="AB9" s="49"/>
      <c r="AC9" s="7"/>
      <c r="AD9" s="7"/>
      <c r="AE9" s="7"/>
      <c r="AF9" s="35" t="s">
        <v>25</v>
      </c>
      <c r="AG9" s="35" t="s">
        <v>26</v>
      </c>
      <c r="AH9" s="35" t="s">
        <v>18</v>
      </c>
      <c r="AI9" s="35" t="s">
        <v>25</v>
      </c>
      <c r="AJ9" s="35" t="s">
        <v>26</v>
      </c>
      <c r="AK9" s="35" t="s">
        <v>18</v>
      </c>
      <c r="AL9" s="35" t="s">
        <v>25</v>
      </c>
      <c r="AM9" s="35" t="s">
        <v>26</v>
      </c>
      <c r="AN9" s="35" t="s">
        <v>18</v>
      </c>
      <c r="AO9" s="35" t="s">
        <v>25</v>
      </c>
      <c r="AP9" s="35" t="s">
        <v>26</v>
      </c>
      <c r="AQ9" s="35" t="s">
        <v>18</v>
      </c>
      <c r="AR9" s="35" t="s">
        <v>25</v>
      </c>
      <c r="AS9" s="35" t="s">
        <v>26</v>
      </c>
      <c r="AT9" s="35" t="s">
        <v>18</v>
      </c>
      <c r="AU9" s="35" t="s">
        <v>25</v>
      </c>
      <c r="AV9" s="35" t="s">
        <v>26</v>
      </c>
      <c r="AW9" s="35" t="s">
        <v>18</v>
      </c>
      <c r="AX9" s="35" t="s">
        <v>25</v>
      </c>
      <c r="AY9" s="35" t="s">
        <v>26</v>
      </c>
      <c r="AZ9" s="35" t="s">
        <v>18</v>
      </c>
      <c r="BA9" s="35" t="s">
        <v>25</v>
      </c>
      <c r="BB9" s="35" t="s">
        <v>26</v>
      </c>
      <c r="BC9" s="35" t="s">
        <v>18</v>
      </c>
      <c r="BD9" s="35" t="s">
        <v>25</v>
      </c>
      <c r="BE9" s="35" t="s">
        <v>26</v>
      </c>
      <c r="BF9" s="35" t="s">
        <v>18</v>
      </c>
      <c r="BG9" s="35" t="s">
        <v>25</v>
      </c>
      <c r="BH9" s="35" t="s">
        <v>26</v>
      </c>
      <c r="BI9" s="35" t="s">
        <v>18</v>
      </c>
      <c r="BJ9" s="35" t="s">
        <v>25</v>
      </c>
      <c r="BK9" s="35" t="s">
        <v>26</v>
      </c>
      <c r="BL9" s="35" t="s">
        <v>18</v>
      </c>
      <c r="BM9" s="35" t="s">
        <v>25</v>
      </c>
      <c r="BN9" s="35" t="s">
        <v>26</v>
      </c>
      <c r="BO9" s="35" t="s">
        <v>18</v>
      </c>
      <c r="BP9" s="35" t="s">
        <v>25</v>
      </c>
      <c r="BQ9" s="35" t="s">
        <v>26</v>
      </c>
      <c r="BR9" s="35" t="s">
        <v>18</v>
      </c>
      <c r="BS9" s="35" t="s">
        <v>25</v>
      </c>
      <c r="BT9" s="35" t="s">
        <v>26</v>
      </c>
      <c r="BU9" s="35" t="s">
        <v>18</v>
      </c>
      <c r="BV9" s="35" t="s">
        <v>25</v>
      </c>
      <c r="BW9" s="35" t="s">
        <v>26</v>
      </c>
      <c r="BX9" s="35" t="s">
        <v>18</v>
      </c>
      <c r="BY9" s="35" t="s">
        <v>25</v>
      </c>
      <c r="BZ9" s="35" t="s">
        <v>26</v>
      </c>
      <c r="CA9" s="35" t="s">
        <v>18</v>
      </c>
      <c r="CB9" s="35" t="s">
        <v>25</v>
      </c>
      <c r="CC9" s="35" t="s">
        <v>26</v>
      </c>
      <c r="CD9" s="35" t="s">
        <v>18</v>
      </c>
      <c r="CE9" s="35" t="s">
        <v>25</v>
      </c>
      <c r="CF9" s="35" t="s">
        <v>26</v>
      </c>
      <c r="CG9" s="35" t="s">
        <v>18</v>
      </c>
      <c r="CH9" s="35" t="s">
        <v>25</v>
      </c>
      <c r="CI9" s="35" t="s">
        <v>26</v>
      </c>
      <c r="CJ9" s="35" t="s">
        <v>18</v>
      </c>
      <c r="CK9" s="35" t="s">
        <v>25</v>
      </c>
      <c r="CL9" s="35" t="s">
        <v>26</v>
      </c>
      <c r="CM9" s="35" t="s">
        <v>18</v>
      </c>
      <c r="CN9" s="35" t="s">
        <v>25</v>
      </c>
      <c r="CO9" s="35" t="s">
        <v>26</v>
      </c>
      <c r="CP9" s="35" t="s">
        <v>18</v>
      </c>
      <c r="CQ9" s="35" t="s">
        <v>25</v>
      </c>
      <c r="CR9" s="35" t="s">
        <v>26</v>
      </c>
      <c r="CS9" s="35" t="s">
        <v>18</v>
      </c>
    </row>
    <row r="10" spans="1:113" ht="13.5" customHeight="1" x14ac:dyDescent="0.2">
      <c r="A10" s="23"/>
      <c r="B10" s="3"/>
      <c r="C10" s="3"/>
      <c r="D10" s="3"/>
      <c r="E10" s="3"/>
      <c r="F10" s="42"/>
      <c r="G10" s="4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24"/>
      <c r="AF10" s="60"/>
      <c r="AG10" s="60"/>
      <c r="AH10" s="60"/>
      <c r="AI10" s="60"/>
      <c r="AJ10" s="60"/>
      <c r="AK10" s="60"/>
      <c r="AL10" s="60"/>
      <c r="AM10" s="60"/>
    </row>
    <row r="11" spans="1:113" ht="13.5" customHeight="1" x14ac:dyDescent="0.2">
      <c r="A11" s="23"/>
      <c r="B11" s="46" t="s">
        <v>24</v>
      </c>
      <c r="C11" s="45"/>
      <c r="D11" s="45"/>
      <c r="E11" s="45"/>
      <c r="F11" s="45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24"/>
      <c r="AF11" s="60"/>
      <c r="AG11" s="60"/>
      <c r="AH11" s="60"/>
      <c r="AI11" s="60"/>
      <c r="AJ11" s="60"/>
      <c r="AK11" s="60"/>
      <c r="AL11" s="60"/>
      <c r="AM11" s="60"/>
    </row>
    <row r="12" spans="1:113" ht="13.5" customHeight="1" x14ac:dyDescent="0.25">
      <c r="A12" s="23"/>
      <c r="B12" s="3"/>
      <c r="C12" s="4" t="s">
        <v>19</v>
      </c>
      <c r="D12" s="3"/>
      <c r="E12" s="3"/>
      <c r="F12" s="10"/>
      <c r="G12" s="10"/>
      <c r="H12" s="10"/>
      <c r="I12" s="10"/>
      <c r="J12" s="10"/>
      <c r="K12" s="10"/>
      <c r="L12" s="10"/>
      <c r="M12" s="42"/>
      <c r="N12" s="42"/>
      <c r="O12" s="10"/>
      <c r="P12" s="10"/>
      <c r="Q12" s="10"/>
      <c r="R12" s="10"/>
      <c r="S12" s="10"/>
      <c r="T12" s="42"/>
      <c r="U12" s="42"/>
      <c r="V12" s="42"/>
      <c r="W12" s="37"/>
      <c r="X12" s="37"/>
      <c r="Y12" s="37"/>
      <c r="Z12" s="37"/>
      <c r="AA12" s="37"/>
      <c r="AB12" s="48"/>
      <c r="AF12" s="82" t="s">
        <v>19</v>
      </c>
      <c r="AG12" s="82"/>
      <c r="AH12" s="82"/>
      <c r="AI12" s="82"/>
      <c r="AJ12" s="82"/>
      <c r="AK12" s="82"/>
      <c r="AL12" s="82"/>
      <c r="AM12" s="82"/>
      <c r="AN12" s="82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</row>
    <row r="13" spans="1:113" ht="13.5" customHeight="1" x14ac:dyDescent="0.2">
      <c r="A13" s="23"/>
      <c r="B13" s="3"/>
      <c r="D13" s="3" t="s">
        <v>65</v>
      </c>
      <c r="E13" s="3"/>
      <c r="F13" s="11">
        <f>AH13</f>
        <v>494</v>
      </c>
      <c r="G13" s="11">
        <f>AK13</f>
        <v>479</v>
      </c>
      <c r="H13" s="11">
        <f>AN13</f>
        <v>515</v>
      </c>
      <c r="I13" s="11">
        <f>AQ13</f>
        <v>504</v>
      </c>
      <c r="J13" s="11">
        <f>AT13</f>
        <v>568</v>
      </c>
      <c r="K13" s="11">
        <f>AW13</f>
        <v>567</v>
      </c>
      <c r="L13" s="11">
        <f>AZ13</f>
        <v>588</v>
      </c>
      <c r="M13" s="11">
        <f>BC13</f>
        <v>618</v>
      </c>
      <c r="N13" s="11">
        <f>BF13</f>
        <v>640</v>
      </c>
      <c r="O13" s="11">
        <f>BI13</f>
        <v>688</v>
      </c>
      <c r="P13" s="11">
        <f>BL13</f>
        <v>736</v>
      </c>
      <c r="Q13" s="11">
        <f>BO13</f>
        <v>747</v>
      </c>
      <c r="R13" s="11">
        <f>BR13</f>
        <v>758</v>
      </c>
      <c r="S13" s="11">
        <f>BU13</f>
        <v>904</v>
      </c>
      <c r="T13" s="11">
        <f>BX13</f>
        <v>1007</v>
      </c>
      <c r="U13" s="11">
        <f>CA13</f>
        <v>928</v>
      </c>
      <c r="V13" s="11">
        <f t="shared" ref="V13" si="0">CD13</f>
        <v>916</v>
      </c>
      <c r="W13" s="11">
        <f>CG13</f>
        <v>971</v>
      </c>
      <c r="X13" s="11">
        <f>CJ13</f>
        <v>979</v>
      </c>
      <c r="Y13" s="11">
        <f>CM13</f>
        <v>1109</v>
      </c>
      <c r="Z13" s="11">
        <f>CP13</f>
        <v>1112</v>
      </c>
      <c r="AA13" s="11">
        <f>CS13</f>
        <v>1101</v>
      </c>
      <c r="AB13" s="12"/>
      <c r="AD13" s="3" t="s">
        <v>65</v>
      </c>
      <c r="AE13" s="3"/>
      <c r="AF13" s="39">
        <v>223</v>
      </c>
      <c r="AG13" s="39">
        <v>271</v>
      </c>
      <c r="AH13" s="39">
        <f>AF13+AG13</f>
        <v>494</v>
      </c>
      <c r="AI13" s="39">
        <v>223</v>
      </c>
      <c r="AJ13" s="39">
        <v>256</v>
      </c>
      <c r="AK13" s="39">
        <f>AI13+AJ13</f>
        <v>479</v>
      </c>
      <c r="AL13" s="39">
        <v>249</v>
      </c>
      <c r="AM13" s="39">
        <v>266</v>
      </c>
      <c r="AN13" s="39">
        <f>AL13+AM13</f>
        <v>515</v>
      </c>
      <c r="AO13" s="39">
        <v>227</v>
      </c>
      <c r="AP13" s="39">
        <v>277</v>
      </c>
      <c r="AQ13" s="39">
        <f>AO13+AP13</f>
        <v>504</v>
      </c>
      <c r="AR13" s="39">
        <v>250</v>
      </c>
      <c r="AS13" s="39">
        <v>318</v>
      </c>
      <c r="AT13" s="39">
        <f>AR13+AS13</f>
        <v>568</v>
      </c>
      <c r="AU13" s="39">
        <f>269-1</f>
        <v>268</v>
      </c>
      <c r="AV13" s="39">
        <f>300-1</f>
        <v>299</v>
      </c>
      <c r="AW13" s="39">
        <f>AU13+AV13</f>
        <v>567</v>
      </c>
      <c r="AX13" s="39">
        <v>267</v>
      </c>
      <c r="AY13" s="39">
        <v>321</v>
      </c>
      <c r="AZ13" s="39">
        <f>AX13+AY13</f>
        <v>588</v>
      </c>
      <c r="BA13" s="39">
        <v>282</v>
      </c>
      <c r="BB13" s="39">
        <v>336</v>
      </c>
      <c r="BC13" s="39">
        <f>BA13+BB13</f>
        <v>618</v>
      </c>
      <c r="BD13" s="39">
        <v>284</v>
      </c>
      <c r="BE13" s="39">
        <v>356</v>
      </c>
      <c r="BF13" s="39">
        <f>BD13+BE13</f>
        <v>640</v>
      </c>
      <c r="BG13" s="39">
        <v>297</v>
      </c>
      <c r="BH13" s="39">
        <v>391</v>
      </c>
      <c r="BI13" s="39">
        <f>BG13+BH13</f>
        <v>688</v>
      </c>
      <c r="BJ13" s="39">
        <v>291</v>
      </c>
      <c r="BK13" s="39">
        <v>445</v>
      </c>
      <c r="BL13" s="39">
        <f>BJ13+BK13</f>
        <v>736</v>
      </c>
      <c r="BM13" s="39">
        <v>293</v>
      </c>
      <c r="BN13" s="39">
        <v>454</v>
      </c>
      <c r="BO13" s="39">
        <f>BM13+BN13</f>
        <v>747</v>
      </c>
      <c r="BP13" s="39">
        <v>303</v>
      </c>
      <c r="BQ13" s="39">
        <v>455</v>
      </c>
      <c r="BR13" s="39">
        <f>BP13+BQ13</f>
        <v>758</v>
      </c>
      <c r="BS13" s="39">
        <v>364</v>
      </c>
      <c r="BT13" s="39">
        <v>540</v>
      </c>
      <c r="BU13" s="39">
        <f>BS13+BT13</f>
        <v>904</v>
      </c>
      <c r="BV13" s="39">
        <v>433</v>
      </c>
      <c r="BW13" s="39">
        <v>574</v>
      </c>
      <c r="BX13" s="39">
        <f>BV13+BW13</f>
        <v>1007</v>
      </c>
      <c r="BY13" s="39">
        <v>383</v>
      </c>
      <c r="BZ13" s="39">
        <v>545</v>
      </c>
      <c r="CA13" s="39">
        <f>BY13+BZ13</f>
        <v>928</v>
      </c>
      <c r="CB13" s="39">
        <v>348</v>
      </c>
      <c r="CC13" s="39">
        <v>568</v>
      </c>
      <c r="CD13" s="39">
        <f>CB13+CC13</f>
        <v>916</v>
      </c>
      <c r="CE13" s="39">
        <v>382</v>
      </c>
      <c r="CF13" s="39">
        <v>589</v>
      </c>
      <c r="CG13" s="39">
        <f>CE13+CF13</f>
        <v>971</v>
      </c>
      <c r="CH13" s="39">
        <v>369</v>
      </c>
      <c r="CI13" s="39">
        <v>610</v>
      </c>
      <c r="CJ13" s="39">
        <f>CH13+CI13</f>
        <v>979</v>
      </c>
      <c r="CK13" s="39">
        <v>436</v>
      </c>
      <c r="CL13" s="39">
        <v>673</v>
      </c>
      <c r="CM13" s="39">
        <f>CK13+CL13</f>
        <v>1109</v>
      </c>
      <c r="CN13" s="39">
        <v>405</v>
      </c>
      <c r="CO13" s="39">
        <v>707</v>
      </c>
      <c r="CP13" s="39">
        <f>CN13+CO13</f>
        <v>1112</v>
      </c>
      <c r="CQ13" s="39">
        <v>440</v>
      </c>
      <c r="CR13" s="39">
        <v>661</v>
      </c>
      <c r="CS13" s="39">
        <f>CQ13+CR13</f>
        <v>1101</v>
      </c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</row>
    <row r="14" spans="1:113" ht="13.5" customHeight="1" x14ac:dyDescent="0.2">
      <c r="A14" s="23"/>
      <c r="B14" s="3"/>
      <c r="D14" s="15" t="s">
        <v>59</v>
      </c>
      <c r="E14" s="3" t="s">
        <v>60</v>
      </c>
      <c r="F14" s="15">
        <f>IF(AH13&gt;0,(AH14/AH13),"")</f>
        <v>0.10931174089068826</v>
      </c>
      <c r="G14" s="15">
        <f>IF(AK13&gt;0,(AK14/AK13),"")</f>
        <v>8.7682672233820466E-2</v>
      </c>
      <c r="H14" s="15">
        <f>IF(AN13&gt;0,(AN14/AN13),"")</f>
        <v>0.1029126213592233</v>
      </c>
      <c r="I14" s="15">
        <f>IF(AQ13&gt;0,(AQ14/AQ13),"")</f>
        <v>0.125</v>
      </c>
      <c r="J14" s="15">
        <f>IF(AT13&gt;0,(AT14/AT13),"")</f>
        <v>0.12323943661971831</v>
      </c>
      <c r="K14" s="15">
        <f>IF(AW13&gt;0,(AW14/AW13),"")</f>
        <v>0.14991181657848324</v>
      </c>
      <c r="L14" s="15">
        <f>IF(AZ13&gt;0,(AZ14/AZ13),"")</f>
        <v>0.13435374149659865</v>
      </c>
      <c r="M14" s="15">
        <f>IF(BC13&gt;0,(BC14/BC13),"")</f>
        <v>0.18284789644012944</v>
      </c>
      <c r="N14" s="15">
        <f>IF(BF13&gt;0,(BF14/BF13),"")</f>
        <v>0.16250000000000001</v>
      </c>
      <c r="O14" s="15">
        <f>IF(BI13&gt;0,(BI14/BI13),"")</f>
        <v>0.17587209302325582</v>
      </c>
      <c r="P14" s="15">
        <f>IF(BL13&gt;0,(BL14/BL13),"")</f>
        <v>0.14402173913043478</v>
      </c>
      <c r="Q14" s="15">
        <f>IF(BO13&gt;0,(BO14/BO13),"")</f>
        <v>0.26372155287817939</v>
      </c>
      <c r="R14" s="15">
        <f>IF(BR13&gt;0,(BR14/BR13),"")</f>
        <v>0.19788918205804748</v>
      </c>
      <c r="S14" s="15">
        <f>IF(BU13&gt;0,(BU14/BU13),"")</f>
        <v>0.20132743362831859</v>
      </c>
      <c r="T14" s="15">
        <f>IF(BX13&gt;0,(BX14/BX13),"")</f>
        <v>0.1936444885799404</v>
      </c>
      <c r="U14" s="15">
        <f>IF(CA13&gt;0,(CA14/CA13),"")</f>
        <v>0.27370689655172414</v>
      </c>
      <c r="V14" s="15">
        <f t="shared" ref="V14" si="1">IF(CD13&gt;0,(CD14/CD13),"")</f>
        <v>0.21179039301310043</v>
      </c>
      <c r="W14" s="15">
        <f>CG14/CG$13</f>
        <v>0.23789907312049433</v>
      </c>
      <c r="X14" s="15">
        <f>CJ14/CJ$13</f>
        <v>0.23493360572012256</v>
      </c>
      <c r="Y14" s="15">
        <f>CM14/CM$13</f>
        <v>0.22903516681695221</v>
      </c>
      <c r="Z14" s="15">
        <f>CP14/CP$13</f>
        <v>0.26079136690647481</v>
      </c>
      <c r="AA14" s="15">
        <f>CS14/CS$13</f>
        <v>0.24069028156221617</v>
      </c>
      <c r="AB14" s="50"/>
      <c r="AD14" s="15" t="s">
        <v>59</v>
      </c>
      <c r="AE14" s="3" t="s">
        <v>60</v>
      </c>
      <c r="AF14" s="39">
        <v>25</v>
      </c>
      <c r="AG14" s="39">
        <v>29</v>
      </c>
      <c r="AH14" s="39">
        <f t="shared" ref="AH14:AH16" si="2">AF14+AG14</f>
        <v>54</v>
      </c>
      <c r="AI14" s="39">
        <v>13</v>
      </c>
      <c r="AJ14" s="39">
        <v>29</v>
      </c>
      <c r="AK14" s="39">
        <f t="shared" ref="AK14:AK16" si="3">AI14+AJ14</f>
        <v>42</v>
      </c>
      <c r="AL14" s="39">
        <v>18</v>
      </c>
      <c r="AM14" s="39">
        <v>35</v>
      </c>
      <c r="AN14" s="39">
        <f t="shared" ref="AN14:AN16" si="4">AL14+AM14</f>
        <v>53</v>
      </c>
      <c r="AO14" s="39">
        <v>23</v>
      </c>
      <c r="AP14" s="39">
        <v>40</v>
      </c>
      <c r="AQ14" s="39">
        <f t="shared" ref="AQ14:AQ16" si="5">AO14+AP14</f>
        <v>63</v>
      </c>
      <c r="AR14" s="39">
        <v>25</v>
      </c>
      <c r="AS14" s="39">
        <v>45</v>
      </c>
      <c r="AT14" s="39">
        <f t="shared" ref="AT14:AT16" si="6">AR14+AS14</f>
        <v>70</v>
      </c>
      <c r="AU14" s="39">
        <v>32</v>
      </c>
      <c r="AV14" s="39">
        <v>53</v>
      </c>
      <c r="AW14" s="39">
        <f t="shared" ref="AW14:AW16" si="7">AU14+AV14</f>
        <v>85</v>
      </c>
      <c r="AX14" s="39">
        <v>27</v>
      </c>
      <c r="AY14" s="39">
        <v>52</v>
      </c>
      <c r="AZ14" s="39">
        <f t="shared" ref="AZ14:AZ16" si="8">AX14+AY14</f>
        <v>79</v>
      </c>
      <c r="BA14" s="39">
        <v>38</v>
      </c>
      <c r="BB14" s="39">
        <v>75</v>
      </c>
      <c r="BC14" s="39">
        <f t="shared" ref="BC14:BC16" si="9">BA14+BB14</f>
        <v>113</v>
      </c>
      <c r="BD14" s="39">
        <v>45</v>
      </c>
      <c r="BE14" s="39">
        <v>59</v>
      </c>
      <c r="BF14" s="39">
        <f t="shared" ref="BF14:BF16" si="10">BD14+BE14</f>
        <v>104</v>
      </c>
      <c r="BG14" s="39">
        <v>45</v>
      </c>
      <c r="BH14" s="39">
        <v>76</v>
      </c>
      <c r="BI14" s="39">
        <f t="shared" ref="BI14:BI16" si="11">BG14+BH14</f>
        <v>121</v>
      </c>
      <c r="BJ14" s="39">
        <v>36</v>
      </c>
      <c r="BK14" s="39">
        <v>70</v>
      </c>
      <c r="BL14" s="39">
        <f t="shared" ref="BL14:BL16" si="12">BJ14+BK14</f>
        <v>106</v>
      </c>
      <c r="BM14" s="39">
        <f>(25)+41</f>
        <v>66</v>
      </c>
      <c r="BN14" s="39">
        <f>(44)+87</f>
        <v>131</v>
      </c>
      <c r="BO14" s="39">
        <f t="shared" ref="BO14:BO16" si="13">BM14+BN14</f>
        <v>197</v>
      </c>
      <c r="BP14" s="39">
        <f>(7)+38</f>
        <v>45</v>
      </c>
      <c r="BQ14" s="39">
        <f>(19)+86</f>
        <v>105</v>
      </c>
      <c r="BR14" s="39">
        <f t="shared" ref="BR14:BR16" si="14">BP14+BQ14</f>
        <v>150</v>
      </c>
      <c r="BS14" s="39">
        <f>(3)+50</f>
        <v>53</v>
      </c>
      <c r="BT14" s="39">
        <f>(19)+110</f>
        <v>129</v>
      </c>
      <c r="BU14" s="39">
        <f t="shared" ref="BU14:BU16" si="15">BS14+BT14</f>
        <v>182</v>
      </c>
      <c r="BV14" s="39">
        <f>(9)+61</f>
        <v>70</v>
      </c>
      <c r="BW14" s="39">
        <f>(13)+112</f>
        <v>125</v>
      </c>
      <c r="BX14" s="39">
        <f t="shared" ref="BX14:BX16" si="16">BV14+BW14</f>
        <v>195</v>
      </c>
      <c r="BY14" s="39">
        <f>(10)+86</f>
        <v>96</v>
      </c>
      <c r="BZ14" s="39">
        <f>(24)+134</f>
        <v>158</v>
      </c>
      <c r="CA14" s="39">
        <f t="shared" ref="CA14:CA16" si="17">BY14+BZ14</f>
        <v>254</v>
      </c>
      <c r="CB14" s="39">
        <f>(2)+59</f>
        <v>61</v>
      </c>
      <c r="CC14" s="39">
        <f>(4)+129</f>
        <v>133</v>
      </c>
      <c r="CD14" s="39">
        <f t="shared" ref="CD14:CD15" si="18">CB14+CC14</f>
        <v>194</v>
      </c>
      <c r="CE14" s="39">
        <f>(5)+68</f>
        <v>73</v>
      </c>
      <c r="CF14" s="39">
        <f>(8)+150</f>
        <v>158</v>
      </c>
      <c r="CG14" s="39">
        <f t="shared" ref="CG14:CG16" si="19">CE14+CF14</f>
        <v>231</v>
      </c>
      <c r="CH14" s="39">
        <f>(1)+62</f>
        <v>63</v>
      </c>
      <c r="CI14" s="39">
        <f>(5)+162</f>
        <v>167</v>
      </c>
      <c r="CJ14" s="39">
        <f t="shared" ref="CJ14:CJ16" si="20">CH14+CI14</f>
        <v>230</v>
      </c>
      <c r="CK14" s="39">
        <f>(3)+92</f>
        <v>95</v>
      </c>
      <c r="CL14" s="39">
        <f>(5)+154</f>
        <v>159</v>
      </c>
      <c r="CM14" s="39">
        <f t="shared" ref="CM14:CM16" si="21">CK14+CL14</f>
        <v>254</v>
      </c>
      <c r="CN14" s="39">
        <f>(13)+95</f>
        <v>108</v>
      </c>
      <c r="CO14" s="39">
        <f>(19)+163</f>
        <v>182</v>
      </c>
      <c r="CP14" s="39">
        <f t="shared" ref="CP14:CP16" si="22">CN14+CO14</f>
        <v>290</v>
      </c>
      <c r="CQ14" s="39">
        <f>(5)+86</f>
        <v>91</v>
      </c>
      <c r="CR14" s="39">
        <f>(10)+164</f>
        <v>174</v>
      </c>
      <c r="CS14" s="39">
        <f t="shared" ref="CS14:CS16" si="23">CQ14+CR14</f>
        <v>265</v>
      </c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</row>
    <row r="15" spans="1:113" ht="13.5" customHeight="1" x14ac:dyDescent="0.2">
      <c r="A15" s="23"/>
      <c r="B15" s="3"/>
      <c r="D15" s="3"/>
      <c r="E15" s="3" t="s">
        <v>61</v>
      </c>
      <c r="F15" s="15">
        <f>IF(AH13&gt;0,(AH15/AH13),"")</f>
        <v>0.10121457489878542</v>
      </c>
      <c r="G15" s="15">
        <f>IF(AK13&gt;0,(AK15/AK13),"")</f>
        <v>0.1022964509394572</v>
      </c>
      <c r="H15" s="15">
        <f>IF(AN13&gt;0,(AN15/AN13),"")</f>
        <v>9.3203883495145634E-2</v>
      </c>
      <c r="I15" s="15">
        <f>IF(AQ13&gt;0,(AQ15/AQ13),"")</f>
        <v>9.5238095238095233E-2</v>
      </c>
      <c r="J15" s="15">
        <f>IF(AT13&gt;0,(AT15/AT13),"")</f>
        <v>9.5070422535211266E-2</v>
      </c>
      <c r="K15" s="15">
        <f>IF(AW13&gt;0,(AW15/AW13),"")</f>
        <v>0.1111111111111111</v>
      </c>
      <c r="L15" s="15">
        <f>IF(AZ13&gt;0,(AZ15/AZ13),"")</f>
        <v>0.11734693877551021</v>
      </c>
      <c r="M15" s="15">
        <f>IF(BC13&gt;0,(BC15/BC13),"")</f>
        <v>0.10517799352750809</v>
      </c>
      <c r="N15" s="15">
        <f>IF(BF13&gt;0,(BF15/BF13),"")</f>
        <v>0.13593749999999999</v>
      </c>
      <c r="O15" s="15">
        <f>IF(BI13&gt;0,(BI15/BI13),"")</f>
        <v>0.125</v>
      </c>
      <c r="P15" s="15">
        <f>IF(BL13&gt;0,(BL15/BL13),"")</f>
        <v>0.1358695652173913</v>
      </c>
      <c r="Q15" s="15">
        <f>IF(BO13&gt;0,(BO15/BO13),"")</f>
        <v>0.12851405622489959</v>
      </c>
      <c r="R15" s="15">
        <f>IF(BR13&gt;0,(BR15/BR13),"")</f>
        <v>0.13324538258575197</v>
      </c>
      <c r="S15" s="15">
        <f>IF(BU13&gt;0,(BU15/BU13),"")</f>
        <v>0.13716814159292035</v>
      </c>
      <c r="T15" s="15">
        <f>IF(BX13&gt;0,(BX15/BX13),"")</f>
        <v>0.17974180734856007</v>
      </c>
      <c r="U15" s="15">
        <f>IF(CA13&gt;0,(CA15/CA13),"")</f>
        <v>0.16271551724137931</v>
      </c>
      <c r="V15" s="15">
        <f t="shared" ref="V15" si="24">IF(CD13&gt;0,(CD15/CD13),"")</f>
        <v>0.21179039301310043</v>
      </c>
      <c r="W15" s="15">
        <f t="shared" ref="W15" si="25">CG15/CG$13</f>
        <v>0.19876416065911431</v>
      </c>
      <c r="X15" s="15">
        <f>CJ15/CJ$13</f>
        <v>0.19407558733401431</v>
      </c>
      <c r="Y15" s="15">
        <f>CM15/CM$13</f>
        <v>0.17222723174030657</v>
      </c>
      <c r="Z15" s="15">
        <f>CP15/CP$13</f>
        <v>0.16097122302158273</v>
      </c>
      <c r="AA15" s="15">
        <f t="shared" ref="AA15:AA17" si="26">CS15/CS$13</f>
        <v>0.20526793823796549</v>
      </c>
      <c r="AB15" s="50"/>
      <c r="AD15" s="3"/>
      <c r="AE15" s="3" t="s">
        <v>61</v>
      </c>
      <c r="AF15" s="39">
        <v>20</v>
      </c>
      <c r="AG15" s="39">
        <v>30</v>
      </c>
      <c r="AH15" s="39">
        <f t="shared" si="2"/>
        <v>50</v>
      </c>
      <c r="AI15" s="39">
        <v>20</v>
      </c>
      <c r="AJ15" s="39">
        <v>29</v>
      </c>
      <c r="AK15" s="39">
        <f t="shared" si="3"/>
        <v>49</v>
      </c>
      <c r="AL15" s="39">
        <v>17</v>
      </c>
      <c r="AM15" s="39">
        <v>31</v>
      </c>
      <c r="AN15" s="39">
        <f t="shared" si="4"/>
        <v>48</v>
      </c>
      <c r="AO15" s="39">
        <v>20</v>
      </c>
      <c r="AP15" s="39">
        <v>28</v>
      </c>
      <c r="AQ15" s="39">
        <f t="shared" si="5"/>
        <v>48</v>
      </c>
      <c r="AR15" s="39">
        <v>20</v>
      </c>
      <c r="AS15" s="39">
        <v>34</v>
      </c>
      <c r="AT15" s="39">
        <f t="shared" si="6"/>
        <v>54</v>
      </c>
      <c r="AU15" s="39">
        <v>25</v>
      </c>
      <c r="AV15" s="39">
        <v>38</v>
      </c>
      <c r="AW15" s="39">
        <f t="shared" si="7"/>
        <v>63</v>
      </c>
      <c r="AX15" s="39">
        <v>33</v>
      </c>
      <c r="AY15" s="39">
        <v>36</v>
      </c>
      <c r="AZ15" s="39">
        <f t="shared" si="8"/>
        <v>69</v>
      </c>
      <c r="BA15" s="39">
        <v>25</v>
      </c>
      <c r="BB15" s="39">
        <v>40</v>
      </c>
      <c r="BC15" s="39">
        <f t="shared" si="9"/>
        <v>65</v>
      </c>
      <c r="BD15" s="39">
        <v>30</v>
      </c>
      <c r="BE15" s="39">
        <v>57</v>
      </c>
      <c r="BF15" s="39">
        <f t="shared" si="10"/>
        <v>87</v>
      </c>
      <c r="BG15" s="39">
        <v>35</v>
      </c>
      <c r="BH15" s="39">
        <v>51</v>
      </c>
      <c r="BI15" s="39">
        <f t="shared" si="11"/>
        <v>86</v>
      </c>
      <c r="BJ15" s="39">
        <v>42</v>
      </c>
      <c r="BK15" s="39">
        <v>58</v>
      </c>
      <c r="BL15" s="39">
        <f t="shared" si="12"/>
        <v>100</v>
      </c>
      <c r="BM15" s="39">
        <v>36</v>
      </c>
      <c r="BN15" s="39">
        <v>60</v>
      </c>
      <c r="BO15" s="39">
        <f t="shared" si="13"/>
        <v>96</v>
      </c>
      <c r="BP15" s="39">
        <v>48</v>
      </c>
      <c r="BQ15" s="39">
        <v>53</v>
      </c>
      <c r="BR15" s="39">
        <f t="shared" si="14"/>
        <v>101</v>
      </c>
      <c r="BS15" s="39">
        <v>46</v>
      </c>
      <c r="BT15" s="39">
        <v>78</v>
      </c>
      <c r="BU15" s="39">
        <f t="shared" si="15"/>
        <v>124</v>
      </c>
      <c r="BV15" s="39">
        <v>85</v>
      </c>
      <c r="BW15" s="39">
        <v>96</v>
      </c>
      <c r="BX15" s="39">
        <f t="shared" si="16"/>
        <v>181</v>
      </c>
      <c r="BY15" s="39">
        <v>66</v>
      </c>
      <c r="BZ15" s="39">
        <v>85</v>
      </c>
      <c r="CA15" s="39">
        <f t="shared" si="17"/>
        <v>151</v>
      </c>
      <c r="CB15" s="39">
        <v>88</v>
      </c>
      <c r="CC15" s="39">
        <v>106</v>
      </c>
      <c r="CD15" s="39">
        <f t="shared" si="18"/>
        <v>194</v>
      </c>
      <c r="CE15" s="39">
        <v>87</v>
      </c>
      <c r="CF15" s="39">
        <v>106</v>
      </c>
      <c r="CG15" s="39">
        <f t="shared" si="19"/>
        <v>193</v>
      </c>
      <c r="CH15" s="39">
        <v>69</v>
      </c>
      <c r="CI15" s="39">
        <v>121</v>
      </c>
      <c r="CJ15" s="39">
        <f t="shared" si="20"/>
        <v>190</v>
      </c>
      <c r="CK15" s="39">
        <v>76</v>
      </c>
      <c r="CL15" s="39">
        <v>115</v>
      </c>
      <c r="CM15" s="39">
        <f t="shared" si="21"/>
        <v>191</v>
      </c>
      <c r="CN15" s="39">
        <v>65</v>
      </c>
      <c r="CO15" s="39">
        <v>114</v>
      </c>
      <c r="CP15" s="39">
        <f t="shared" si="22"/>
        <v>179</v>
      </c>
      <c r="CQ15" s="39">
        <v>97</v>
      </c>
      <c r="CR15" s="39">
        <v>129</v>
      </c>
      <c r="CS15" s="39">
        <f t="shared" si="23"/>
        <v>226</v>
      </c>
    </row>
    <row r="16" spans="1:113" ht="13.5" customHeight="1" x14ac:dyDescent="0.2">
      <c r="A16" s="23"/>
      <c r="B16" s="3"/>
      <c r="D16" s="3"/>
      <c r="E16" s="3" t="s">
        <v>62</v>
      </c>
      <c r="F16" s="18">
        <f>IF(AH13&gt;0,(AH16/AH13),"")</f>
        <v>0.15587044534412955</v>
      </c>
      <c r="G16" s="18">
        <f>IF(AK13&gt;0,(AK16/AK13),"")</f>
        <v>0.20041753653444677</v>
      </c>
      <c r="H16" s="18">
        <f>IF(AN13&gt;0,(AN16/AN13),"")</f>
        <v>0.18058252427184465</v>
      </c>
      <c r="I16" s="18">
        <f>IF(AQ13&gt;0,(AQ16/AQ13),"")</f>
        <v>0.17063492063492064</v>
      </c>
      <c r="J16" s="18">
        <f>IF(AT13&gt;0,(AT16/AT13),"")</f>
        <v>0.17253521126760563</v>
      </c>
      <c r="K16" s="18">
        <f>IF(AW13&gt;0,(AW16/AW13),"")</f>
        <v>0.19047619047619047</v>
      </c>
      <c r="L16" s="18">
        <f>IF(AZ13&gt;0,(AZ16/AZ13),"")</f>
        <v>0.15646258503401361</v>
      </c>
      <c r="M16" s="18">
        <f>IF(BC13&gt;0,(BC16/BC13),"")</f>
        <v>0.1553398058252427</v>
      </c>
      <c r="N16" s="18">
        <f>IF(BF13&gt;0,(BF16/BF13),"")</f>
        <v>0.15625</v>
      </c>
      <c r="O16" s="18">
        <f>IF(BI13&gt;0,(BI16/BI13),"")</f>
        <v>0.15261627906976744</v>
      </c>
      <c r="P16" s="18">
        <f>IF(BL13&gt;0,(BL16/BL13),"")</f>
        <v>0.14673913043478262</v>
      </c>
      <c r="Q16" s="18">
        <f>IF(BO13&gt;0,(BO16/BO13),"")</f>
        <v>4.9531459170013385E-2</v>
      </c>
      <c r="R16" s="18">
        <f>IF(BR13&gt;0,(BR16/BR13),"")</f>
        <v>0.11345646437994723</v>
      </c>
      <c r="S16" s="18">
        <f>IF(BU13&gt;0,(BU16/BU13),"")</f>
        <v>0.11946902654867257</v>
      </c>
      <c r="T16" s="18">
        <f>IF(BX13&gt;0,(BX16/BX13),"")</f>
        <v>6.1569016881827213E-2</v>
      </c>
      <c r="U16" s="18">
        <f>IF(CA13&gt;0,(CA16/CA13),"")</f>
        <v>3.8793103448275863E-2</v>
      </c>
      <c r="V16" s="18">
        <f t="shared" ref="V16" si="27">IF(CD13&gt;0,(CD16/CD13),"")</f>
        <v>8.9519650655021835E-2</v>
      </c>
      <c r="W16" s="18">
        <f>CG16/CG$13</f>
        <v>8.5478887744593196E-2</v>
      </c>
      <c r="X16" s="18">
        <f>CJ16/CJ$13</f>
        <v>7.1501532175689483E-2</v>
      </c>
      <c r="Y16" s="18">
        <f>CM16/CM$13</f>
        <v>8.4761045987376021E-2</v>
      </c>
      <c r="Z16" s="18">
        <f>CP16/CP$13</f>
        <v>6.2949640287769781E-2</v>
      </c>
      <c r="AA16" s="18">
        <f t="shared" si="26"/>
        <v>4.2688465031789281E-2</v>
      </c>
      <c r="AB16" s="50"/>
      <c r="AD16" s="3"/>
      <c r="AE16" s="3" t="s">
        <v>62</v>
      </c>
      <c r="AF16" s="41">
        <v>31</v>
      </c>
      <c r="AG16" s="41">
        <v>46</v>
      </c>
      <c r="AH16" s="41">
        <f t="shared" si="2"/>
        <v>77</v>
      </c>
      <c r="AI16" s="41">
        <v>43</v>
      </c>
      <c r="AJ16" s="41">
        <v>53</v>
      </c>
      <c r="AK16" s="41">
        <f t="shared" si="3"/>
        <v>96</v>
      </c>
      <c r="AL16" s="41">
        <v>39</v>
      </c>
      <c r="AM16" s="41">
        <v>54</v>
      </c>
      <c r="AN16" s="41">
        <f t="shared" si="4"/>
        <v>93</v>
      </c>
      <c r="AO16" s="41">
        <v>31</v>
      </c>
      <c r="AP16" s="41">
        <v>55</v>
      </c>
      <c r="AQ16" s="41">
        <f t="shared" si="5"/>
        <v>86</v>
      </c>
      <c r="AR16" s="41">
        <v>52</v>
      </c>
      <c r="AS16" s="41">
        <v>46</v>
      </c>
      <c r="AT16" s="41">
        <f t="shared" si="6"/>
        <v>98</v>
      </c>
      <c r="AU16" s="41">
        <v>45</v>
      </c>
      <c r="AV16" s="41">
        <v>63</v>
      </c>
      <c r="AW16" s="41">
        <f t="shared" si="7"/>
        <v>108</v>
      </c>
      <c r="AX16" s="41">
        <v>44</v>
      </c>
      <c r="AY16" s="41">
        <v>48</v>
      </c>
      <c r="AZ16" s="41">
        <f t="shared" si="8"/>
        <v>92</v>
      </c>
      <c r="BA16" s="41">
        <v>46</v>
      </c>
      <c r="BB16" s="41">
        <v>50</v>
      </c>
      <c r="BC16" s="41">
        <f t="shared" si="9"/>
        <v>96</v>
      </c>
      <c r="BD16" s="41">
        <v>45</v>
      </c>
      <c r="BE16" s="41">
        <v>55</v>
      </c>
      <c r="BF16" s="41">
        <f t="shared" si="10"/>
        <v>100</v>
      </c>
      <c r="BG16" s="41">
        <v>52</v>
      </c>
      <c r="BH16" s="41">
        <v>53</v>
      </c>
      <c r="BI16" s="41">
        <f t="shared" si="11"/>
        <v>105</v>
      </c>
      <c r="BJ16" s="41">
        <v>40</v>
      </c>
      <c r="BK16" s="41">
        <v>68</v>
      </c>
      <c r="BL16" s="41">
        <f t="shared" si="12"/>
        <v>108</v>
      </c>
      <c r="BM16" s="41">
        <v>14</v>
      </c>
      <c r="BN16" s="41">
        <v>23</v>
      </c>
      <c r="BO16" s="41">
        <f t="shared" si="13"/>
        <v>37</v>
      </c>
      <c r="BP16" s="41">
        <v>39</v>
      </c>
      <c r="BQ16" s="41">
        <v>47</v>
      </c>
      <c r="BR16" s="41">
        <f t="shared" si="14"/>
        <v>86</v>
      </c>
      <c r="BS16" s="41">
        <v>47</v>
      </c>
      <c r="BT16" s="41">
        <v>61</v>
      </c>
      <c r="BU16" s="41">
        <f t="shared" si="15"/>
        <v>108</v>
      </c>
      <c r="BV16" s="41">
        <v>31</v>
      </c>
      <c r="BW16" s="41">
        <v>31</v>
      </c>
      <c r="BX16" s="41">
        <f t="shared" si="16"/>
        <v>62</v>
      </c>
      <c r="BY16" s="41">
        <v>15</v>
      </c>
      <c r="BZ16" s="41">
        <v>21</v>
      </c>
      <c r="CA16" s="41">
        <f t="shared" si="17"/>
        <v>36</v>
      </c>
      <c r="CB16" s="41">
        <v>35</v>
      </c>
      <c r="CC16" s="41">
        <v>47</v>
      </c>
      <c r="CD16" s="41">
        <f>CB16+CC16</f>
        <v>82</v>
      </c>
      <c r="CE16" s="41">
        <v>26</v>
      </c>
      <c r="CF16" s="41">
        <v>57</v>
      </c>
      <c r="CG16" s="41">
        <f t="shared" si="19"/>
        <v>83</v>
      </c>
      <c r="CH16" s="41">
        <v>28</v>
      </c>
      <c r="CI16" s="41">
        <v>42</v>
      </c>
      <c r="CJ16" s="41">
        <f t="shared" si="20"/>
        <v>70</v>
      </c>
      <c r="CK16" s="41">
        <v>41</v>
      </c>
      <c r="CL16" s="41">
        <v>53</v>
      </c>
      <c r="CM16" s="41">
        <f t="shared" si="21"/>
        <v>94</v>
      </c>
      <c r="CN16" s="41">
        <v>29</v>
      </c>
      <c r="CO16" s="41">
        <v>41</v>
      </c>
      <c r="CP16" s="41">
        <f t="shared" si="22"/>
        <v>70</v>
      </c>
      <c r="CQ16" s="41">
        <v>25</v>
      </c>
      <c r="CR16" s="41">
        <v>22</v>
      </c>
      <c r="CS16" s="39">
        <f t="shared" si="23"/>
        <v>47</v>
      </c>
    </row>
    <row r="17" spans="1:97" ht="13.5" customHeight="1" x14ac:dyDescent="0.2">
      <c r="A17" s="23"/>
      <c r="B17" s="3"/>
      <c r="D17" s="3"/>
      <c r="E17" s="3"/>
      <c r="F17" s="15">
        <f>IF(AH13&gt;0,(AH17/AH13),"")</f>
        <v>0.36639676113360325</v>
      </c>
      <c r="G17" s="15">
        <f>IF(AK13&gt;0,(AK17/AK13),"")</f>
        <v>0.39039665970772441</v>
      </c>
      <c r="H17" s="15">
        <f>IF(AN13&gt;0,(AN17/AN13),"")</f>
        <v>0.37669902912621361</v>
      </c>
      <c r="I17" s="15">
        <f>IF(AQ13&gt;0,(AQ17/AQ13),"")</f>
        <v>0.39087301587301587</v>
      </c>
      <c r="J17" s="15">
        <f>IF(AT13&gt;0,(AT17/AT13),"")</f>
        <v>0.39084507042253519</v>
      </c>
      <c r="K17" s="15">
        <f>IF(AW13&gt;0,(AW17/AW13),"")</f>
        <v>0.45149911816578481</v>
      </c>
      <c r="L17" s="15">
        <f>IF(AZ13&gt;0,(AZ17/AZ13),"")</f>
        <v>0.40816326530612246</v>
      </c>
      <c r="M17" s="15">
        <f>IF(BC13&gt;0,(BC17/BC13),"")</f>
        <v>0.44336569579288027</v>
      </c>
      <c r="N17" s="15">
        <f>IF(BF13&gt;0,(BF17/BF13),"")</f>
        <v>0.45468750000000002</v>
      </c>
      <c r="O17" s="15">
        <f>IF(BI13&gt;0,(BI17/BI13),"")</f>
        <v>0.45348837209302323</v>
      </c>
      <c r="P17" s="15">
        <f>IF(BL13&gt;0,(BL17/BL13),"")</f>
        <v>0.4266304347826087</v>
      </c>
      <c r="Q17" s="15">
        <f>IF(BO13&gt;0,(BO17/BO13),"")</f>
        <v>0.44176706827309237</v>
      </c>
      <c r="R17" s="15">
        <f>IF(BR13&gt;0,(BR17/BR13),"")</f>
        <v>0.4445910290237467</v>
      </c>
      <c r="S17" s="15">
        <f>IF(BU13&gt;0,(BU17/BU13),"")</f>
        <v>0.45796460176991149</v>
      </c>
      <c r="T17" s="15">
        <f>IF(BX13&gt;0,(BX17/BX13),"")</f>
        <v>0.43495531281032773</v>
      </c>
      <c r="U17" s="15">
        <f>IF(CA13&gt;0,(CA17/CA13),"")</f>
        <v>0.47521551724137934</v>
      </c>
      <c r="V17" s="15">
        <f t="shared" ref="V17" si="28">IF(CD13&gt;0,(CD17/CD13),"")</f>
        <v>0.51310043668122274</v>
      </c>
      <c r="W17" s="15">
        <f>CG17/CG$13</f>
        <v>0.52214212152420181</v>
      </c>
      <c r="X17" s="15">
        <f>CJ17/CJ$13</f>
        <v>0.50051072522982631</v>
      </c>
      <c r="Y17" s="15">
        <f>CM17/CM$13</f>
        <v>0.48602344454463481</v>
      </c>
      <c r="Z17" s="15">
        <f>CP17/CP$13</f>
        <v>0.48471223021582732</v>
      </c>
      <c r="AA17" s="15">
        <f t="shared" si="26"/>
        <v>0.48864668483197093</v>
      </c>
      <c r="AB17" s="51"/>
      <c r="AD17" s="3"/>
      <c r="AE17" s="35" t="s">
        <v>88</v>
      </c>
      <c r="AF17" s="41">
        <f>SUM(AF14:AF16)</f>
        <v>76</v>
      </c>
      <c r="AG17" s="41">
        <f t="shared" ref="AG17:CC17" si="29">SUM(AG14:AG16)</f>
        <v>105</v>
      </c>
      <c r="AH17" s="41">
        <f t="shared" si="29"/>
        <v>181</v>
      </c>
      <c r="AI17" s="41">
        <f t="shared" si="29"/>
        <v>76</v>
      </c>
      <c r="AJ17" s="41">
        <f t="shared" si="29"/>
        <v>111</v>
      </c>
      <c r="AK17" s="41">
        <f t="shared" si="29"/>
        <v>187</v>
      </c>
      <c r="AL17" s="41">
        <f t="shared" si="29"/>
        <v>74</v>
      </c>
      <c r="AM17" s="41">
        <f t="shared" si="29"/>
        <v>120</v>
      </c>
      <c r="AN17" s="41">
        <f t="shared" si="29"/>
        <v>194</v>
      </c>
      <c r="AO17" s="41">
        <f t="shared" si="29"/>
        <v>74</v>
      </c>
      <c r="AP17" s="41">
        <f t="shared" si="29"/>
        <v>123</v>
      </c>
      <c r="AQ17" s="41">
        <f t="shared" si="29"/>
        <v>197</v>
      </c>
      <c r="AR17" s="41">
        <f t="shared" si="29"/>
        <v>97</v>
      </c>
      <c r="AS17" s="41">
        <f t="shared" si="29"/>
        <v>125</v>
      </c>
      <c r="AT17" s="41">
        <f t="shared" si="29"/>
        <v>222</v>
      </c>
      <c r="AU17" s="41">
        <f t="shared" si="29"/>
        <v>102</v>
      </c>
      <c r="AV17" s="41">
        <f t="shared" si="29"/>
        <v>154</v>
      </c>
      <c r="AW17" s="41">
        <f t="shared" si="29"/>
        <v>256</v>
      </c>
      <c r="AX17" s="41">
        <f t="shared" si="29"/>
        <v>104</v>
      </c>
      <c r="AY17" s="41">
        <f t="shared" si="29"/>
        <v>136</v>
      </c>
      <c r="AZ17" s="41">
        <f t="shared" si="29"/>
        <v>240</v>
      </c>
      <c r="BA17" s="41">
        <f t="shared" si="29"/>
        <v>109</v>
      </c>
      <c r="BB17" s="41">
        <f t="shared" si="29"/>
        <v>165</v>
      </c>
      <c r="BC17" s="41">
        <f t="shared" si="29"/>
        <v>274</v>
      </c>
      <c r="BD17" s="41">
        <f t="shared" si="29"/>
        <v>120</v>
      </c>
      <c r="BE17" s="41">
        <f t="shared" si="29"/>
        <v>171</v>
      </c>
      <c r="BF17" s="41">
        <f t="shared" si="29"/>
        <v>291</v>
      </c>
      <c r="BG17" s="41">
        <f t="shared" si="29"/>
        <v>132</v>
      </c>
      <c r="BH17" s="41">
        <f t="shared" si="29"/>
        <v>180</v>
      </c>
      <c r="BI17" s="41">
        <f t="shared" si="29"/>
        <v>312</v>
      </c>
      <c r="BJ17" s="41">
        <f t="shared" si="29"/>
        <v>118</v>
      </c>
      <c r="BK17" s="41">
        <f t="shared" si="29"/>
        <v>196</v>
      </c>
      <c r="BL17" s="41">
        <f t="shared" si="29"/>
        <v>314</v>
      </c>
      <c r="BM17" s="41">
        <f t="shared" si="29"/>
        <v>116</v>
      </c>
      <c r="BN17" s="41">
        <f t="shared" si="29"/>
        <v>214</v>
      </c>
      <c r="BO17" s="41">
        <f t="shared" si="29"/>
        <v>330</v>
      </c>
      <c r="BP17" s="41">
        <f t="shared" si="29"/>
        <v>132</v>
      </c>
      <c r="BQ17" s="41">
        <f t="shared" si="29"/>
        <v>205</v>
      </c>
      <c r="BR17" s="41">
        <f t="shared" si="29"/>
        <v>337</v>
      </c>
      <c r="BS17" s="41">
        <f t="shared" si="29"/>
        <v>146</v>
      </c>
      <c r="BT17" s="41">
        <f t="shared" si="29"/>
        <v>268</v>
      </c>
      <c r="BU17" s="41">
        <f t="shared" si="29"/>
        <v>414</v>
      </c>
      <c r="BV17" s="41">
        <f t="shared" si="29"/>
        <v>186</v>
      </c>
      <c r="BW17" s="41">
        <f t="shared" si="29"/>
        <v>252</v>
      </c>
      <c r="BX17" s="41">
        <f t="shared" si="29"/>
        <v>438</v>
      </c>
      <c r="BY17" s="41">
        <f t="shared" si="29"/>
        <v>177</v>
      </c>
      <c r="BZ17" s="41">
        <f t="shared" si="29"/>
        <v>264</v>
      </c>
      <c r="CA17" s="41">
        <f t="shared" si="29"/>
        <v>441</v>
      </c>
      <c r="CB17" s="41">
        <f t="shared" si="29"/>
        <v>184</v>
      </c>
      <c r="CC17" s="41">
        <f t="shared" si="29"/>
        <v>286</v>
      </c>
      <c r="CD17" s="41">
        <f>SUM(CD14:CD16)</f>
        <v>470</v>
      </c>
      <c r="CE17" s="41">
        <f t="shared" ref="CE17:CF17" si="30">SUM(CE14:CE16)</f>
        <v>186</v>
      </c>
      <c r="CF17" s="41">
        <f t="shared" si="30"/>
        <v>321</v>
      </c>
      <c r="CG17" s="41">
        <f>SUM(CG14:CG16)</f>
        <v>507</v>
      </c>
      <c r="CH17" s="41">
        <f t="shared" ref="CH17:CI17" si="31">SUM(CH14:CH16)</f>
        <v>160</v>
      </c>
      <c r="CI17" s="41">
        <f t="shared" si="31"/>
        <v>330</v>
      </c>
      <c r="CJ17" s="41">
        <f>SUM(CJ14:CJ16)</f>
        <v>490</v>
      </c>
      <c r="CK17" s="41">
        <f t="shared" ref="CK17:CL17" si="32">SUM(CK14:CK16)</f>
        <v>212</v>
      </c>
      <c r="CL17" s="41">
        <f t="shared" si="32"/>
        <v>327</v>
      </c>
      <c r="CM17" s="41">
        <f>SUM(CM14:CM16)</f>
        <v>539</v>
      </c>
      <c r="CN17" s="41">
        <f t="shared" ref="CN17:CO17" si="33">SUM(CN14:CN16)</f>
        <v>202</v>
      </c>
      <c r="CO17" s="41">
        <f t="shared" si="33"/>
        <v>337</v>
      </c>
      <c r="CP17" s="41">
        <f>SUM(CP14:CP16)</f>
        <v>539</v>
      </c>
      <c r="CQ17" s="41">
        <f>SUM(CQ14:CQ16)</f>
        <v>213</v>
      </c>
      <c r="CR17" s="41">
        <f>SUM(CR14:CR16)</f>
        <v>325</v>
      </c>
      <c r="CS17" s="41">
        <f>SUM(CS14:CS16)</f>
        <v>538</v>
      </c>
    </row>
    <row r="18" spans="1:97" ht="13.5" customHeight="1" x14ac:dyDescent="0.25">
      <c r="A18" s="23"/>
      <c r="B18" s="3"/>
      <c r="C18" s="4" t="s">
        <v>96</v>
      </c>
      <c r="D18" s="3"/>
      <c r="E18" s="3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37"/>
      <c r="X18" s="37"/>
      <c r="Y18" s="37"/>
      <c r="Z18" s="37"/>
      <c r="AA18" s="37"/>
      <c r="AB18" s="52"/>
      <c r="AD18" s="3"/>
      <c r="AE18" s="3"/>
      <c r="AF18" s="85" t="s">
        <v>96</v>
      </c>
      <c r="AG18" s="85"/>
      <c r="AH18" s="85"/>
      <c r="AI18" s="85"/>
      <c r="AJ18" s="85"/>
      <c r="AK18" s="85"/>
      <c r="AL18" s="85"/>
      <c r="AM18" s="85"/>
      <c r="AN18" s="85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</row>
    <row r="19" spans="1:97" ht="13.5" customHeight="1" x14ac:dyDescent="0.2">
      <c r="A19" s="23"/>
      <c r="B19" s="3"/>
      <c r="D19" s="3" t="s">
        <v>65</v>
      </c>
      <c r="E19" s="3"/>
      <c r="F19" s="11">
        <f>AH19</f>
        <v>50</v>
      </c>
      <c r="G19" s="11">
        <f>AK19</f>
        <v>44</v>
      </c>
      <c r="H19" s="11">
        <f>AN19</f>
        <v>55</v>
      </c>
      <c r="I19" s="11">
        <f>AQ19</f>
        <v>61</v>
      </c>
      <c r="J19" s="11">
        <f>AT19</f>
        <v>86</v>
      </c>
      <c r="K19" s="11">
        <f>AW19</f>
        <v>85</v>
      </c>
      <c r="L19" s="11">
        <f>AZ19</f>
        <v>63</v>
      </c>
      <c r="M19" s="11">
        <f>BC19</f>
        <v>93</v>
      </c>
      <c r="N19" s="11">
        <f>BF19</f>
        <v>81</v>
      </c>
      <c r="O19" s="11">
        <f>BI19</f>
        <v>112</v>
      </c>
      <c r="P19" s="11">
        <f>BL19</f>
        <v>118</v>
      </c>
      <c r="Q19" s="11">
        <f>BO19</f>
        <v>138</v>
      </c>
      <c r="R19" s="11">
        <f>BR19</f>
        <v>158</v>
      </c>
      <c r="S19" s="11">
        <f>BU19</f>
        <v>195</v>
      </c>
      <c r="T19" s="11">
        <f>BX19</f>
        <v>232</v>
      </c>
      <c r="U19" s="11">
        <f>CA19</f>
        <v>228</v>
      </c>
      <c r="V19" s="11">
        <f>CD19</f>
        <v>191</v>
      </c>
      <c r="W19" s="11">
        <f>CG19</f>
        <v>209</v>
      </c>
      <c r="X19" s="11">
        <f>CJ19</f>
        <v>222</v>
      </c>
      <c r="Y19" s="11">
        <f>CM19</f>
        <v>243</v>
      </c>
      <c r="Z19" s="11">
        <f>CP19</f>
        <v>321</v>
      </c>
      <c r="AA19" s="11">
        <f>CS19</f>
        <v>307</v>
      </c>
      <c r="AB19" s="12"/>
      <c r="AC19" s="13"/>
      <c r="AD19" s="3" t="s">
        <v>65</v>
      </c>
      <c r="AE19" s="3"/>
      <c r="AF19" s="41">
        <v>20</v>
      </c>
      <c r="AG19" s="41">
        <v>30</v>
      </c>
      <c r="AH19" s="41">
        <f>AF19+AG19</f>
        <v>50</v>
      </c>
      <c r="AI19" s="41">
        <v>20</v>
      </c>
      <c r="AJ19" s="41">
        <v>24</v>
      </c>
      <c r="AK19" s="41">
        <f>AI19+AJ19</f>
        <v>44</v>
      </c>
      <c r="AL19" s="41">
        <v>26</v>
      </c>
      <c r="AM19" s="41">
        <v>29</v>
      </c>
      <c r="AN19" s="41">
        <f>AL19+AM19</f>
        <v>55</v>
      </c>
      <c r="AO19" s="41">
        <f>12+0+5</f>
        <v>17</v>
      </c>
      <c r="AP19" s="41">
        <f>27+3+14</f>
        <v>44</v>
      </c>
      <c r="AQ19" s="41">
        <f>AO19+AP19</f>
        <v>61</v>
      </c>
      <c r="AR19" s="41">
        <f>18+1+10</f>
        <v>29</v>
      </c>
      <c r="AS19" s="41">
        <f>38+2+17</f>
        <v>57</v>
      </c>
      <c r="AT19" s="41">
        <f>AR19+AS19</f>
        <v>86</v>
      </c>
      <c r="AU19" s="41">
        <f>16+4+9</f>
        <v>29</v>
      </c>
      <c r="AV19" s="41">
        <f>43+2+11</f>
        <v>56</v>
      </c>
      <c r="AW19" s="41">
        <f>AU19+AV19</f>
        <v>85</v>
      </c>
      <c r="AX19" s="41">
        <f>19+0+7</f>
        <v>26</v>
      </c>
      <c r="AY19" s="41">
        <f>25+1+11</f>
        <v>37</v>
      </c>
      <c r="AZ19" s="41">
        <f>AX19+AY19</f>
        <v>63</v>
      </c>
      <c r="BA19" s="41">
        <f>29+3+8</f>
        <v>40</v>
      </c>
      <c r="BB19" s="41">
        <f>39+2+12</f>
        <v>53</v>
      </c>
      <c r="BC19" s="41">
        <f>BA19+BB19</f>
        <v>93</v>
      </c>
      <c r="BD19" s="41">
        <f>19+0+12</f>
        <v>31</v>
      </c>
      <c r="BE19" s="41">
        <f>35+2+13</f>
        <v>50</v>
      </c>
      <c r="BF19" s="41">
        <f>BD19+BE19</f>
        <v>81</v>
      </c>
      <c r="BG19" s="41">
        <f>24+6+8</f>
        <v>38</v>
      </c>
      <c r="BH19" s="41">
        <f>62+3+9</f>
        <v>74</v>
      </c>
      <c r="BI19" s="41">
        <f>BG19+BH19</f>
        <v>112</v>
      </c>
      <c r="BJ19" s="41">
        <f>33+1+12</f>
        <v>46</v>
      </c>
      <c r="BK19" s="41">
        <f>55+4+13</f>
        <v>72</v>
      </c>
      <c r="BL19" s="41">
        <f>BJ19+BK19</f>
        <v>118</v>
      </c>
      <c r="BM19" s="41">
        <f>31+3+10</f>
        <v>44</v>
      </c>
      <c r="BN19" s="41">
        <f>75+4+15</f>
        <v>94</v>
      </c>
      <c r="BO19" s="41">
        <f>BM19+BN19</f>
        <v>138</v>
      </c>
      <c r="BP19" s="41">
        <f>31+0+16</f>
        <v>47</v>
      </c>
      <c r="BQ19" s="41">
        <f>87+2+22</f>
        <v>111</v>
      </c>
      <c r="BR19" s="41">
        <f>BP19+BQ19</f>
        <v>158</v>
      </c>
      <c r="BS19" s="41">
        <f>39+20+2</f>
        <v>61</v>
      </c>
      <c r="BT19" s="41">
        <f>108+24+2</f>
        <v>134</v>
      </c>
      <c r="BU19" s="41">
        <f>BS19+BT19</f>
        <v>195</v>
      </c>
      <c r="BV19" s="41">
        <f>53+22+5</f>
        <v>80</v>
      </c>
      <c r="BW19" s="41">
        <f>123+25+4</f>
        <v>152</v>
      </c>
      <c r="BX19" s="41">
        <f>BV19+BW19</f>
        <v>232</v>
      </c>
      <c r="BY19" s="41">
        <f>66+16+1</f>
        <v>83</v>
      </c>
      <c r="BZ19" s="41">
        <f>109+31+5</f>
        <v>145</v>
      </c>
      <c r="CA19" s="41">
        <f>BY19+BZ19</f>
        <v>228</v>
      </c>
      <c r="CB19" s="41">
        <f>47+18+1</f>
        <v>66</v>
      </c>
      <c r="CC19" s="41">
        <f>107+16+2</f>
        <v>125</v>
      </c>
      <c r="CD19" s="41">
        <f>CB19+CC19</f>
        <v>191</v>
      </c>
      <c r="CE19" s="41">
        <f>50+19+4</f>
        <v>73</v>
      </c>
      <c r="CF19" s="41">
        <f>111+20+5</f>
        <v>136</v>
      </c>
      <c r="CG19" s="41">
        <f>CE19+CF19</f>
        <v>209</v>
      </c>
      <c r="CH19" s="41">
        <f>45+20+0</f>
        <v>65</v>
      </c>
      <c r="CI19" s="41">
        <f>118+34+5</f>
        <v>157</v>
      </c>
      <c r="CJ19" s="41">
        <f>CH19+CI19</f>
        <v>222</v>
      </c>
      <c r="CK19" s="41">
        <f>55+27+1</f>
        <v>83</v>
      </c>
      <c r="CL19" s="41">
        <f>127+29+4</f>
        <v>160</v>
      </c>
      <c r="CM19" s="41">
        <f>CK19+CL19</f>
        <v>243</v>
      </c>
      <c r="CN19" s="41">
        <f>56+24+1</f>
        <v>81</v>
      </c>
      <c r="CO19" s="41">
        <f>184+52+4</f>
        <v>240</v>
      </c>
      <c r="CP19" s="41">
        <f>CN19+CO19</f>
        <v>321</v>
      </c>
      <c r="CQ19" s="41">
        <f>66+26+0</f>
        <v>92</v>
      </c>
      <c r="CR19" s="41">
        <f>163+50+2</f>
        <v>215</v>
      </c>
      <c r="CS19" s="41">
        <f>CQ19+CR19</f>
        <v>307</v>
      </c>
    </row>
    <row r="20" spans="1:97" ht="13.5" customHeight="1" x14ac:dyDescent="0.2">
      <c r="A20" s="23"/>
      <c r="B20" s="3"/>
      <c r="D20" s="15" t="s">
        <v>59</v>
      </c>
      <c r="E20" s="3" t="s">
        <v>60</v>
      </c>
      <c r="F20" s="15">
        <f>IF(AH19&gt;0,(AH20/AH19),"")</f>
        <v>0.1</v>
      </c>
      <c r="G20" s="15">
        <f>IF(AK19&gt;0,(AK20/AK19),"")</f>
        <v>0.11363636363636363</v>
      </c>
      <c r="H20" s="15">
        <f>IF(AN19&gt;0,(AN20/AN19),"")</f>
        <v>7.2727272727272724E-2</v>
      </c>
      <c r="I20" s="15">
        <f>IF(AQ19&gt;0,(AQ20/AQ19),"")</f>
        <v>8.1967213114754092E-2</v>
      </c>
      <c r="J20" s="15">
        <f>IF(AT19&gt;0,(AT20/AT19),"")</f>
        <v>6.9767441860465115E-2</v>
      </c>
      <c r="K20" s="15">
        <f>IF(AW19&gt;0,(AW20/AW19),"")</f>
        <v>5.8823529411764705E-2</v>
      </c>
      <c r="L20" s="15">
        <f>IF(AZ19&gt;0,(AZ20/AZ19),"")</f>
        <v>0.1111111111111111</v>
      </c>
      <c r="M20" s="15">
        <f>IF(BC19&gt;0,(BC20/BC19),"")</f>
        <v>0.13978494623655913</v>
      </c>
      <c r="N20" s="15">
        <f>IF(BF19&gt;0,(BF20/BF19),"")</f>
        <v>0.1111111111111111</v>
      </c>
      <c r="O20" s="15">
        <f>IF(BI19&gt;0,(BI20/BI19),"")</f>
        <v>0.16071428571428573</v>
      </c>
      <c r="P20" s="15">
        <f>IF(BL19&gt;0,(BL20/BL19),"")</f>
        <v>6.7796610169491525E-2</v>
      </c>
      <c r="Q20" s="15">
        <f>IF(BO19&gt;0,(BO20/BO19),"")</f>
        <v>0.10144927536231885</v>
      </c>
      <c r="R20" s="15">
        <f>IF(BR19&gt;0,(BR20/BR19),"")</f>
        <v>0.12025316455696203</v>
      </c>
      <c r="S20" s="15">
        <f>IF(BU19&gt;0,(BU20/BU19),"")</f>
        <v>0.11282051282051282</v>
      </c>
      <c r="T20" s="15">
        <f>IF(BX19&gt;0,(BX20/BX19),"")</f>
        <v>9.4827586206896547E-2</v>
      </c>
      <c r="U20" s="15">
        <f>IF(CA19&gt;0,(CA20/CA19),"")</f>
        <v>0.17105263157894737</v>
      </c>
      <c r="V20" s="15">
        <f>IF(CD19&gt;0,(CD20/CD19),"")</f>
        <v>0.1099476439790576</v>
      </c>
      <c r="W20" s="15">
        <f>CG20/CG$19</f>
        <v>0.12918660287081341</v>
      </c>
      <c r="X20" s="15">
        <f>CJ20/CJ$19</f>
        <v>0.13063063063063063</v>
      </c>
      <c r="Y20" s="15">
        <f>CM20/CM$19</f>
        <v>0.12757201646090535</v>
      </c>
      <c r="Z20" s="15">
        <f>CP20/CP$19</f>
        <v>0.13395638629283488</v>
      </c>
      <c r="AA20" s="15">
        <f>CS20/CS$19</f>
        <v>0.13680781758957655</v>
      </c>
      <c r="AB20" s="50"/>
      <c r="AD20" s="15" t="s">
        <v>59</v>
      </c>
      <c r="AE20" s="3" t="s">
        <v>60</v>
      </c>
      <c r="AF20" s="41">
        <v>3</v>
      </c>
      <c r="AG20" s="41">
        <v>2</v>
      </c>
      <c r="AH20" s="41">
        <f t="shared" ref="AH20:AH22" si="34">AF20+AG20</f>
        <v>5</v>
      </c>
      <c r="AI20" s="41">
        <v>2</v>
      </c>
      <c r="AJ20" s="41">
        <v>3</v>
      </c>
      <c r="AK20" s="41">
        <f t="shared" ref="AK20:AK22" si="35">AI20+AJ20</f>
        <v>5</v>
      </c>
      <c r="AL20" s="41">
        <v>1</v>
      </c>
      <c r="AM20" s="41">
        <v>3</v>
      </c>
      <c r="AN20" s="41">
        <f t="shared" ref="AN20:AN22" si="36">AL20+AM20</f>
        <v>4</v>
      </c>
      <c r="AO20" s="41">
        <f>0+0+0</f>
        <v>0</v>
      </c>
      <c r="AP20" s="41">
        <f>3+0+2</f>
        <v>5</v>
      </c>
      <c r="AQ20" s="41">
        <f t="shared" ref="AQ20:AQ22" si="37">AO20+AP20</f>
        <v>5</v>
      </c>
      <c r="AR20" s="41">
        <f>1+0+0</f>
        <v>1</v>
      </c>
      <c r="AS20" s="41">
        <f>4+0+1</f>
        <v>5</v>
      </c>
      <c r="AT20" s="41">
        <f t="shared" ref="AT20:AT22" si="38">AR20+AS20</f>
        <v>6</v>
      </c>
      <c r="AU20" s="41">
        <v>0</v>
      </c>
      <c r="AV20" s="41">
        <f>2+3</f>
        <v>5</v>
      </c>
      <c r="AW20" s="41">
        <f t="shared" ref="AW20:AW22" si="39">AU20+AV20</f>
        <v>5</v>
      </c>
      <c r="AX20" s="41">
        <f>2+0+0</f>
        <v>2</v>
      </c>
      <c r="AY20" s="41">
        <f>4+0+1</f>
        <v>5</v>
      </c>
      <c r="AZ20" s="41">
        <f t="shared" ref="AZ20:AZ22" si="40">AX20+AY20</f>
        <v>7</v>
      </c>
      <c r="BA20" s="41">
        <f>2+0+0</f>
        <v>2</v>
      </c>
      <c r="BB20" s="41">
        <f>9+1+1</f>
        <v>11</v>
      </c>
      <c r="BC20" s="41">
        <f t="shared" ref="BC20:BC22" si="41">BA20+BB20</f>
        <v>13</v>
      </c>
      <c r="BD20" s="41">
        <f>3+0+1</f>
        <v>4</v>
      </c>
      <c r="BE20" s="41">
        <f>2+0+3</f>
        <v>5</v>
      </c>
      <c r="BF20" s="41">
        <f t="shared" ref="BF20:BF22" si="42">BD20+BE20</f>
        <v>9</v>
      </c>
      <c r="BG20" s="41">
        <f>4+1+1</f>
        <v>6</v>
      </c>
      <c r="BH20" s="41">
        <f>10+1+1</f>
        <v>12</v>
      </c>
      <c r="BI20" s="41">
        <f t="shared" ref="BI20:BI22" si="43">BG20+BH20</f>
        <v>18</v>
      </c>
      <c r="BJ20" s="41">
        <f>4+0+0</f>
        <v>4</v>
      </c>
      <c r="BK20" s="41">
        <f>3+0+1</f>
        <v>4</v>
      </c>
      <c r="BL20" s="41">
        <f t="shared" ref="BL20:BL22" si="44">BJ20+BK20</f>
        <v>8</v>
      </c>
      <c r="BM20" s="41">
        <f>(0+0+0)+1+0+1</f>
        <v>2</v>
      </c>
      <c r="BN20" s="41">
        <f>(1+0+2)+6+0+3</f>
        <v>12</v>
      </c>
      <c r="BO20" s="41">
        <f t="shared" ref="BO20:BO22" si="45">BM20+BN20</f>
        <v>14</v>
      </c>
      <c r="BP20" s="41">
        <f>(0+0+0)+4+0+1</f>
        <v>5</v>
      </c>
      <c r="BQ20" s="41">
        <f>(0+0+0)+12+0+2</f>
        <v>14</v>
      </c>
      <c r="BR20" s="41">
        <f t="shared" ref="BR20:BR22" si="46">BP20+BQ20</f>
        <v>19</v>
      </c>
      <c r="BS20" s="41">
        <f>(0+0+0)+2+3+0</f>
        <v>5</v>
      </c>
      <c r="BT20" s="41">
        <f>(1+0+0)+12+4+0</f>
        <v>17</v>
      </c>
      <c r="BU20" s="41">
        <f t="shared" ref="BU20:BU21" si="47">BS20+BT20</f>
        <v>22</v>
      </c>
      <c r="BV20" s="41">
        <f>(0+0+0)+3+2+0</f>
        <v>5</v>
      </c>
      <c r="BW20" s="41">
        <f>(0+0+0)+16+0+1</f>
        <v>17</v>
      </c>
      <c r="BX20" s="41">
        <f t="shared" ref="BX20:BX22" si="48">BV20+BW20</f>
        <v>22</v>
      </c>
      <c r="BY20" s="41">
        <f>(0+0+0)+6+7+0</f>
        <v>13</v>
      </c>
      <c r="BZ20" s="41">
        <f>(1+0+0)+17+8+0</f>
        <v>26</v>
      </c>
      <c r="CA20" s="41">
        <f t="shared" ref="CA20:CA22" si="49">BY20+BZ20</f>
        <v>39</v>
      </c>
      <c r="CB20" s="41">
        <f>(0+0+0)+2+1+0</f>
        <v>3</v>
      </c>
      <c r="CC20" s="41">
        <f>(1+0+0)+12+5+0</f>
        <v>18</v>
      </c>
      <c r="CD20" s="41">
        <f t="shared" ref="CD20:CD22" si="50">CB20+CC20</f>
        <v>21</v>
      </c>
      <c r="CE20" s="41">
        <f>(0+0+0)+1+2+0</f>
        <v>3</v>
      </c>
      <c r="CF20" s="41">
        <f>(0+0+1)+20+3+0</f>
        <v>24</v>
      </c>
      <c r="CG20" s="41">
        <f t="shared" ref="CG20" si="51">CE20+CF20</f>
        <v>27</v>
      </c>
      <c r="CH20" s="41">
        <f>(0+0+0)+4+2+0</f>
        <v>6</v>
      </c>
      <c r="CI20" s="41">
        <f>(0+0+0)+11+9+3</f>
        <v>23</v>
      </c>
      <c r="CJ20" s="41">
        <f t="shared" ref="CJ20" si="52">CH20+CI20</f>
        <v>29</v>
      </c>
      <c r="CK20" s="41">
        <f>(0+1+0)+4+6+0</f>
        <v>11</v>
      </c>
      <c r="CL20" s="41">
        <f>(1+0+0)+13+6+0</f>
        <v>20</v>
      </c>
      <c r="CM20" s="41">
        <f t="shared" ref="CM20" si="53">CK20+CL20</f>
        <v>31</v>
      </c>
      <c r="CN20" s="41">
        <f>(0+0+0)+3+9+0</f>
        <v>12</v>
      </c>
      <c r="CO20" s="41">
        <f>(0+0+0)+17+14+0</f>
        <v>31</v>
      </c>
      <c r="CP20" s="41">
        <f t="shared" ref="CP20" si="54">CN20+CO20</f>
        <v>43</v>
      </c>
      <c r="CQ20" s="41">
        <f>(0+0+0)+4+3+0</f>
        <v>7</v>
      </c>
      <c r="CR20" s="41">
        <f>(0+0+0)+20+15+0</f>
        <v>35</v>
      </c>
      <c r="CS20" s="41">
        <f t="shared" ref="CS20" si="55">CQ20+CR20</f>
        <v>42</v>
      </c>
    </row>
    <row r="21" spans="1:97" ht="13.5" customHeight="1" x14ac:dyDescent="0.2">
      <c r="A21" s="23"/>
      <c r="B21" s="3"/>
      <c r="D21" s="3"/>
      <c r="E21" s="3" t="s">
        <v>61</v>
      </c>
      <c r="F21" s="15">
        <f>IF(AH19&gt;0,(AH21/AH19),"")</f>
        <v>0.02</v>
      </c>
      <c r="G21" s="15">
        <f>IF(AK19&gt;0,(AK21/AK19),"")</f>
        <v>0.13636363636363635</v>
      </c>
      <c r="H21" s="15">
        <f>IF(AN19&gt;0,(AN21/AN19),"")</f>
        <v>9.0909090909090912E-2</v>
      </c>
      <c r="I21" s="15">
        <f>IF(AQ19&gt;0,(AQ21/AQ19),"")</f>
        <v>8.1967213114754092E-2</v>
      </c>
      <c r="J21" s="15">
        <f>IF(AT19&gt;0,(AT21/AT19),"")</f>
        <v>9.3023255813953487E-2</v>
      </c>
      <c r="K21" s="15">
        <f>IF(AW19&gt;0,(AW21/AW19),"")</f>
        <v>0.11764705882352941</v>
      </c>
      <c r="L21" s="15">
        <f>IF(AZ19&gt;0,(AZ21/AZ19),"")</f>
        <v>0.20634920634920634</v>
      </c>
      <c r="M21" s="15">
        <f>IF(BC19&gt;0,(BC21/BC19),"")</f>
        <v>0.15053763440860216</v>
      </c>
      <c r="N21" s="15">
        <f>IF(BF19&gt;0,(BF21/BF19),"")</f>
        <v>0.18518518518518517</v>
      </c>
      <c r="O21" s="15">
        <f>IF(BI19&gt;0,(BI21/BI19),"")</f>
        <v>0.10714285714285714</v>
      </c>
      <c r="P21" s="15">
        <f>IF(BL19&gt;0,(BL21/BL19),"")</f>
        <v>0.11864406779661017</v>
      </c>
      <c r="Q21" s="15">
        <f>IF(BO19&gt;0,(BO21/BO19),"")</f>
        <v>7.9710144927536225E-2</v>
      </c>
      <c r="R21" s="15">
        <f>IF(BR19&gt;0,(BR21/BR19),"")</f>
        <v>0.12658227848101267</v>
      </c>
      <c r="S21" s="15">
        <f>IF(BU19&gt;0,(BU21/BU19),"")</f>
        <v>0.13846153846153847</v>
      </c>
      <c r="T21" s="15">
        <f>IF(BX19&gt;0,(BX21/BX19),"")</f>
        <v>0.15086206896551724</v>
      </c>
      <c r="U21" s="15">
        <f>IF(CA19&gt;0,(CA21/CA19),"")</f>
        <v>0.11403508771929824</v>
      </c>
      <c r="V21" s="15">
        <f t="shared" ref="V21" si="56">IF(CD19&gt;0,(CD21/CD19),"")</f>
        <v>0.16230366492146597</v>
      </c>
      <c r="W21" s="15">
        <f t="shared" ref="W21:W22" si="57">CG21/CG$19</f>
        <v>8.6124401913875603E-2</v>
      </c>
      <c r="X21" s="15">
        <f>CJ21/CJ$19</f>
        <v>0.17567567567567569</v>
      </c>
      <c r="Y21" s="15">
        <f>CM21/CM$19</f>
        <v>0.13580246913580246</v>
      </c>
      <c r="Z21" s="15">
        <f>CP21/CP$19</f>
        <v>0.14953271028037382</v>
      </c>
      <c r="AA21" s="15">
        <f>CS21/CS$19</f>
        <v>0.19543973941368079</v>
      </c>
      <c r="AB21" s="50"/>
      <c r="AD21" s="3"/>
      <c r="AE21" s="3" t="s">
        <v>61</v>
      </c>
      <c r="AF21" s="41">
        <v>0</v>
      </c>
      <c r="AG21" s="41">
        <v>1</v>
      </c>
      <c r="AH21" s="41">
        <f t="shared" si="34"/>
        <v>1</v>
      </c>
      <c r="AI21" s="41">
        <v>4</v>
      </c>
      <c r="AJ21" s="41">
        <v>2</v>
      </c>
      <c r="AK21" s="41">
        <f t="shared" si="35"/>
        <v>6</v>
      </c>
      <c r="AL21" s="41">
        <v>1</v>
      </c>
      <c r="AM21" s="41">
        <v>4</v>
      </c>
      <c r="AN21" s="41">
        <f t="shared" si="36"/>
        <v>5</v>
      </c>
      <c r="AO21" s="41">
        <f>0+0+1</f>
        <v>1</v>
      </c>
      <c r="AP21" s="41">
        <f>4+0+0</f>
        <v>4</v>
      </c>
      <c r="AQ21" s="41">
        <f t="shared" si="37"/>
        <v>5</v>
      </c>
      <c r="AR21" s="41">
        <f>2+0+0</f>
        <v>2</v>
      </c>
      <c r="AS21" s="41">
        <f>4+0+2</f>
        <v>6</v>
      </c>
      <c r="AT21" s="41">
        <f t="shared" si="38"/>
        <v>8</v>
      </c>
      <c r="AU21" s="41">
        <v>2</v>
      </c>
      <c r="AV21" s="41">
        <f>7+1</f>
        <v>8</v>
      </c>
      <c r="AW21" s="41">
        <f t="shared" si="39"/>
        <v>10</v>
      </c>
      <c r="AX21" s="41">
        <f>6+0+0</f>
        <v>6</v>
      </c>
      <c r="AY21" s="41">
        <f>5+0+2</f>
        <v>7</v>
      </c>
      <c r="AZ21" s="41">
        <f t="shared" si="40"/>
        <v>13</v>
      </c>
      <c r="BA21" s="41">
        <f>2+0+0</f>
        <v>2</v>
      </c>
      <c r="BB21" s="41">
        <f>10+0+2</f>
        <v>12</v>
      </c>
      <c r="BC21" s="41">
        <f t="shared" si="41"/>
        <v>14</v>
      </c>
      <c r="BD21" s="41">
        <f>1+0+1</f>
        <v>2</v>
      </c>
      <c r="BE21" s="41">
        <f>10+0+3</f>
        <v>13</v>
      </c>
      <c r="BF21" s="41">
        <f t="shared" si="42"/>
        <v>15</v>
      </c>
      <c r="BG21" s="41">
        <f>2+1+1</f>
        <v>4</v>
      </c>
      <c r="BH21" s="41">
        <f>8+0+0</f>
        <v>8</v>
      </c>
      <c r="BI21" s="41">
        <f t="shared" si="43"/>
        <v>12</v>
      </c>
      <c r="BJ21" s="41">
        <f>3+0+2</f>
        <v>5</v>
      </c>
      <c r="BK21" s="41">
        <f>9+0+0</f>
        <v>9</v>
      </c>
      <c r="BL21" s="41">
        <f t="shared" si="44"/>
        <v>14</v>
      </c>
      <c r="BM21" s="41">
        <f>1+0+1</f>
        <v>2</v>
      </c>
      <c r="BN21" s="41">
        <f>7+0+2</f>
        <v>9</v>
      </c>
      <c r="BO21" s="41">
        <f t="shared" si="45"/>
        <v>11</v>
      </c>
      <c r="BP21" s="41">
        <f>4+0+0</f>
        <v>4</v>
      </c>
      <c r="BQ21" s="41">
        <f>13+0+3</f>
        <v>16</v>
      </c>
      <c r="BR21" s="41">
        <f t="shared" si="46"/>
        <v>20</v>
      </c>
      <c r="BS21" s="41">
        <f>6+3+0</f>
        <v>9</v>
      </c>
      <c r="BT21" s="41">
        <f>12+5+1</f>
        <v>18</v>
      </c>
      <c r="BU21" s="41">
        <f t="shared" si="47"/>
        <v>27</v>
      </c>
      <c r="BV21" s="41">
        <f>7+3+2</f>
        <v>12</v>
      </c>
      <c r="BW21" s="41">
        <f>17+6+0</f>
        <v>23</v>
      </c>
      <c r="BX21" s="41">
        <f t="shared" si="48"/>
        <v>35</v>
      </c>
      <c r="BY21" s="41">
        <f>7+2+0</f>
        <v>9</v>
      </c>
      <c r="BZ21" s="41">
        <f>12+4+1</f>
        <v>17</v>
      </c>
      <c r="CA21" s="41">
        <f t="shared" si="49"/>
        <v>26</v>
      </c>
      <c r="CB21" s="41">
        <f>9+5+0</f>
        <v>14</v>
      </c>
      <c r="CC21" s="41">
        <f>14+3+0</f>
        <v>17</v>
      </c>
      <c r="CD21" s="41">
        <f t="shared" si="50"/>
        <v>31</v>
      </c>
      <c r="CE21" s="41">
        <f>5+2+0</f>
        <v>7</v>
      </c>
      <c r="CF21" s="41">
        <f>9+2+0</f>
        <v>11</v>
      </c>
      <c r="CG21" s="41">
        <f>CE21+CF21</f>
        <v>18</v>
      </c>
      <c r="CH21" s="41">
        <f>9+4+0</f>
        <v>13</v>
      </c>
      <c r="CI21" s="41">
        <f>22+4+0</f>
        <v>26</v>
      </c>
      <c r="CJ21" s="41">
        <f>CH21+CI21</f>
        <v>39</v>
      </c>
      <c r="CK21" s="41">
        <f>10+5+0</f>
        <v>15</v>
      </c>
      <c r="CL21" s="41">
        <f>14+3+1</f>
        <v>18</v>
      </c>
      <c r="CM21" s="41">
        <f>CK21+CL21</f>
        <v>33</v>
      </c>
      <c r="CN21" s="41">
        <f>10+3+0</f>
        <v>13</v>
      </c>
      <c r="CO21" s="41">
        <f>25+9+1</f>
        <v>35</v>
      </c>
      <c r="CP21" s="41">
        <f>CN21+CO21</f>
        <v>48</v>
      </c>
      <c r="CQ21" s="41">
        <f>13+6+0</f>
        <v>19</v>
      </c>
      <c r="CR21" s="41">
        <f>31+9+1</f>
        <v>41</v>
      </c>
      <c r="CS21" s="41">
        <f>CQ21+CR21</f>
        <v>60</v>
      </c>
    </row>
    <row r="22" spans="1:97" ht="13.5" customHeight="1" x14ac:dyDescent="0.2">
      <c r="A22" s="23"/>
      <c r="B22" s="3"/>
      <c r="D22" s="3"/>
      <c r="E22" s="3" t="s">
        <v>62</v>
      </c>
      <c r="F22" s="18">
        <f>IF(AH19&gt;0,(AH22/AH19),"")</f>
        <v>0.1</v>
      </c>
      <c r="G22" s="18">
        <f>IF(AK19&gt;0,(AK22/AK19),"")</f>
        <v>0.13636363636363635</v>
      </c>
      <c r="H22" s="18">
        <f>IF(AN19&gt;0,(AN22/AN19),"")</f>
        <v>0.14545454545454545</v>
      </c>
      <c r="I22" s="18">
        <f>IF(AQ19&gt;0,(AQ22/AQ19),"")</f>
        <v>9.8360655737704916E-2</v>
      </c>
      <c r="J22" s="18">
        <f>IF(AT19&gt;0,(AT22/AT19),"")</f>
        <v>0.16279069767441862</v>
      </c>
      <c r="K22" s="18">
        <f>IF(AW19&gt;0,(AW22/AW19),"")</f>
        <v>0.15294117647058825</v>
      </c>
      <c r="L22" s="18">
        <f>IF(AZ19&gt;0,(AZ22/AZ19),"")</f>
        <v>7.9365079365079361E-2</v>
      </c>
      <c r="M22" s="18">
        <f>IF(BC19&gt;0,(BC22/BC19),"")</f>
        <v>7.5268817204301078E-2</v>
      </c>
      <c r="N22" s="18">
        <f>IF(BF19&gt;0,(BF22/BF19),"")</f>
        <v>0.1111111111111111</v>
      </c>
      <c r="O22" s="18">
        <f>IF(BI19&gt;0,(BI22/BI19),"")</f>
        <v>6.25E-2</v>
      </c>
      <c r="P22" s="18">
        <f>IF(BL19&gt;0,(BL22/BL19),"")</f>
        <v>5.0847457627118647E-2</v>
      </c>
      <c r="Q22" s="18">
        <f>IF(BO19&gt;0,(BO22/BO19),"")</f>
        <v>8.6956521739130432E-2</v>
      </c>
      <c r="R22" s="18">
        <f>IF(BR19&gt;0,(BR22/BR19),"")</f>
        <v>5.6962025316455694E-2</v>
      </c>
      <c r="S22" s="18">
        <f>IF(BU19&gt;0,(BU22/BU19),"")</f>
        <v>6.6666666666666666E-2</v>
      </c>
      <c r="T22" s="18">
        <f>IF(BX19&gt;0,(BX22/BX19),"")</f>
        <v>6.8965517241379309E-2</v>
      </c>
      <c r="U22" s="18">
        <f>IF(CA19&gt;0,(CA22/CA19),"")</f>
        <v>4.3859649122807015E-2</v>
      </c>
      <c r="V22" s="18">
        <f>IF(CD19&gt;0,(CD22/CD19),"")</f>
        <v>7.8534031413612565E-2</v>
      </c>
      <c r="W22" s="18">
        <f t="shared" si="57"/>
        <v>4.784688995215311E-2</v>
      </c>
      <c r="X22" s="18">
        <f>CJ22/CJ$19</f>
        <v>5.8558558558558557E-2</v>
      </c>
      <c r="Y22" s="18">
        <f>CM22/CM$19</f>
        <v>5.7613168724279837E-2</v>
      </c>
      <c r="Z22" s="18">
        <f>CP22/CP$19</f>
        <v>7.1651090342679122E-2</v>
      </c>
      <c r="AA22" s="18">
        <f t="shared" ref="AA22:AA23" si="58">CS22/CS$19</f>
        <v>3.5830618892508145E-2</v>
      </c>
      <c r="AB22" s="50"/>
      <c r="AD22" s="3"/>
      <c r="AE22" s="3" t="s">
        <v>62</v>
      </c>
      <c r="AF22" s="41">
        <v>0</v>
      </c>
      <c r="AG22" s="41">
        <v>5</v>
      </c>
      <c r="AH22" s="41">
        <f t="shared" si="34"/>
        <v>5</v>
      </c>
      <c r="AI22" s="41">
        <v>4</v>
      </c>
      <c r="AJ22" s="41">
        <v>2</v>
      </c>
      <c r="AK22" s="41">
        <f t="shared" si="35"/>
        <v>6</v>
      </c>
      <c r="AL22" s="41">
        <v>3</v>
      </c>
      <c r="AM22" s="41">
        <v>5</v>
      </c>
      <c r="AN22" s="41">
        <f t="shared" si="36"/>
        <v>8</v>
      </c>
      <c r="AO22" s="41">
        <f>0+0+1</f>
        <v>1</v>
      </c>
      <c r="AP22" s="41">
        <f>3+1+1</f>
        <v>5</v>
      </c>
      <c r="AQ22" s="41">
        <f t="shared" si="37"/>
        <v>6</v>
      </c>
      <c r="AR22" s="41">
        <f>3+0+4</f>
        <v>7</v>
      </c>
      <c r="AS22" s="41">
        <f>5+0+2</f>
        <v>7</v>
      </c>
      <c r="AT22" s="41">
        <f t="shared" si="38"/>
        <v>14</v>
      </c>
      <c r="AU22" s="41">
        <f>2+1</f>
        <v>3</v>
      </c>
      <c r="AV22" s="41">
        <f>6+4</f>
        <v>10</v>
      </c>
      <c r="AW22" s="41">
        <f t="shared" si="39"/>
        <v>13</v>
      </c>
      <c r="AX22" s="41">
        <f>1+0+2</f>
        <v>3</v>
      </c>
      <c r="AY22" s="41">
        <f>2+0+0</f>
        <v>2</v>
      </c>
      <c r="AZ22" s="41">
        <f t="shared" si="40"/>
        <v>5</v>
      </c>
      <c r="BA22" s="41">
        <f>1+0+1</f>
        <v>2</v>
      </c>
      <c r="BB22" s="41">
        <f>3+0+2</f>
        <v>5</v>
      </c>
      <c r="BC22" s="41">
        <f t="shared" si="41"/>
        <v>7</v>
      </c>
      <c r="BD22" s="41">
        <f>2+0+4</f>
        <v>6</v>
      </c>
      <c r="BE22" s="41">
        <f>3+0+0</f>
        <v>3</v>
      </c>
      <c r="BF22" s="41">
        <f t="shared" si="42"/>
        <v>9</v>
      </c>
      <c r="BG22" s="41">
        <f>0+1+0</f>
        <v>1</v>
      </c>
      <c r="BH22" s="41">
        <f>5+0+1</f>
        <v>6</v>
      </c>
      <c r="BI22" s="41">
        <f t="shared" si="43"/>
        <v>7</v>
      </c>
      <c r="BJ22" s="41">
        <f>2+0+0</f>
        <v>2</v>
      </c>
      <c r="BK22" s="41">
        <f>3+0+1</f>
        <v>4</v>
      </c>
      <c r="BL22" s="41">
        <f t="shared" si="44"/>
        <v>6</v>
      </c>
      <c r="BM22" s="41">
        <f>2+0+2</f>
        <v>4</v>
      </c>
      <c r="BN22" s="41">
        <f>6+0+2</f>
        <v>8</v>
      </c>
      <c r="BO22" s="41">
        <f t="shared" si="45"/>
        <v>12</v>
      </c>
      <c r="BP22" s="41">
        <f>2+0+1</f>
        <v>3</v>
      </c>
      <c r="BQ22" s="41">
        <f>5+1+0</f>
        <v>6</v>
      </c>
      <c r="BR22" s="41">
        <f t="shared" si="46"/>
        <v>9</v>
      </c>
      <c r="BS22" s="41">
        <f>3+1+0</f>
        <v>4</v>
      </c>
      <c r="BT22" s="41">
        <f>6+3+0</f>
        <v>9</v>
      </c>
      <c r="BU22" s="41">
        <f>BS22+BT22</f>
        <v>13</v>
      </c>
      <c r="BV22" s="41">
        <f>6+3+0</f>
        <v>9</v>
      </c>
      <c r="BW22" s="41">
        <f>5+2+0</f>
        <v>7</v>
      </c>
      <c r="BX22" s="41">
        <f t="shared" si="48"/>
        <v>16</v>
      </c>
      <c r="BY22" s="41">
        <f>4+0+0</f>
        <v>4</v>
      </c>
      <c r="BZ22" s="41">
        <f>2+4+0</f>
        <v>6</v>
      </c>
      <c r="CA22" s="41">
        <f t="shared" si="49"/>
        <v>10</v>
      </c>
      <c r="CB22" s="41">
        <f>5+4+0</f>
        <v>9</v>
      </c>
      <c r="CC22" s="41">
        <f>6+0+0</f>
        <v>6</v>
      </c>
      <c r="CD22" s="41">
        <f t="shared" si="50"/>
        <v>15</v>
      </c>
      <c r="CE22" s="41">
        <f>3+2+0</f>
        <v>5</v>
      </c>
      <c r="CF22" s="41">
        <f>2+1+2</f>
        <v>5</v>
      </c>
      <c r="CG22" s="41">
        <f>CE22+CF22</f>
        <v>10</v>
      </c>
      <c r="CH22" s="41">
        <f>4+0+0</f>
        <v>4</v>
      </c>
      <c r="CI22" s="41">
        <f>6+3+0</f>
        <v>9</v>
      </c>
      <c r="CJ22" s="41">
        <f>CH22+CI22</f>
        <v>13</v>
      </c>
      <c r="CK22" s="41">
        <f>4+1+0</f>
        <v>5</v>
      </c>
      <c r="CL22" s="41">
        <f>7+1+1</f>
        <v>9</v>
      </c>
      <c r="CM22" s="41">
        <f>CK22+CL22</f>
        <v>14</v>
      </c>
      <c r="CN22" s="41">
        <f>3+5+1</f>
        <v>9</v>
      </c>
      <c r="CO22" s="41">
        <f>10+4+0</f>
        <v>14</v>
      </c>
      <c r="CP22" s="41">
        <f>CN22+CO22</f>
        <v>23</v>
      </c>
      <c r="CQ22" s="41">
        <f>6+1+0</f>
        <v>7</v>
      </c>
      <c r="CR22" s="41">
        <f>4+0+0</f>
        <v>4</v>
      </c>
      <c r="CS22" s="41">
        <f>CQ22+CR22</f>
        <v>11</v>
      </c>
    </row>
    <row r="23" spans="1:97" ht="13.5" customHeight="1" x14ac:dyDescent="0.2">
      <c r="A23" s="23"/>
      <c r="B23" s="3"/>
      <c r="D23" s="3"/>
      <c r="E23" s="3"/>
      <c r="F23" s="15">
        <f>IF(AH19&gt;0,(AH23/AH19),"")</f>
        <v>0.22</v>
      </c>
      <c r="G23" s="15">
        <f>IF(AK19&gt;0,(AK23/AK19),"")</f>
        <v>0.38636363636363635</v>
      </c>
      <c r="H23" s="15">
        <f>IF(AN19&gt;0,(AN23/AN19),"")</f>
        <v>0.30909090909090908</v>
      </c>
      <c r="I23" s="15">
        <f>IF(AQ19&gt;0,(AQ23/AQ19),"")</f>
        <v>0.26229508196721313</v>
      </c>
      <c r="J23" s="15">
        <f>IF(AT19&gt;0,(AT23/AT19),"")</f>
        <v>0.32558139534883723</v>
      </c>
      <c r="K23" s="15">
        <f>IF(AW19&gt;0,(AW23/AW19),"")</f>
        <v>0.32941176470588235</v>
      </c>
      <c r="L23" s="15">
        <f>IF(AZ19&gt;0,(AZ23/AZ19),"")</f>
        <v>0.3968253968253968</v>
      </c>
      <c r="M23" s="15">
        <f>IF(BC19&gt;0,(BC23/BC19),"")</f>
        <v>0.36559139784946237</v>
      </c>
      <c r="N23" s="15">
        <f>IF(BF19&gt;0,(BF23/BF19),"")</f>
        <v>0.40740740740740738</v>
      </c>
      <c r="O23" s="15">
        <f>IF(BI19&gt;0,(BI23/BI19),"")</f>
        <v>0.33035714285714285</v>
      </c>
      <c r="P23" s="15">
        <f>IF(BL19&gt;0,(BL23/BL19),"")</f>
        <v>0.23728813559322035</v>
      </c>
      <c r="Q23" s="15">
        <f>IF(BO19&gt;0,(BO23/BO19),"")</f>
        <v>0.26811594202898553</v>
      </c>
      <c r="R23" s="15">
        <f>IF(BR19&gt;0,(BR23/BR19),"")</f>
        <v>0.30379746835443039</v>
      </c>
      <c r="S23" s="15">
        <f>IF(BU19&gt;0,(BU23/BU19),"")</f>
        <v>0.31794871794871793</v>
      </c>
      <c r="T23" s="15">
        <f>IF(BX19&gt;0,(BX23/BX19),"")</f>
        <v>0.31465517241379309</v>
      </c>
      <c r="U23" s="15">
        <f>IF(CA19&gt;0,(CA23/CA19),"")</f>
        <v>0.32894736842105265</v>
      </c>
      <c r="V23" s="15">
        <f t="shared" ref="V23" si="59">IF(CD19&gt;0,(CD23/CD19),"")</f>
        <v>0.35078534031413611</v>
      </c>
      <c r="W23" s="15">
        <f>CG23/CG$19</f>
        <v>0.26315789473684209</v>
      </c>
      <c r="X23" s="15">
        <f>CJ23/CJ$19</f>
        <v>0.36486486486486486</v>
      </c>
      <c r="Y23" s="15">
        <f>CM23/CM$19</f>
        <v>0.32098765432098764</v>
      </c>
      <c r="Z23" s="15">
        <f>CP23/CP$19</f>
        <v>0.35514018691588783</v>
      </c>
      <c r="AA23" s="15">
        <f t="shared" si="58"/>
        <v>0.36807817589576547</v>
      </c>
      <c r="AB23" s="51"/>
      <c r="AD23" s="3"/>
      <c r="AE23" s="35" t="s">
        <v>88</v>
      </c>
      <c r="AF23" s="41">
        <f>SUM(AF20:AF22)</f>
        <v>3</v>
      </c>
      <c r="AG23" s="41">
        <f t="shared" ref="AG23:CC23" si="60">SUM(AG20:AG22)</f>
        <v>8</v>
      </c>
      <c r="AH23" s="41">
        <f t="shared" si="60"/>
        <v>11</v>
      </c>
      <c r="AI23" s="41">
        <f t="shared" si="60"/>
        <v>10</v>
      </c>
      <c r="AJ23" s="41">
        <f t="shared" si="60"/>
        <v>7</v>
      </c>
      <c r="AK23" s="41">
        <f t="shared" si="60"/>
        <v>17</v>
      </c>
      <c r="AL23" s="41">
        <f t="shared" si="60"/>
        <v>5</v>
      </c>
      <c r="AM23" s="41">
        <f t="shared" si="60"/>
        <v>12</v>
      </c>
      <c r="AN23" s="41">
        <f t="shared" si="60"/>
        <v>17</v>
      </c>
      <c r="AO23" s="41">
        <f t="shared" si="60"/>
        <v>2</v>
      </c>
      <c r="AP23" s="41">
        <f t="shared" si="60"/>
        <v>14</v>
      </c>
      <c r="AQ23" s="41">
        <f t="shared" si="60"/>
        <v>16</v>
      </c>
      <c r="AR23" s="41">
        <f t="shared" si="60"/>
        <v>10</v>
      </c>
      <c r="AS23" s="41">
        <f t="shared" si="60"/>
        <v>18</v>
      </c>
      <c r="AT23" s="41">
        <f t="shared" si="60"/>
        <v>28</v>
      </c>
      <c r="AU23" s="41">
        <f t="shared" si="60"/>
        <v>5</v>
      </c>
      <c r="AV23" s="41">
        <f t="shared" si="60"/>
        <v>23</v>
      </c>
      <c r="AW23" s="41">
        <f t="shared" si="60"/>
        <v>28</v>
      </c>
      <c r="AX23" s="41">
        <f t="shared" si="60"/>
        <v>11</v>
      </c>
      <c r="AY23" s="41">
        <f t="shared" si="60"/>
        <v>14</v>
      </c>
      <c r="AZ23" s="41">
        <f t="shared" si="60"/>
        <v>25</v>
      </c>
      <c r="BA23" s="41">
        <f t="shared" si="60"/>
        <v>6</v>
      </c>
      <c r="BB23" s="41">
        <f t="shared" si="60"/>
        <v>28</v>
      </c>
      <c r="BC23" s="41">
        <f t="shared" si="60"/>
        <v>34</v>
      </c>
      <c r="BD23" s="41">
        <f t="shared" si="60"/>
        <v>12</v>
      </c>
      <c r="BE23" s="41">
        <f t="shared" si="60"/>
        <v>21</v>
      </c>
      <c r="BF23" s="41">
        <f t="shared" si="60"/>
        <v>33</v>
      </c>
      <c r="BG23" s="41">
        <f t="shared" si="60"/>
        <v>11</v>
      </c>
      <c r="BH23" s="41">
        <f t="shared" si="60"/>
        <v>26</v>
      </c>
      <c r="BI23" s="41">
        <f t="shared" si="60"/>
        <v>37</v>
      </c>
      <c r="BJ23" s="41">
        <f t="shared" si="60"/>
        <v>11</v>
      </c>
      <c r="BK23" s="41">
        <f t="shared" si="60"/>
        <v>17</v>
      </c>
      <c r="BL23" s="41">
        <f t="shared" si="60"/>
        <v>28</v>
      </c>
      <c r="BM23" s="41">
        <f t="shared" si="60"/>
        <v>8</v>
      </c>
      <c r="BN23" s="41">
        <f t="shared" si="60"/>
        <v>29</v>
      </c>
      <c r="BO23" s="41">
        <f t="shared" si="60"/>
        <v>37</v>
      </c>
      <c r="BP23" s="41">
        <f t="shared" si="60"/>
        <v>12</v>
      </c>
      <c r="BQ23" s="41">
        <f t="shared" si="60"/>
        <v>36</v>
      </c>
      <c r="BR23" s="41">
        <f t="shared" si="60"/>
        <v>48</v>
      </c>
      <c r="BS23" s="41">
        <f t="shared" si="60"/>
        <v>18</v>
      </c>
      <c r="BT23" s="41">
        <f t="shared" si="60"/>
        <v>44</v>
      </c>
      <c r="BU23" s="41">
        <f t="shared" si="60"/>
        <v>62</v>
      </c>
      <c r="BV23" s="41">
        <f t="shared" si="60"/>
        <v>26</v>
      </c>
      <c r="BW23" s="41">
        <f t="shared" si="60"/>
        <v>47</v>
      </c>
      <c r="BX23" s="41">
        <f t="shared" si="60"/>
        <v>73</v>
      </c>
      <c r="BY23" s="41">
        <f t="shared" si="60"/>
        <v>26</v>
      </c>
      <c r="BZ23" s="41">
        <f t="shared" si="60"/>
        <v>49</v>
      </c>
      <c r="CA23" s="41">
        <f t="shared" si="60"/>
        <v>75</v>
      </c>
      <c r="CB23" s="41">
        <f t="shared" si="60"/>
        <v>26</v>
      </c>
      <c r="CC23" s="41">
        <f t="shared" si="60"/>
        <v>41</v>
      </c>
      <c r="CD23" s="41">
        <f>SUM(CD20:CD22)</f>
        <v>67</v>
      </c>
      <c r="CE23" s="41">
        <f t="shared" ref="CE23" si="61">SUM(CE20:CE22)</f>
        <v>15</v>
      </c>
      <c r="CF23" s="41">
        <f>SUM(CF20:CF22)</f>
        <v>40</v>
      </c>
      <c r="CG23" s="41">
        <f t="shared" ref="CG23:CH23" si="62">SUM(CG20:CG22)</f>
        <v>55</v>
      </c>
      <c r="CH23" s="41">
        <f t="shared" si="62"/>
        <v>23</v>
      </c>
      <c r="CI23" s="41">
        <f>SUM(CI20:CI22)</f>
        <v>58</v>
      </c>
      <c r="CJ23" s="41">
        <f t="shared" ref="CJ23:CK23" si="63">SUM(CJ20:CJ22)</f>
        <v>81</v>
      </c>
      <c r="CK23" s="41">
        <f t="shared" si="63"/>
        <v>31</v>
      </c>
      <c r="CL23" s="41">
        <f>SUM(CL20:CL22)</f>
        <v>47</v>
      </c>
      <c r="CM23" s="41">
        <f t="shared" ref="CM23:CN23" si="64">SUM(CM20:CM22)</f>
        <v>78</v>
      </c>
      <c r="CN23" s="41">
        <f t="shared" si="64"/>
        <v>34</v>
      </c>
      <c r="CO23" s="41">
        <f>SUM(CO20:CO22)</f>
        <v>80</v>
      </c>
      <c r="CP23" s="41">
        <f t="shared" ref="CP23:CQ23" si="65">SUM(CP20:CP22)</f>
        <v>114</v>
      </c>
      <c r="CQ23" s="41">
        <f t="shared" si="65"/>
        <v>33</v>
      </c>
      <c r="CR23" s="41">
        <f>SUM(CR20:CR22)</f>
        <v>80</v>
      </c>
      <c r="CS23" s="41">
        <f t="shared" ref="CS23" si="66">SUM(CS20:CS22)</f>
        <v>113</v>
      </c>
    </row>
    <row r="24" spans="1:97" ht="13.5" customHeight="1" x14ac:dyDescent="0.2">
      <c r="A24" s="23"/>
      <c r="B24" s="3"/>
      <c r="C24" s="4" t="s">
        <v>25</v>
      </c>
      <c r="D24" s="3"/>
      <c r="E24" s="3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4"/>
      <c r="X24" s="14"/>
      <c r="Y24" s="14"/>
      <c r="Z24" s="14"/>
      <c r="AA24" s="14"/>
      <c r="AB24" s="50"/>
      <c r="AD24" s="3"/>
      <c r="AE24" s="4"/>
      <c r="CE24" s="20"/>
      <c r="CF24" s="20"/>
      <c r="CG24" s="20"/>
      <c r="CQ24" s="3"/>
    </row>
    <row r="25" spans="1:97" ht="13.5" customHeight="1" x14ac:dyDescent="0.2">
      <c r="A25" s="23"/>
      <c r="B25" s="3"/>
      <c r="D25" s="3" t="s">
        <v>65</v>
      </c>
      <c r="E25" s="3"/>
      <c r="F25" s="11">
        <f>AF13</f>
        <v>223</v>
      </c>
      <c r="G25" s="11">
        <f>AI13</f>
        <v>223</v>
      </c>
      <c r="H25" s="11">
        <f>AL13</f>
        <v>249</v>
      </c>
      <c r="I25" s="11">
        <f>AO13</f>
        <v>227</v>
      </c>
      <c r="J25" s="11">
        <f>AR13</f>
        <v>250</v>
      </c>
      <c r="K25" s="11">
        <f>AU13</f>
        <v>268</v>
      </c>
      <c r="L25" s="11">
        <f>AX13</f>
        <v>267</v>
      </c>
      <c r="M25" s="11">
        <f>BA13</f>
        <v>282</v>
      </c>
      <c r="N25" s="11">
        <f>BD13</f>
        <v>284</v>
      </c>
      <c r="O25" s="11">
        <f>BG13</f>
        <v>297</v>
      </c>
      <c r="P25" s="11">
        <f>BJ13</f>
        <v>291</v>
      </c>
      <c r="Q25" s="11">
        <f>BM13</f>
        <v>293</v>
      </c>
      <c r="R25" s="11">
        <f>BP13</f>
        <v>303</v>
      </c>
      <c r="S25" s="11">
        <f>BS13</f>
        <v>364</v>
      </c>
      <c r="T25" s="11">
        <f>BV13</f>
        <v>433</v>
      </c>
      <c r="U25" s="11">
        <f>BY13</f>
        <v>383</v>
      </c>
      <c r="V25" s="11">
        <f>CB13</f>
        <v>348</v>
      </c>
      <c r="W25" s="11">
        <f>CE13</f>
        <v>382</v>
      </c>
      <c r="X25" s="11">
        <f>CH13</f>
        <v>369</v>
      </c>
      <c r="Y25" s="11">
        <f>CK13</f>
        <v>436</v>
      </c>
      <c r="Z25" s="11">
        <f>CN13</f>
        <v>405</v>
      </c>
      <c r="AA25" s="11">
        <f>CQ13</f>
        <v>440</v>
      </c>
      <c r="AB25" s="50"/>
      <c r="AD25" s="3"/>
      <c r="AE25" s="4"/>
      <c r="CE25" s="16"/>
      <c r="CF25" s="16"/>
      <c r="CG25" s="16"/>
      <c r="CQ25" s="3"/>
    </row>
    <row r="26" spans="1:97" ht="13.5" customHeight="1" x14ac:dyDescent="0.2">
      <c r="A26" s="23"/>
      <c r="B26" s="3"/>
      <c r="D26" s="15" t="s">
        <v>59</v>
      </c>
      <c r="E26" s="3" t="s">
        <v>60</v>
      </c>
      <c r="F26" s="15">
        <f>IF(AF13&gt;0,(AF14/AF13),"")</f>
        <v>0.11210762331838565</v>
      </c>
      <c r="G26" s="15">
        <f>IF(AI13&gt;0,(AI14/AI13),"")</f>
        <v>5.829596412556054E-2</v>
      </c>
      <c r="H26" s="15">
        <f>IF(AL13&gt;0,(AL14/AL13),"")</f>
        <v>7.2289156626506021E-2</v>
      </c>
      <c r="I26" s="15">
        <f>IF(AO13&gt;0,(AO14/AO13),"")</f>
        <v>0.1013215859030837</v>
      </c>
      <c r="J26" s="15">
        <f>IF(AR13&gt;0,(AR14/AR13),"")</f>
        <v>0.1</v>
      </c>
      <c r="K26" s="15">
        <f>IF(AU13&gt;0,(AU14/AU13),"")</f>
        <v>0.11940298507462686</v>
      </c>
      <c r="L26" s="15">
        <f>IF(AX13&gt;0,(AX14/AX13),"")</f>
        <v>0.10112359550561797</v>
      </c>
      <c r="M26" s="15">
        <f>IF(BA13&gt;0,(BA14/BA13),"")</f>
        <v>0.13475177304964539</v>
      </c>
      <c r="N26" s="15">
        <f>IF(BD13&gt;0,(BD14/BD13),"")</f>
        <v>0.15845070422535212</v>
      </c>
      <c r="O26" s="15">
        <f>IF(BG13&gt;0,(BG14/BG13),"")</f>
        <v>0.15151515151515152</v>
      </c>
      <c r="P26" s="15">
        <f>IF(BJ13&gt;0,(BJ14/BJ13),"")</f>
        <v>0.12371134020618557</v>
      </c>
      <c r="Q26" s="15">
        <f>IF(BM13&gt;0,(BM14/BM13),"")</f>
        <v>0.22525597269624573</v>
      </c>
      <c r="R26" s="15">
        <f>IF(BP13&gt;0,(BP14/BP13),"")</f>
        <v>0.14851485148514851</v>
      </c>
      <c r="S26" s="15">
        <f>IF(BS13&gt;0,(BS14/BS13),"")</f>
        <v>0.14560439560439561</v>
      </c>
      <c r="T26" s="15">
        <f>IF(BV13&gt;0,(BV14/BV13),"")</f>
        <v>0.16166281755196305</v>
      </c>
      <c r="U26" s="15">
        <f>IF(BY13&gt;0,(BY14/BY13),"")</f>
        <v>0.25065274151436029</v>
      </c>
      <c r="V26" s="15">
        <f>IF(CB13&gt;0,(CB14/CB13),"")</f>
        <v>0.17528735632183909</v>
      </c>
      <c r="W26" s="15">
        <f>CE14/CE$13</f>
        <v>0.19109947643979058</v>
      </c>
      <c r="X26" s="15">
        <f>CH14/CH$13</f>
        <v>0.17073170731707318</v>
      </c>
      <c r="Y26" s="15">
        <f>CK14/CK$13</f>
        <v>0.21788990825688073</v>
      </c>
      <c r="Z26" s="15">
        <f>CN14/CN$13</f>
        <v>0.26666666666666666</v>
      </c>
      <c r="AA26" s="15">
        <f>CQ14/CQ$13</f>
        <v>0.20681818181818182</v>
      </c>
      <c r="AB26" s="50"/>
      <c r="AD26" s="3"/>
      <c r="AE26" s="4"/>
      <c r="CE26" s="16"/>
      <c r="CF26" s="16"/>
      <c r="CG26" s="16"/>
      <c r="CQ26" s="3"/>
    </row>
    <row r="27" spans="1:97" ht="13.5" customHeight="1" x14ac:dyDescent="0.2">
      <c r="A27" s="23"/>
      <c r="B27" s="3"/>
      <c r="D27" s="3"/>
      <c r="E27" s="3" t="s">
        <v>61</v>
      </c>
      <c r="F27" s="15">
        <f>IF(AF13&gt;0,(AF15/AF13),"")</f>
        <v>8.9686098654708515E-2</v>
      </c>
      <c r="G27" s="15">
        <f>IF(AI13&gt;0,(AI15/AI13),"")</f>
        <v>8.9686098654708515E-2</v>
      </c>
      <c r="H27" s="15">
        <f>IF(AL13&gt;0,(AL15/AL13),"")</f>
        <v>6.8273092369477914E-2</v>
      </c>
      <c r="I27" s="15">
        <f>IF(AO13&gt;0,(AO15/AO13),"")</f>
        <v>8.8105726872246701E-2</v>
      </c>
      <c r="J27" s="15">
        <f>IF(AR13&gt;0,(AR15/AR13),"")</f>
        <v>0.08</v>
      </c>
      <c r="K27" s="15">
        <f>IF(AU13&gt;0,(AU15/AU13),"")</f>
        <v>9.3283582089552244E-2</v>
      </c>
      <c r="L27" s="15">
        <f>IF(AX13&gt;0,(AX15/AX13),"")</f>
        <v>0.12359550561797752</v>
      </c>
      <c r="M27" s="15">
        <f>IF(BA13&gt;0,(BA15/BA13),"")</f>
        <v>8.8652482269503549E-2</v>
      </c>
      <c r="N27" s="15">
        <f>IF(BD13&gt;0,(BD15/BD13),"")</f>
        <v>0.10563380281690141</v>
      </c>
      <c r="O27" s="15">
        <f>IF(BG13&gt;0,(BG15/BG13),"")</f>
        <v>0.11784511784511785</v>
      </c>
      <c r="P27" s="15">
        <f>IF(BJ13&gt;0,(BJ15/BJ13),"")</f>
        <v>0.14432989690721648</v>
      </c>
      <c r="Q27" s="15">
        <f>IF(BM13&gt;0,(BM15/BM13),"")</f>
        <v>0.12286689419795221</v>
      </c>
      <c r="R27" s="15">
        <f>IF(BP13&gt;0,(BP15/BP13),"")</f>
        <v>0.15841584158415842</v>
      </c>
      <c r="S27" s="15">
        <f>IF(BS13&gt;0,(BS15/BS13),"")</f>
        <v>0.12637362637362637</v>
      </c>
      <c r="T27" s="15">
        <f>IF(BV13&gt;0,(BV15/BV13),"")</f>
        <v>0.19630484988452657</v>
      </c>
      <c r="U27" s="15">
        <f>IF(BY13&gt;0,(BY15/BY13),"")</f>
        <v>0.17232375979112272</v>
      </c>
      <c r="V27" s="15">
        <f>IF(CB13&gt;0,(CB15/CB13),"")</f>
        <v>0.25287356321839083</v>
      </c>
      <c r="W27" s="15">
        <f>CE15/CE$13</f>
        <v>0.22774869109947643</v>
      </c>
      <c r="X27" s="15">
        <f>CH15/CH$13</f>
        <v>0.18699186991869918</v>
      </c>
      <c r="Y27" s="15">
        <f>CK15/CK$13</f>
        <v>0.1743119266055046</v>
      </c>
      <c r="Z27" s="15">
        <f>CN15/CN$13</f>
        <v>0.16049382716049382</v>
      </c>
      <c r="AA27" s="15">
        <f t="shared" ref="AA27:AA29" si="67">CQ15/CQ$13</f>
        <v>0.22045454545454546</v>
      </c>
      <c r="AB27" s="50"/>
      <c r="AD27" s="3"/>
      <c r="AE27" s="4"/>
      <c r="CE27" s="16"/>
      <c r="CF27" s="16"/>
      <c r="CG27" s="16"/>
      <c r="CQ27" s="3"/>
    </row>
    <row r="28" spans="1:97" ht="13.5" customHeight="1" x14ac:dyDescent="0.2">
      <c r="A28" s="23"/>
      <c r="B28" s="3"/>
      <c r="D28" s="3"/>
      <c r="E28" s="3" t="s">
        <v>62</v>
      </c>
      <c r="F28" s="18">
        <f>IF(AF13&gt;0,(AF16/AF13),"")</f>
        <v>0.13901345291479822</v>
      </c>
      <c r="G28" s="18">
        <f>IF(AI13&gt;0,(AI16/AI13),"")</f>
        <v>0.19282511210762332</v>
      </c>
      <c r="H28" s="18">
        <f>IF(AL13&gt;0,(AL16/AL13),"")</f>
        <v>0.15662650602409639</v>
      </c>
      <c r="I28" s="18">
        <f>IF(AO13&gt;0,(AO16/AO13),"")</f>
        <v>0.13656387665198239</v>
      </c>
      <c r="J28" s="18">
        <f>IF(AR13&gt;0,(AR16/AR13),"")</f>
        <v>0.20799999999999999</v>
      </c>
      <c r="K28" s="18">
        <f>IF(AU13&gt;0,(AU16/AU13),"")</f>
        <v>0.16791044776119404</v>
      </c>
      <c r="L28" s="18">
        <f>IF(AX13&gt;0,(AX16/AX13),"")</f>
        <v>0.16479400749063669</v>
      </c>
      <c r="M28" s="18">
        <f>IF(BA13&gt;0,(BA16/BA13),"")</f>
        <v>0.16312056737588654</v>
      </c>
      <c r="N28" s="18">
        <f>IF(BD13&gt;0,(BD16/BD13),"")</f>
        <v>0.15845070422535212</v>
      </c>
      <c r="O28" s="18">
        <f>IF(BG13&gt;0,(BG16/BG13),"")</f>
        <v>0.17508417508417509</v>
      </c>
      <c r="P28" s="18">
        <f>IF(BJ13&gt;0,(BJ16/BJ13),"")</f>
        <v>0.13745704467353953</v>
      </c>
      <c r="Q28" s="18">
        <f>IF(BM13&gt;0,(BM16/BM13),"")</f>
        <v>4.778156996587031E-2</v>
      </c>
      <c r="R28" s="18">
        <f>IF(BP13&gt;0,(BP16/BP13),"")</f>
        <v>0.12871287128712872</v>
      </c>
      <c r="S28" s="18">
        <f>IF(BS13&gt;0,(BS16/BS13),"")</f>
        <v>0.12912087912087913</v>
      </c>
      <c r="T28" s="18">
        <f>IF(BV13&gt;0,(BV16/BV13),"")</f>
        <v>7.1593533487297925E-2</v>
      </c>
      <c r="U28" s="18">
        <f>IF(BY13&gt;0,(BY16/BY13),"")</f>
        <v>3.91644908616188E-2</v>
      </c>
      <c r="V28" s="18">
        <f>IF(CB13&gt;0,(CB16/CB13),"")</f>
        <v>0.10057471264367816</v>
      </c>
      <c r="W28" s="18">
        <f t="shared" ref="W28" si="68">CE16/CE$13</f>
        <v>6.8062827225130892E-2</v>
      </c>
      <c r="X28" s="18">
        <f>CH16/CH$13</f>
        <v>7.5880758807588072E-2</v>
      </c>
      <c r="Y28" s="18">
        <f>CK16/CK$13</f>
        <v>9.4036697247706427E-2</v>
      </c>
      <c r="Z28" s="18">
        <f>CN16/CN$13</f>
        <v>7.160493827160494E-2</v>
      </c>
      <c r="AA28" s="18">
        <f t="shared" si="67"/>
        <v>5.6818181818181816E-2</v>
      </c>
      <c r="AB28" s="50"/>
      <c r="AD28" s="3"/>
      <c r="AE28" s="4"/>
      <c r="CE28" s="16"/>
      <c r="CF28" s="16"/>
      <c r="CG28" s="16"/>
      <c r="CQ28" s="3"/>
    </row>
    <row r="29" spans="1:97" ht="13.5" customHeight="1" x14ac:dyDescent="0.2">
      <c r="A29" s="23"/>
      <c r="B29" s="3"/>
      <c r="D29" s="3"/>
      <c r="E29" s="3"/>
      <c r="F29" s="15">
        <f>IF(AF13&gt;0,(AF17/AF13),"")</f>
        <v>0.34080717488789236</v>
      </c>
      <c r="G29" s="15">
        <f>IF(AI13&gt;0,(AI17/AI13),"")</f>
        <v>0.34080717488789236</v>
      </c>
      <c r="H29" s="15">
        <f>IF(AL13&gt;0,(AL17/AL13),"")</f>
        <v>0.2971887550200803</v>
      </c>
      <c r="I29" s="15">
        <f>IF(AO13&gt;0,(AO17/AO13),"")</f>
        <v>0.32599118942731276</v>
      </c>
      <c r="J29" s="15">
        <f>IF(AR13&gt;0,(AR17/AR13),"")</f>
        <v>0.38800000000000001</v>
      </c>
      <c r="K29" s="15">
        <f>IF(AU13&gt;0,(AU17/AU13),"")</f>
        <v>0.38059701492537312</v>
      </c>
      <c r="L29" s="15">
        <f>IF(AX13&gt;0,(AX17/AX13),"")</f>
        <v>0.38951310861423222</v>
      </c>
      <c r="M29" s="15">
        <f>IF(BA13&gt;0,(BA17/BA13),"")</f>
        <v>0.38652482269503546</v>
      </c>
      <c r="N29" s="15">
        <f>IF(BD13&gt;0,(BD17/BD13),"")</f>
        <v>0.42253521126760563</v>
      </c>
      <c r="O29" s="15">
        <f>IF(BG13&gt;0,(BG17/BG13),"")</f>
        <v>0.44444444444444442</v>
      </c>
      <c r="P29" s="15">
        <f>IF(BJ13&gt;0,(BJ17/BJ13),"")</f>
        <v>0.40549828178694158</v>
      </c>
      <c r="Q29" s="15">
        <f>IF(BM13&gt;0,(BM17/BM13),"")</f>
        <v>0.39590443686006827</v>
      </c>
      <c r="R29" s="15">
        <f>IF(BP13&gt;0,(BP17/BP13),"")</f>
        <v>0.43564356435643564</v>
      </c>
      <c r="S29" s="15">
        <f>IF(BS13&gt;0,(BS17/BS13),"")</f>
        <v>0.40109890109890112</v>
      </c>
      <c r="T29" s="15">
        <f>IF(BV13&gt;0,(BV17/BV13),"")</f>
        <v>0.42956120092378752</v>
      </c>
      <c r="U29" s="15">
        <f>IF(BY13&gt;0,(BY17/BY13),"")</f>
        <v>0.46214099216710181</v>
      </c>
      <c r="V29" s="15">
        <f>IF(CB13&gt;0,(CB17/CB13),"")</f>
        <v>0.52873563218390807</v>
      </c>
      <c r="W29" s="15">
        <f>CE17/CE$13</f>
        <v>0.48691099476439792</v>
      </c>
      <c r="X29" s="15">
        <f>CH17/CH$13</f>
        <v>0.43360433604336046</v>
      </c>
      <c r="Y29" s="15">
        <f>CK17/CK$13</f>
        <v>0.48623853211009177</v>
      </c>
      <c r="Z29" s="15">
        <f>CN17/CN$13</f>
        <v>0.49876543209876545</v>
      </c>
      <c r="AA29" s="15">
        <f t="shared" si="67"/>
        <v>0.48409090909090907</v>
      </c>
      <c r="AB29" s="50"/>
      <c r="AD29" s="3"/>
      <c r="AE29" s="4"/>
      <c r="CE29" s="16"/>
      <c r="CF29" s="16"/>
      <c r="CG29" s="16"/>
      <c r="CQ29" s="3"/>
    </row>
    <row r="30" spans="1:97" ht="13.5" customHeight="1" x14ac:dyDescent="0.2">
      <c r="A30" s="23"/>
      <c r="B30" s="3"/>
      <c r="C30" s="4" t="s">
        <v>26</v>
      </c>
      <c r="D30" s="3"/>
      <c r="E30" s="3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4"/>
      <c r="X30" s="14"/>
      <c r="Y30" s="14"/>
      <c r="Z30" s="14"/>
      <c r="AA30" s="14"/>
      <c r="AB30" s="50"/>
      <c r="AD30" s="3"/>
      <c r="AE30" s="4"/>
      <c r="CE30" s="16"/>
      <c r="CF30" s="16"/>
      <c r="CG30" s="16"/>
      <c r="CQ30" s="3"/>
    </row>
    <row r="31" spans="1:97" ht="13.5" customHeight="1" x14ac:dyDescent="0.2">
      <c r="A31" s="23"/>
      <c r="B31" s="3"/>
      <c r="D31" s="3" t="s">
        <v>65</v>
      </c>
      <c r="E31" s="3"/>
      <c r="F31" s="11">
        <f>AG13</f>
        <v>271</v>
      </c>
      <c r="G31" s="11">
        <f>AJ13</f>
        <v>256</v>
      </c>
      <c r="H31" s="11">
        <f>AM13</f>
        <v>266</v>
      </c>
      <c r="I31" s="11">
        <f>AP13</f>
        <v>277</v>
      </c>
      <c r="J31" s="11">
        <f>AS13</f>
        <v>318</v>
      </c>
      <c r="K31" s="11">
        <f>AV13</f>
        <v>299</v>
      </c>
      <c r="L31" s="11">
        <f>AY13</f>
        <v>321</v>
      </c>
      <c r="M31" s="11">
        <f>BB13</f>
        <v>336</v>
      </c>
      <c r="N31" s="11">
        <f>BE13</f>
        <v>356</v>
      </c>
      <c r="O31" s="11">
        <f>BH13</f>
        <v>391</v>
      </c>
      <c r="P31" s="11">
        <f>BK13</f>
        <v>445</v>
      </c>
      <c r="Q31" s="11">
        <f>BN13</f>
        <v>454</v>
      </c>
      <c r="R31" s="11">
        <f>BQ13</f>
        <v>455</v>
      </c>
      <c r="S31" s="11">
        <f>BT13</f>
        <v>540</v>
      </c>
      <c r="T31" s="11">
        <f>BW13</f>
        <v>574</v>
      </c>
      <c r="U31" s="11">
        <f>BZ13</f>
        <v>545</v>
      </c>
      <c r="V31" s="11">
        <f>CC13</f>
        <v>568</v>
      </c>
      <c r="W31" s="11">
        <f>CF13</f>
        <v>589</v>
      </c>
      <c r="X31" s="11">
        <f>CI13</f>
        <v>610</v>
      </c>
      <c r="Y31" s="11">
        <f>CL13</f>
        <v>673</v>
      </c>
      <c r="Z31" s="11">
        <f>CO13</f>
        <v>707</v>
      </c>
      <c r="AA31" s="11">
        <f>CR13</f>
        <v>661</v>
      </c>
      <c r="AB31" s="50"/>
      <c r="AD31" s="3"/>
      <c r="AE31" s="4"/>
      <c r="CE31" s="16"/>
      <c r="CF31" s="16"/>
      <c r="CG31" s="16"/>
      <c r="CQ31" s="3"/>
    </row>
    <row r="32" spans="1:97" ht="13.5" customHeight="1" x14ac:dyDescent="0.2">
      <c r="A32" s="23"/>
      <c r="B32" s="3"/>
      <c r="D32" s="15" t="s">
        <v>59</v>
      </c>
      <c r="E32" s="3" t="s">
        <v>60</v>
      </c>
      <c r="F32" s="15">
        <f>IF(AG13&gt;0,(AG14/AG13),"")</f>
        <v>0.1070110701107011</v>
      </c>
      <c r="G32" s="15">
        <f>IF(AJ13&gt;0,(AJ14/AJ13),"")</f>
        <v>0.11328125</v>
      </c>
      <c r="H32" s="15">
        <f>IF(AM13&gt;0,(AM14/AM13),"")</f>
        <v>0.13157894736842105</v>
      </c>
      <c r="I32" s="15">
        <f>IF(AP13&gt;0,(AP14/AP13),"")</f>
        <v>0.1444043321299639</v>
      </c>
      <c r="J32" s="15">
        <f>IF(AS13&gt;0,(AS14/AS13),"")</f>
        <v>0.14150943396226415</v>
      </c>
      <c r="K32" s="15">
        <f>IF(AV13&gt;0,(AV14/AV13),"")</f>
        <v>0.17725752508361203</v>
      </c>
      <c r="L32" s="15">
        <f>IF(AY13&gt;0,(AY14/AY13),"")</f>
        <v>0.16199376947040497</v>
      </c>
      <c r="M32" s="15">
        <f>IF(BB13&gt;0,(BB14/BB13),"")</f>
        <v>0.22321428571428573</v>
      </c>
      <c r="N32" s="15">
        <f>IF(BE13&gt;0,(BE14/BE13),"")</f>
        <v>0.16573033707865167</v>
      </c>
      <c r="O32" s="15">
        <f>IF(BH13&gt;0,(BH14/BH13),"")</f>
        <v>0.19437340153452684</v>
      </c>
      <c r="P32" s="15">
        <f>IF(BK13&gt;0,(BK14/BK13),"")</f>
        <v>0.15730337078651685</v>
      </c>
      <c r="Q32" s="15">
        <f>IF(BN13&gt;0,(BN14/BN13),"")</f>
        <v>0.28854625550660795</v>
      </c>
      <c r="R32" s="15">
        <f>IF(BQ13&gt;0,(BQ14/BQ13),"")</f>
        <v>0.23076923076923078</v>
      </c>
      <c r="S32" s="15">
        <f>IF(BT13&gt;0,(BT14/BT13),"")</f>
        <v>0.2388888888888889</v>
      </c>
      <c r="T32" s="15">
        <f>IF(BW13&gt;0,(BW14/BW13),"")</f>
        <v>0.21777003484320556</v>
      </c>
      <c r="U32" s="15">
        <f>IF(BZ13&gt;0,(BZ14/BZ13),"")</f>
        <v>0.28990825688073396</v>
      </c>
      <c r="V32" s="15">
        <f>IF(CC13&gt;0,(CC14/CC13),"")</f>
        <v>0.23415492957746478</v>
      </c>
      <c r="W32" s="15">
        <f>CF14/CF$13</f>
        <v>0.26825127334465193</v>
      </c>
      <c r="X32" s="15">
        <f>CI14/CI$13</f>
        <v>0.27377049180327867</v>
      </c>
      <c r="Y32" s="15">
        <f>CL14/CL$13</f>
        <v>0.23625557206537889</v>
      </c>
      <c r="Z32" s="15">
        <f>CO14/CO$13</f>
        <v>0.25742574257425743</v>
      </c>
      <c r="AA32" s="15">
        <f>CR14/CR$13</f>
        <v>0.26323751891074132</v>
      </c>
      <c r="AB32" s="50"/>
      <c r="AD32" s="3"/>
      <c r="AE32" s="4"/>
      <c r="CE32" s="16"/>
      <c r="CF32" s="16"/>
      <c r="CG32" s="16"/>
      <c r="CQ32" s="3"/>
    </row>
    <row r="33" spans="1:95" ht="13.5" customHeight="1" x14ac:dyDescent="0.2">
      <c r="A33" s="23"/>
      <c r="B33" s="3"/>
      <c r="D33" s="3"/>
      <c r="E33" s="3" t="s">
        <v>61</v>
      </c>
      <c r="F33" s="15">
        <f>IF(AG13&gt;0,(AG15/AG13),"")</f>
        <v>0.11070110701107011</v>
      </c>
      <c r="G33" s="15">
        <f>IF(AJ13&gt;0,(AJ15/AJ13),"")</f>
        <v>0.11328125</v>
      </c>
      <c r="H33" s="15">
        <f>IF(AM13&gt;0,(AM15/AM13),"")</f>
        <v>0.11654135338345864</v>
      </c>
      <c r="I33" s="15">
        <f>IF(AP13&gt;0,(AP15/AP13),"")</f>
        <v>0.10108303249097472</v>
      </c>
      <c r="J33" s="15">
        <f>IF(AS13&gt;0,(AS15/AS13),"")</f>
        <v>0.1069182389937107</v>
      </c>
      <c r="K33" s="15">
        <f>IF(AV13&gt;0,(AV15/AV13),"")</f>
        <v>0.12709030100334448</v>
      </c>
      <c r="L33" s="15">
        <f>IF(AY13&gt;0,(AY15/AY13),"")</f>
        <v>0.11214953271028037</v>
      </c>
      <c r="M33" s="15">
        <f>IF(BB13&gt;0,(BB15/BB13),"")</f>
        <v>0.11904761904761904</v>
      </c>
      <c r="N33" s="15">
        <f>IF(BE13&gt;0,(BE15/BE13),"")</f>
        <v>0.1601123595505618</v>
      </c>
      <c r="O33" s="15">
        <f>IF(BH13&gt;0,(BH15/BH13),"")</f>
        <v>0.13043478260869565</v>
      </c>
      <c r="P33" s="15">
        <f>IF(BK13&gt;0,(BK15/BK13),"")</f>
        <v>0.1303370786516854</v>
      </c>
      <c r="Q33" s="15">
        <f>IF(BN13&gt;0,(BN15/BN13),"")</f>
        <v>0.13215859030837004</v>
      </c>
      <c r="R33" s="15">
        <f>IF(BQ13&gt;0,(BQ15/BQ13),"")</f>
        <v>0.11648351648351649</v>
      </c>
      <c r="S33" s="15">
        <f>IF(BT13&gt;0,(BT15/BT13),"")</f>
        <v>0.14444444444444443</v>
      </c>
      <c r="T33" s="15">
        <f>IF(BW13&gt;0,(BW15/BW13),"")</f>
        <v>0.1672473867595819</v>
      </c>
      <c r="U33" s="15">
        <f>IF(BZ13&gt;0,(BZ15/BZ13),"")</f>
        <v>0.15596330275229359</v>
      </c>
      <c r="V33" s="15">
        <f>IF(CC13&gt;0,(CC15/CC13),"")</f>
        <v>0.18661971830985916</v>
      </c>
      <c r="W33" s="15">
        <f t="shared" ref="W33:W34" si="69">CF15/CF$13</f>
        <v>0.17996604414261461</v>
      </c>
      <c r="X33" s="15">
        <f>CI15/CI$13</f>
        <v>0.19836065573770492</v>
      </c>
      <c r="Y33" s="15">
        <f>CL15/CL$13</f>
        <v>0.17087667161961367</v>
      </c>
      <c r="Z33" s="15">
        <f>CO15/CO$13</f>
        <v>0.16124469589816123</v>
      </c>
      <c r="AA33" s="15">
        <f>CR15/CR$13</f>
        <v>0.19515885022692889</v>
      </c>
      <c r="AB33" s="50"/>
      <c r="AD33" s="3"/>
      <c r="AE33" s="4"/>
      <c r="CE33" s="16"/>
      <c r="CF33" s="16"/>
      <c r="CG33" s="16"/>
      <c r="CQ33" s="3"/>
    </row>
    <row r="34" spans="1:95" ht="13.5" customHeight="1" x14ac:dyDescent="0.2">
      <c r="A34" s="23"/>
      <c r="B34" s="3"/>
      <c r="D34" s="3"/>
      <c r="E34" s="3" t="s">
        <v>62</v>
      </c>
      <c r="F34" s="18">
        <f>IF(AG13&gt;0,(AG16/AG13),"")</f>
        <v>0.16974169741697417</v>
      </c>
      <c r="G34" s="18">
        <f>IF(AJ13&gt;0,(AJ16/AJ13),"")</f>
        <v>0.20703125</v>
      </c>
      <c r="H34" s="18">
        <f>IF(AM13&gt;0,(AM16/AM13),"")</f>
        <v>0.20300751879699247</v>
      </c>
      <c r="I34" s="18">
        <f>IF(AP13&gt;0,(AP16/AP13),"")</f>
        <v>0.19855595667870035</v>
      </c>
      <c r="J34" s="18">
        <f>IF(AS13&gt;0,(AS16/AS13),"")</f>
        <v>0.14465408805031446</v>
      </c>
      <c r="K34" s="18">
        <f>IF(AV13&gt;0,(AV16/AV13),"")</f>
        <v>0.21070234113712374</v>
      </c>
      <c r="L34" s="18">
        <f>IF(AY13&gt;0,(AY16/AY13),"")</f>
        <v>0.14953271028037382</v>
      </c>
      <c r="M34" s="18">
        <f>IF(BB13&gt;0,(BB16/BB13),"")</f>
        <v>0.14880952380952381</v>
      </c>
      <c r="N34" s="18">
        <f>IF(BE13&gt;0,(BE16/BE13),"")</f>
        <v>0.1544943820224719</v>
      </c>
      <c r="O34" s="18">
        <f>IF(BH13&gt;0,(BH16/BH13),"")</f>
        <v>0.13554987212276215</v>
      </c>
      <c r="P34" s="18">
        <f>IF(BK13&gt;0,(BK16/BK13),"")</f>
        <v>0.15280898876404495</v>
      </c>
      <c r="Q34" s="18">
        <f>IF(BN13&gt;0,(BN16/BN13),"")</f>
        <v>5.0660792951541848E-2</v>
      </c>
      <c r="R34" s="18">
        <f>IF(BQ13&gt;0,(BQ16/BQ13),"")</f>
        <v>0.10329670329670329</v>
      </c>
      <c r="S34" s="18">
        <f>IF(BT13&gt;0,(BT16/BT13),"")</f>
        <v>0.11296296296296296</v>
      </c>
      <c r="T34" s="18">
        <f>IF(BW13&gt;0,(BW16/BW13),"")</f>
        <v>5.4006968641114983E-2</v>
      </c>
      <c r="U34" s="18">
        <f>IF(BZ13&gt;0,(BZ16/BZ13),"")</f>
        <v>3.8532110091743121E-2</v>
      </c>
      <c r="V34" s="18">
        <f>IF(CC13&gt;0,(CC16/CC13),"")</f>
        <v>8.2746478873239437E-2</v>
      </c>
      <c r="W34" s="18">
        <f t="shared" si="69"/>
        <v>9.6774193548387094E-2</v>
      </c>
      <c r="X34" s="18">
        <f>CI16/CI$13</f>
        <v>6.8852459016393447E-2</v>
      </c>
      <c r="Y34" s="18">
        <f>CL16/CL$13</f>
        <v>7.8751857355126298E-2</v>
      </c>
      <c r="Z34" s="18">
        <f>CO16/CO$13</f>
        <v>5.7991513437057989E-2</v>
      </c>
      <c r="AA34" s="18">
        <f t="shared" ref="AA34" si="70">CR16/CR$13</f>
        <v>3.3282904689863842E-2</v>
      </c>
      <c r="AB34" s="50"/>
      <c r="AD34" s="3"/>
      <c r="AE34" s="4"/>
      <c r="CE34" s="16"/>
      <c r="CF34" s="16"/>
      <c r="CG34" s="16"/>
      <c r="CQ34" s="3"/>
    </row>
    <row r="35" spans="1:95" ht="13.5" customHeight="1" x14ac:dyDescent="0.2">
      <c r="A35" s="23"/>
      <c r="B35" s="3"/>
      <c r="D35" s="3"/>
      <c r="E35" s="3"/>
      <c r="F35" s="15">
        <f>IF(AG13&gt;0,(AG17/AG13),"")</f>
        <v>0.38745387453874541</v>
      </c>
      <c r="G35" s="15">
        <f>IF(AJ13&gt;0,(AJ17/AJ13),"")</f>
        <v>0.43359375</v>
      </c>
      <c r="H35" s="15">
        <f>IF(AM13&gt;0,(AM17/AM13),"")</f>
        <v>0.45112781954887216</v>
      </c>
      <c r="I35" s="15">
        <f>IF(AP13&gt;0,(AP17/AP13),"")</f>
        <v>0.44404332129963897</v>
      </c>
      <c r="J35" s="15">
        <f>IF(AS13&gt;0,(AS17/AS13),"")</f>
        <v>0.39308176100628933</v>
      </c>
      <c r="K35" s="15">
        <f>IF(AV13&gt;0,(AV17/AV13),"")</f>
        <v>0.51505016722408026</v>
      </c>
      <c r="L35" s="15">
        <f>IF(AY13&gt;0,(AY17/AY13),"")</f>
        <v>0.42367601246105918</v>
      </c>
      <c r="M35" s="15">
        <f>IF(BB13&gt;0,(BB17/BB13),"")</f>
        <v>0.49107142857142855</v>
      </c>
      <c r="N35" s="15">
        <f>IF(BE13&gt;0,(BE17/BE13),"")</f>
        <v>0.4803370786516854</v>
      </c>
      <c r="O35" s="15">
        <f>IF(BH13&gt;0,(BH17/BH13),"")</f>
        <v>0.46035805626598464</v>
      </c>
      <c r="P35" s="15">
        <f>IF(BK13&gt;0,(BK17/BK13),"")</f>
        <v>0.44044943820224719</v>
      </c>
      <c r="Q35" s="15">
        <f>IF(BN13&gt;0,(BN17/BN13),"")</f>
        <v>0.47136563876651982</v>
      </c>
      <c r="R35" s="15">
        <f>IF(BQ13&gt;0,(BQ17/BQ13),"")</f>
        <v>0.45054945054945056</v>
      </c>
      <c r="S35" s="15">
        <f>IF(BT13&gt;0,(BT17/BT13),"")</f>
        <v>0.49629629629629629</v>
      </c>
      <c r="T35" s="15">
        <f>IF(BW13&gt;0,(BW17/BW13),"")</f>
        <v>0.43902439024390244</v>
      </c>
      <c r="U35" s="15">
        <f>IF(BZ13&gt;0,(BZ17/BZ13),"")</f>
        <v>0.48440366972477067</v>
      </c>
      <c r="V35" s="15">
        <f>IF(CC13&gt;0,(CC17/CC13),"")</f>
        <v>0.50352112676056338</v>
      </c>
      <c r="W35" s="15">
        <f>CF17/CF$13</f>
        <v>0.54499151103565369</v>
      </c>
      <c r="X35" s="15">
        <f>CI17/CI$13</f>
        <v>0.54098360655737709</v>
      </c>
      <c r="Y35" s="15">
        <f>CL17/CL$13</f>
        <v>0.48588410104011887</v>
      </c>
      <c r="Z35" s="15">
        <f>CO17/CO$13</f>
        <v>0.47666195190947669</v>
      </c>
      <c r="AA35" s="15">
        <f>CR17/CR$13</f>
        <v>0.49167927382753401</v>
      </c>
      <c r="AB35" s="50"/>
      <c r="AD35" s="3"/>
      <c r="AE35" s="4"/>
      <c r="CE35" s="16"/>
      <c r="CF35" s="16"/>
      <c r="CG35" s="16"/>
      <c r="CQ35" s="3"/>
    </row>
    <row r="36" spans="1:95" ht="13.5" customHeight="1" thickBot="1" x14ac:dyDescent="0.25">
      <c r="A36" s="23"/>
      <c r="B36" s="5"/>
      <c r="C36" s="5"/>
      <c r="D36" s="5"/>
      <c r="E36" s="5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3"/>
      <c r="AA36" s="3"/>
      <c r="AB36" s="50"/>
      <c r="AD36" s="3"/>
      <c r="BG36" s="1"/>
      <c r="BH36" s="19"/>
      <c r="BI36" s="19"/>
      <c r="BJ36" s="1"/>
      <c r="BK36" s="19"/>
      <c r="BL36" s="19"/>
      <c r="BM36" s="1"/>
      <c r="BN36" s="19"/>
      <c r="BO36" s="19"/>
      <c r="BP36" s="1"/>
      <c r="BQ36" s="19"/>
      <c r="BR36" s="19"/>
      <c r="BS36" s="1"/>
      <c r="BT36" s="19"/>
      <c r="BU36" s="19"/>
      <c r="BV36" s="1"/>
      <c r="BW36" s="19"/>
      <c r="BX36" s="19"/>
      <c r="CF36" s="19"/>
      <c r="CG36" s="19"/>
    </row>
    <row r="37" spans="1:95" ht="13.5" customHeight="1" thickTop="1" x14ac:dyDescent="0.2">
      <c r="A37" s="23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5" t="s">
        <v>70</v>
      </c>
      <c r="P37" s="35" t="s">
        <v>69</v>
      </c>
      <c r="Q37" s="35" t="s">
        <v>40</v>
      </c>
      <c r="R37" s="35" t="s">
        <v>39</v>
      </c>
      <c r="S37" s="35" t="s">
        <v>38</v>
      </c>
      <c r="T37" s="35" t="s">
        <v>37</v>
      </c>
      <c r="U37" s="35" t="s">
        <v>36</v>
      </c>
      <c r="V37" s="35" t="s">
        <v>34</v>
      </c>
      <c r="W37" s="35" t="s">
        <v>33</v>
      </c>
      <c r="X37" s="35" t="s">
        <v>32</v>
      </c>
      <c r="Y37" s="35" t="s">
        <v>31</v>
      </c>
      <c r="Z37" s="3"/>
      <c r="AA37" s="3"/>
      <c r="AB37" s="24"/>
      <c r="AV37" s="61"/>
      <c r="AW37" s="61"/>
      <c r="AY37" s="61"/>
      <c r="AZ37" s="61"/>
      <c r="BB37" s="61"/>
      <c r="BC37" s="61"/>
      <c r="BE37" s="61"/>
      <c r="BF37" s="61"/>
      <c r="BG37" s="81" t="s">
        <v>50</v>
      </c>
      <c r="BH37" s="81"/>
      <c r="BI37" s="81"/>
      <c r="BJ37" s="81" t="s">
        <v>51</v>
      </c>
      <c r="BK37" s="81"/>
      <c r="BL37" s="81"/>
      <c r="BM37" s="81" t="s">
        <v>52</v>
      </c>
      <c r="BN37" s="81"/>
      <c r="BO37" s="81"/>
      <c r="BP37" s="81" t="s">
        <v>53</v>
      </c>
      <c r="BQ37" s="81"/>
      <c r="BR37" s="81"/>
      <c r="BS37" s="81" t="s">
        <v>54</v>
      </c>
      <c r="BT37" s="81"/>
      <c r="BU37" s="81"/>
      <c r="BV37" s="81" t="s">
        <v>55</v>
      </c>
      <c r="BW37" s="81"/>
      <c r="BX37" s="81"/>
      <c r="BY37" s="81" t="s">
        <v>56</v>
      </c>
      <c r="BZ37" s="81"/>
      <c r="CA37" s="81"/>
      <c r="CB37" s="81" t="s">
        <v>27</v>
      </c>
      <c r="CC37" s="81"/>
      <c r="CD37" s="81"/>
      <c r="CE37" s="81" t="s">
        <v>91</v>
      </c>
      <c r="CF37" s="81"/>
      <c r="CG37" s="81"/>
      <c r="CH37" s="81" t="s">
        <v>98</v>
      </c>
      <c r="CI37" s="81"/>
      <c r="CJ37" s="81"/>
      <c r="CK37" s="81" t="s">
        <v>102</v>
      </c>
      <c r="CL37" s="81"/>
      <c r="CM37" s="81"/>
    </row>
    <row r="38" spans="1:95" ht="13.5" customHeight="1" x14ac:dyDescent="0.2">
      <c r="A38" s="23"/>
      <c r="B38" s="4"/>
      <c r="C38" s="4"/>
      <c r="D38" s="4"/>
      <c r="E38" s="4"/>
      <c r="F38" s="3"/>
      <c r="G38" s="3"/>
      <c r="H38" s="3"/>
      <c r="I38" s="3"/>
      <c r="J38" s="3"/>
      <c r="K38" s="3"/>
      <c r="L38" s="3"/>
      <c r="M38" s="3"/>
      <c r="N38" s="3"/>
      <c r="O38" s="35" t="s">
        <v>35</v>
      </c>
      <c r="P38" s="35" t="s">
        <v>35</v>
      </c>
      <c r="Q38" s="35" t="s">
        <v>35</v>
      </c>
      <c r="R38" s="35" t="s">
        <v>35</v>
      </c>
      <c r="S38" s="35" t="s">
        <v>35</v>
      </c>
      <c r="T38" s="35" t="s">
        <v>35</v>
      </c>
      <c r="U38" s="35" t="s">
        <v>35</v>
      </c>
      <c r="V38" s="35" t="s">
        <v>35</v>
      </c>
      <c r="W38" s="35" t="s">
        <v>35</v>
      </c>
      <c r="X38" s="35" t="s">
        <v>35</v>
      </c>
      <c r="Y38" s="35" t="s">
        <v>35</v>
      </c>
      <c r="Z38" s="3"/>
      <c r="AA38" s="3"/>
      <c r="AB38" s="24"/>
      <c r="AC38" s="3"/>
      <c r="AD38" s="3"/>
      <c r="AV38" s="61"/>
      <c r="AW38" s="61"/>
      <c r="AY38" s="61"/>
      <c r="AZ38" s="61"/>
      <c r="BB38" s="61"/>
      <c r="BC38" s="61"/>
      <c r="BE38" s="61"/>
      <c r="BF38" s="61"/>
      <c r="BG38" s="81" t="s">
        <v>12</v>
      </c>
      <c r="BH38" s="81"/>
      <c r="BI38" s="81"/>
      <c r="BJ38" s="81" t="s">
        <v>13</v>
      </c>
      <c r="BK38" s="81"/>
      <c r="BL38" s="81"/>
      <c r="BM38" s="81" t="s">
        <v>14</v>
      </c>
      <c r="BN38" s="81"/>
      <c r="BO38" s="81"/>
      <c r="BP38" s="81" t="s">
        <v>15</v>
      </c>
      <c r="BQ38" s="81"/>
      <c r="BR38" s="81"/>
      <c r="BS38" s="81" t="s">
        <v>16</v>
      </c>
      <c r="BT38" s="81"/>
      <c r="BU38" s="81"/>
      <c r="BV38" s="81" t="s">
        <v>17</v>
      </c>
      <c r="BW38" s="81"/>
      <c r="BX38" s="81"/>
      <c r="BY38" s="81" t="s">
        <v>92</v>
      </c>
      <c r="BZ38" s="81"/>
      <c r="CA38" s="81"/>
      <c r="CB38" s="81" t="s">
        <v>99</v>
      </c>
      <c r="CC38" s="81"/>
      <c r="CD38" s="81"/>
      <c r="CE38" s="81" t="s">
        <v>101</v>
      </c>
      <c r="CF38" s="81"/>
      <c r="CG38" s="81"/>
      <c r="CH38" s="81" t="s">
        <v>104</v>
      </c>
      <c r="CI38" s="81"/>
      <c r="CJ38" s="81"/>
      <c r="CK38" s="81" t="s">
        <v>108</v>
      </c>
      <c r="CL38" s="81"/>
      <c r="CM38" s="81"/>
    </row>
    <row r="39" spans="1:95" ht="13.5" customHeight="1" x14ac:dyDescent="0.2">
      <c r="A39" s="23"/>
      <c r="B39" s="6"/>
      <c r="C39" s="6"/>
      <c r="D39" s="6"/>
      <c r="E39" s="6"/>
      <c r="F39" s="3"/>
      <c r="G39" s="3"/>
      <c r="H39" s="3"/>
      <c r="I39" s="3"/>
      <c r="J39" s="3"/>
      <c r="K39" s="3"/>
      <c r="L39" s="3"/>
      <c r="M39" s="3"/>
      <c r="N39" s="3"/>
      <c r="O39" s="31" t="s">
        <v>33</v>
      </c>
      <c r="P39" s="31" t="s">
        <v>32</v>
      </c>
      <c r="Q39" s="31" t="s">
        <v>31</v>
      </c>
      <c r="R39" s="31" t="s">
        <v>30</v>
      </c>
      <c r="S39" s="31" t="s">
        <v>29</v>
      </c>
      <c r="T39" s="31" t="s">
        <v>28</v>
      </c>
      <c r="U39" s="31" t="s">
        <v>90</v>
      </c>
      <c r="V39" s="31" t="s">
        <v>97</v>
      </c>
      <c r="W39" s="31" t="s">
        <v>100</v>
      </c>
      <c r="X39" s="31" t="s">
        <v>100</v>
      </c>
      <c r="Y39" s="31" t="s">
        <v>100</v>
      </c>
      <c r="Z39" s="3"/>
      <c r="AA39" s="3"/>
      <c r="AB39" s="49"/>
      <c r="AC39" s="7"/>
      <c r="AD39" s="7"/>
      <c r="AE39" s="3"/>
      <c r="AV39" s="61"/>
      <c r="AW39" s="61"/>
      <c r="AY39" s="61"/>
      <c r="AZ39" s="61"/>
      <c r="BB39" s="61"/>
      <c r="BC39" s="61"/>
      <c r="BE39" s="61"/>
      <c r="BF39" s="61"/>
      <c r="BG39" s="35"/>
      <c r="BH39" s="35"/>
      <c r="BI39" s="35" t="s">
        <v>18</v>
      </c>
      <c r="BJ39" s="35"/>
      <c r="BK39" s="35"/>
      <c r="BL39" s="35" t="s">
        <v>18</v>
      </c>
      <c r="BM39" s="35"/>
      <c r="BN39" s="35"/>
      <c r="BO39" s="35" t="s">
        <v>18</v>
      </c>
      <c r="BP39" s="35"/>
      <c r="BQ39" s="35"/>
      <c r="BR39" s="35" t="s">
        <v>18</v>
      </c>
      <c r="BS39" s="35"/>
      <c r="BT39" s="35"/>
      <c r="BU39" s="35" t="s">
        <v>18</v>
      </c>
      <c r="BV39" s="35"/>
      <c r="BW39" s="35"/>
      <c r="BX39" s="35" t="s">
        <v>18</v>
      </c>
      <c r="BY39" s="35"/>
      <c r="BZ39" s="35"/>
      <c r="CA39" s="35" t="s">
        <v>18</v>
      </c>
      <c r="CB39" s="35"/>
      <c r="CC39" s="35"/>
      <c r="CD39" s="35" t="s">
        <v>18</v>
      </c>
      <c r="CE39" s="35"/>
      <c r="CF39" s="35"/>
      <c r="CG39" s="35" t="s">
        <v>18</v>
      </c>
      <c r="CH39" s="35"/>
      <c r="CI39" s="35"/>
      <c r="CJ39" s="35" t="s">
        <v>18</v>
      </c>
      <c r="CK39" s="35"/>
      <c r="CL39" s="35"/>
      <c r="CM39" s="35" t="s">
        <v>18</v>
      </c>
    </row>
    <row r="40" spans="1:95" ht="13.5" customHeight="1" x14ac:dyDescent="0.2">
      <c r="A40" s="2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24"/>
      <c r="AE40" s="7"/>
      <c r="AF40" s="60"/>
      <c r="AG40" s="60"/>
      <c r="AH40" s="60"/>
      <c r="AI40" s="60"/>
      <c r="AJ40" s="60"/>
      <c r="AK40" s="60"/>
      <c r="AL40" s="60"/>
      <c r="AM40" s="60"/>
      <c r="BG40" s="1"/>
      <c r="BH40" s="19"/>
      <c r="BI40" s="19"/>
      <c r="BJ40" s="1"/>
      <c r="BK40" s="19"/>
      <c r="BL40" s="19"/>
      <c r="BM40" s="1"/>
      <c r="BN40" s="19"/>
      <c r="BO40" s="19"/>
      <c r="BP40" s="1"/>
      <c r="BQ40" s="19"/>
      <c r="BR40" s="19"/>
      <c r="BS40" s="1"/>
      <c r="BT40" s="19"/>
      <c r="BU40" s="19"/>
      <c r="BV40" s="1"/>
      <c r="BW40" s="19"/>
      <c r="BX40" s="19"/>
      <c r="CF40" s="19"/>
      <c r="CG40" s="19"/>
      <c r="CI40" s="19"/>
      <c r="CJ40" s="19"/>
      <c r="CL40" s="19"/>
      <c r="CM40" s="19"/>
    </row>
    <row r="41" spans="1:95" ht="13.5" customHeight="1" x14ac:dyDescent="0.2">
      <c r="A41" s="23"/>
      <c r="B41" s="46" t="s">
        <v>23</v>
      </c>
      <c r="C41" s="46"/>
      <c r="D41" s="46"/>
      <c r="E41" s="57"/>
      <c r="F41" s="54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24"/>
      <c r="AF41" s="60"/>
      <c r="AG41" s="60"/>
      <c r="AH41" s="60"/>
      <c r="AI41" s="60"/>
      <c r="AJ41" s="60"/>
      <c r="AK41" s="60"/>
      <c r="AL41" s="60"/>
      <c r="AM41" s="60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CF41" s="19"/>
      <c r="CG41" s="19"/>
      <c r="CI41" s="19"/>
      <c r="CJ41" s="19"/>
      <c r="CL41" s="19"/>
      <c r="CM41" s="19"/>
    </row>
    <row r="42" spans="1:95" ht="13.5" customHeight="1" x14ac:dyDescent="0.25">
      <c r="A42" s="23"/>
      <c r="B42" s="3"/>
      <c r="C42" s="4" t="s">
        <v>19</v>
      </c>
      <c r="D42" s="3"/>
      <c r="E42" s="3"/>
      <c r="F42" s="10"/>
      <c r="G42" s="10"/>
      <c r="H42" s="10"/>
      <c r="I42" s="10"/>
      <c r="J42" s="10"/>
      <c r="K42" s="10"/>
      <c r="L42" s="10"/>
      <c r="M42" s="10"/>
      <c r="N42" s="42"/>
      <c r="O42" s="42"/>
      <c r="P42" s="42"/>
      <c r="Q42" s="42"/>
      <c r="R42" s="42"/>
      <c r="S42" s="42"/>
      <c r="T42" s="42"/>
      <c r="U42" s="42"/>
      <c r="V42" s="73"/>
      <c r="W42" s="73"/>
      <c r="X42" s="73"/>
      <c r="Y42" s="73"/>
      <c r="Z42" s="73"/>
      <c r="AA42" s="73"/>
      <c r="AB42" s="48"/>
      <c r="AF42" s="82" t="s">
        <v>19</v>
      </c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</row>
    <row r="43" spans="1:95" ht="13.5" customHeight="1" x14ac:dyDescent="0.2">
      <c r="A43" s="23"/>
      <c r="D43" s="3" t="s">
        <v>64</v>
      </c>
      <c r="E43" s="3"/>
      <c r="F43" s="3"/>
      <c r="G43" s="3"/>
      <c r="H43" s="26"/>
      <c r="I43" s="3"/>
      <c r="J43" s="3"/>
      <c r="K43" s="3"/>
      <c r="L43" s="3"/>
      <c r="M43" s="3"/>
      <c r="N43" s="3"/>
      <c r="O43" s="11">
        <f>BI43</f>
        <v>688</v>
      </c>
      <c r="P43" s="11">
        <f>BL43</f>
        <v>733</v>
      </c>
      <c r="Q43" s="11">
        <f>BO43</f>
        <v>745</v>
      </c>
      <c r="R43" s="11">
        <f>BR43</f>
        <v>758</v>
      </c>
      <c r="S43" s="11">
        <f>BU43</f>
        <v>902</v>
      </c>
      <c r="T43" s="11">
        <f>BX43</f>
        <v>1006</v>
      </c>
      <c r="U43" s="11">
        <f>CA43</f>
        <v>928</v>
      </c>
      <c r="V43" s="11">
        <f>CD43</f>
        <v>916</v>
      </c>
      <c r="W43" s="11">
        <f>CG43</f>
        <v>971</v>
      </c>
      <c r="X43" s="11">
        <f>CJ43</f>
        <v>978</v>
      </c>
      <c r="Y43" s="11">
        <f>CM43</f>
        <v>1109</v>
      </c>
      <c r="Z43" s="3"/>
      <c r="AA43" s="3"/>
      <c r="AB43" s="24"/>
      <c r="AD43" s="3" t="s">
        <v>64</v>
      </c>
      <c r="BI43" s="41">
        <v>688</v>
      </c>
      <c r="BJ43" s="41"/>
      <c r="BK43" s="41"/>
      <c r="BL43" s="41">
        <v>733</v>
      </c>
      <c r="BM43" s="41"/>
      <c r="BN43" s="41"/>
      <c r="BO43" s="41">
        <v>745</v>
      </c>
      <c r="BP43" s="41"/>
      <c r="BQ43" s="41"/>
      <c r="BR43" s="41">
        <v>758</v>
      </c>
      <c r="BS43" s="41"/>
      <c r="BT43" s="41"/>
      <c r="BU43" s="41">
        <v>902</v>
      </c>
      <c r="BV43" s="41"/>
      <c r="BW43" s="41"/>
      <c r="BX43" s="41">
        <v>1006</v>
      </c>
      <c r="CA43" s="39">
        <v>928</v>
      </c>
      <c r="CD43" s="39">
        <v>916</v>
      </c>
      <c r="CE43" s="39"/>
      <c r="CF43" s="39"/>
      <c r="CG43" s="39">
        <v>971</v>
      </c>
      <c r="CJ43" s="39">
        <v>978</v>
      </c>
      <c r="CM43" s="39">
        <v>1109</v>
      </c>
    </row>
    <row r="44" spans="1:95" ht="13.5" customHeight="1" x14ac:dyDescent="0.2">
      <c r="A44" s="23"/>
      <c r="D44" s="15" t="s">
        <v>59</v>
      </c>
      <c r="E44" s="3" t="s">
        <v>63</v>
      </c>
      <c r="F44" s="3"/>
      <c r="G44" s="3"/>
      <c r="H44" s="26"/>
      <c r="I44" s="3"/>
      <c r="J44" s="3"/>
      <c r="K44" s="3"/>
      <c r="L44" s="3"/>
      <c r="M44" s="3"/>
      <c r="N44" s="3"/>
      <c r="O44" s="18">
        <f>IF(BI43&gt;0,(BI44/BI43),"")</f>
        <v>5.232558139534884E-2</v>
      </c>
      <c r="P44" s="18">
        <f>IF(BL43&gt;0,(BL44/BL43),"")</f>
        <v>6.0027285129604369E-2</v>
      </c>
      <c r="Q44" s="18">
        <f>IF(BO43&gt;0,(BO44/BO43),"")</f>
        <v>6.5771812080536909E-2</v>
      </c>
      <c r="R44" s="18">
        <f>IF(BR43&gt;0,(BR44/BR43),"")</f>
        <v>9.894459102902374E-2</v>
      </c>
      <c r="S44" s="18">
        <f>IF(BU43&gt;0,(BU44/BU43),"")</f>
        <v>3.9911308203991129E-2</v>
      </c>
      <c r="T44" s="18">
        <f>IF(BX43&gt;0,(BX44/BX43),"")</f>
        <v>4.8707753479125246E-2</v>
      </c>
      <c r="U44" s="18">
        <f>CA44/CA$43</f>
        <v>9.8060344827586202E-2</v>
      </c>
      <c r="V44" s="18">
        <f>CD44/CD$43</f>
        <v>3.2751091703056769E-2</v>
      </c>
      <c r="W44" s="18">
        <f>CG44/CG$43</f>
        <v>3.9134912461380018E-2</v>
      </c>
      <c r="X44" s="18">
        <f>CJ44/CJ$43</f>
        <v>3.8854805725971372E-2</v>
      </c>
      <c r="Y44" s="18">
        <f>CM44/CM$43</f>
        <v>2.7051397655545536E-2</v>
      </c>
      <c r="Z44" s="3"/>
      <c r="AA44" s="3"/>
      <c r="AB44" s="24"/>
      <c r="AD44" s="15" t="s">
        <v>59</v>
      </c>
      <c r="AE44" s="3" t="s">
        <v>63</v>
      </c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>
        <v>36</v>
      </c>
      <c r="BJ44" s="41"/>
      <c r="BK44" s="41"/>
      <c r="BL44" s="41">
        <v>44</v>
      </c>
      <c r="BM44" s="41"/>
      <c r="BN44" s="41"/>
      <c r="BO44" s="41">
        <v>49</v>
      </c>
      <c r="BP44" s="41"/>
      <c r="BQ44" s="41"/>
      <c r="BR44" s="41">
        <v>75</v>
      </c>
      <c r="BS44" s="41"/>
      <c r="BT44" s="41"/>
      <c r="BU44" s="41">
        <v>36</v>
      </c>
      <c r="BV44" s="41"/>
      <c r="BW44" s="41"/>
      <c r="BX44" s="41">
        <v>49</v>
      </c>
      <c r="BY44" s="41"/>
      <c r="BZ44" s="41"/>
      <c r="CA44" s="41">
        <v>91</v>
      </c>
      <c r="CD44" s="41">
        <v>30</v>
      </c>
      <c r="CE44" s="39"/>
      <c r="CF44" s="39"/>
      <c r="CG44" s="41">
        <v>38</v>
      </c>
      <c r="CJ44" s="41">
        <v>38</v>
      </c>
      <c r="CM44" s="41">
        <v>30</v>
      </c>
    </row>
    <row r="45" spans="1:95" ht="13.5" customHeight="1" x14ac:dyDescent="0.2">
      <c r="A45" s="23"/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15">
        <f>IF(BI43&gt;0,(BI45/BI43),"")</f>
        <v>0.5058139534883721</v>
      </c>
      <c r="P45" s="15">
        <f>IF(BL43&gt;0,(BL45/BL43),"")</f>
        <v>0.48840381991814463</v>
      </c>
      <c r="Q45" s="15">
        <f>IF(BO43&gt;0,(BO45/BO43),"")</f>
        <v>0.50872483221476505</v>
      </c>
      <c r="R45" s="15">
        <f>IF(BR43&gt;0,(BR45/BR43),"")</f>
        <v>0.54353562005277045</v>
      </c>
      <c r="S45" s="15">
        <f>IF(BU43&gt;0,(BU45/BU43),"")</f>
        <v>0.49889135254988914</v>
      </c>
      <c r="T45" s="15">
        <f>IF(BX43&gt;0,(BX45/BX43),"")</f>
        <v>0.48409542743538769</v>
      </c>
      <c r="U45" s="15">
        <f>CA45/CA$43</f>
        <v>0.57327586206896552</v>
      </c>
      <c r="V45" s="15">
        <f>CD45/CD$43</f>
        <v>0.54585152838427953</v>
      </c>
      <c r="W45" s="15">
        <f>CG45/CG$43</f>
        <v>0.56127703398558182</v>
      </c>
      <c r="X45" s="15">
        <f>CJ45/CJ$43</f>
        <v>0.53987730061349692</v>
      </c>
      <c r="Y45" s="15">
        <f>CM45/CM$43</f>
        <v>0.51307484220018029</v>
      </c>
      <c r="Z45" s="3"/>
      <c r="AA45" s="3"/>
      <c r="AB45" s="24"/>
      <c r="AE45" s="35" t="s">
        <v>89</v>
      </c>
      <c r="AF45" s="41"/>
      <c r="AG45" s="41"/>
      <c r="AH45" s="41"/>
      <c r="AI45" s="41"/>
      <c r="AJ45" s="41"/>
      <c r="AK45" s="41"/>
      <c r="AL45" s="80"/>
      <c r="AM45" s="80"/>
      <c r="AN45" s="80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>
        <f>BI17+BI44</f>
        <v>348</v>
      </c>
      <c r="BJ45" s="41"/>
      <c r="BK45" s="41"/>
      <c r="BL45" s="41">
        <f>BL17+BL44</f>
        <v>358</v>
      </c>
      <c r="BM45" s="41"/>
      <c r="BN45" s="41"/>
      <c r="BO45" s="41">
        <f>BO17+BO44</f>
        <v>379</v>
      </c>
      <c r="BP45" s="41"/>
      <c r="BQ45" s="41"/>
      <c r="BR45" s="41">
        <f>BR17+BR44</f>
        <v>412</v>
      </c>
      <c r="BS45" s="41"/>
      <c r="BT45" s="41"/>
      <c r="BU45" s="41">
        <f>BU17+BU44</f>
        <v>450</v>
      </c>
      <c r="BV45" s="41"/>
      <c r="BW45" s="41"/>
      <c r="BX45" s="41">
        <f>BX17+BX44</f>
        <v>487</v>
      </c>
      <c r="BY45" s="41"/>
      <c r="BZ45" s="41"/>
      <c r="CA45" s="41">
        <f>CA17+CA44</f>
        <v>532</v>
      </c>
      <c r="CD45" s="41">
        <f>CD17+CD44</f>
        <v>500</v>
      </c>
      <c r="CE45" s="39"/>
      <c r="CF45" s="39"/>
      <c r="CG45" s="41">
        <f>CG17+CG44</f>
        <v>545</v>
      </c>
      <c r="CJ45" s="41">
        <f>CJ17+CJ44</f>
        <v>528</v>
      </c>
      <c r="CM45" s="41">
        <f>CM17+CM44</f>
        <v>569</v>
      </c>
    </row>
    <row r="46" spans="1:95" ht="13.5" customHeight="1" x14ac:dyDescent="0.2">
      <c r="A46" s="23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24"/>
      <c r="AL46" s="41"/>
      <c r="AM46" s="41"/>
      <c r="AN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</row>
    <row r="47" spans="1:95" ht="13.5" customHeight="1" x14ac:dyDescent="0.2">
      <c r="A47" s="2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24"/>
      <c r="AL47" s="41"/>
      <c r="AM47" s="41"/>
      <c r="AN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</row>
    <row r="48" spans="1:95" ht="13.5" customHeight="1" x14ac:dyDescent="0.2">
      <c r="A48" s="23"/>
      <c r="B48" s="3" t="s">
        <v>81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24"/>
      <c r="AL48" s="41"/>
      <c r="AM48" s="41"/>
      <c r="AN48" s="41"/>
    </row>
    <row r="49" spans="1:40" ht="13.5" customHeight="1" x14ac:dyDescent="0.2">
      <c r="A49" s="23"/>
      <c r="B49" s="3" t="s">
        <v>82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24"/>
      <c r="AL49" s="41"/>
      <c r="AM49" s="41"/>
      <c r="AN49" s="41"/>
    </row>
    <row r="50" spans="1:40" ht="13.5" customHeight="1" x14ac:dyDescent="0.2">
      <c r="A50" s="2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24"/>
      <c r="AL50" s="41"/>
      <c r="AM50" s="41"/>
      <c r="AN50" s="41"/>
    </row>
    <row r="51" spans="1:40" ht="13.5" customHeight="1" x14ac:dyDescent="0.25">
      <c r="A51" s="23"/>
      <c r="B51" s="91" t="s">
        <v>66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84"/>
      <c r="U51" s="84"/>
      <c r="V51" s="84"/>
      <c r="W51" s="3"/>
      <c r="X51" s="3"/>
      <c r="Y51" s="3"/>
      <c r="Z51" s="3"/>
      <c r="AA51" s="3"/>
      <c r="AB51" s="24"/>
      <c r="AF51" s="60"/>
      <c r="AG51" s="60"/>
      <c r="AH51" s="60"/>
      <c r="AI51" s="60"/>
      <c r="AJ51" s="60"/>
      <c r="AK51" s="60"/>
      <c r="AL51" s="60"/>
      <c r="AM51" s="60"/>
    </row>
    <row r="52" spans="1:40" ht="13.5" hidden="1" customHeight="1" x14ac:dyDescent="0.2">
      <c r="A52" s="23"/>
      <c r="B52" s="3" t="s">
        <v>68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25"/>
    </row>
    <row r="53" spans="1:40" ht="13.5" customHeight="1" x14ac:dyDescent="0.25">
      <c r="A53" s="27"/>
      <c r="B53" s="92" t="s">
        <v>67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3"/>
      <c r="U53" s="93"/>
      <c r="V53" s="93"/>
      <c r="W53" s="31"/>
      <c r="X53" s="31"/>
      <c r="Y53" s="31"/>
      <c r="Z53" s="31"/>
      <c r="AA53" s="31" t="s">
        <v>109</v>
      </c>
      <c r="AB53" s="28"/>
    </row>
  </sheetData>
  <mergeCells count="73">
    <mergeCell ref="B51:V51"/>
    <mergeCell ref="B53:V53"/>
    <mergeCell ref="CN7:CP7"/>
    <mergeCell ref="CN8:CP8"/>
    <mergeCell ref="CH37:CJ37"/>
    <mergeCell ref="CH38:CJ38"/>
    <mergeCell ref="AF42:CJ42"/>
    <mergeCell ref="AI7:AK7"/>
    <mergeCell ref="AF7:AH7"/>
    <mergeCell ref="AL45:AN45"/>
    <mergeCell ref="BM8:BO8"/>
    <mergeCell ref="AF8:AH8"/>
    <mergeCell ref="BP8:BR8"/>
    <mergeCell ref="BS8:BU8"/>
    <mergeCell ref="BV8:BX8"/>
    <mergeCell ref="AU8:AW8"/>
    <mergeCell ref="BV38:BX38"/>
    <mergeCell ref="BS38:BU38"/>
    <mergeCell ref="BS37:BU37"/>
    <mergeCell ref="AX8:AZ8"/>
    <mergeCell ref="BP7:BR7"/>
    <mergeCell ref="BS7:BU7"/>
    <mergeCell ref="BV7:BX7"/>
    <mergeCell ref="BG38:BI38"/>
    <mergeCell ref="BJ38:BL38"/>
    <mergeCell ref="BM38:BO38"/>
    <mergeCell ref="BP38:BR38"/>
    <mergeCell ref="BJ37:BL37"/>
    <mergeCell ref="BM37:BO37"/>
    <mergeCell ref="BP37:BR37"/>
    <mergeCell ref="BA7:BC7"/>
    <mergeCell ref="BD7:BF7"/>
    <mergeCell ref="CE37:CG37"/>
    <mergeCell ref="A2:AB2"/>
    <mergeCell ref="AL7:AN7"/>
    <mergeCell ref="AO7:AQ7"/>
    <mergeCell ref="BA8:BC8"/>
    <mergeCell ref="AI8:AK8"/>
    <mergeCell ref="AL8:AN8"/>
    <mergeCell ref="AO8:AQ8"/>
    <mergeCell ref="AR8:AT8"/>
    <mergeCell ref="BG37:BI37"/>
    <mergeCell ref="CE8:CG8"/>
    <mergeCell ref="CB8:CD8"/>
    <mergeCell ref="BG8:BI8"/>
    <mergeCell ref="BJ8:BL8"/>
    <mergeCell ref="BV37:BX37"/>
    <mergeCell ref="BG7:BI7"/>
    <mergeCell ref="AU7:AW7"/>
    <mergeCell ref="AX7:AZ7"/>
    <mergeCell ref="CE7:CG7"/>
    <mergeCell ref="BD8:BF8"/>
    <mergeCell ref="BY8:CA8"/>
    <mergeCell ref="BY7:CA7"/>
    <mergeCell ref="CB7:CD7"/>
    <mergeCell ref="BJ7:BL7"/>
    <mergeCell ref="BM7:BO7"/>
    <mergeCell ref="AF12:CS12"/>
    <mergeCell ref="AF18:CS18"/>
    <mergeCell ref="CK37:CM37"/>
    <mergeCell ref="CK38:CM38"/>
    <mergeCell ref="CQ7:CS7"/>
    <mergeCell ref="CQ8:CS8"/>
    <mergeCell ref="CE38:CG38"/>
    <mergeCell ref="CK7:CM7"/>
    <mergeCell ref="CK8:CM8"/>
    <mergeCell ref="CH7:CJ7"/>
    <mergeCell ref="CH8:CJ8"/>
    <mergeCell ref="CB37:CD37"/>
    <mergeCell ref="CB38:CD38"/>
    <mergeCell ref="BY37:CA37"/>
    <mergeCell ref="BY38:CA38"/>
    <mergeCell ref="AR7:AT7"/>
  </mergeCells>
  <hyperlinks>
    <hyperlink ref="B53:Q53" r:id="rId1" display="Source: IPEDS Graduation Rates 200 Survey (GR200)"/>
    <hyperlink ref="B51:P51" r:id="rId2" display="Source: IPEDS Graduation Rate Survey (GRS)"/>
  </hyperlinks>
  <printOptions horizontalCentered="1"/>
  <pageMargins left="0.7" right="0.45" top="0.5" bottom="0.5" header="0.3" footer="0.3"/>
  <pageSetup scale="93" orientation="portrait" r:id="rId3"/>
  <ignoredErrors>
    <ignoredError sqref="AF17:CG18 AF23:CG23 AF19:BU19 BX19 AF20:BU20 BX20 AF21:BU21 BX21 AF22:BT22 BX22 CA19 CA20 CA21 CA22 CD19 CD20 CD21 CD22 CG19 CG20 CG21 CG22 CH17:CI17 CK17:CL17" formulaRange="1"/>
    <ignoredError sqref="BU22" formula="1" formulaRange="1"/>
    <ignoredError sqref="X14:X35 V44:V45 AA14:AA17 AA26:AA35 AA20:AA24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F51"/>
  <sheetViews>
    <sheetView workbookViewId="0"/>
  </sheetViews>
  <sheetFormatPr defaultRowHeight="13.5" customHeight="1" x14ac:dyDescent="0.2"/>
  <cols>
    <col min="1" max="3" width="2.7109375" style="1" customWidth="1"/>
    <col min="4" max="4" width="8.7109375" style="1" customWidth="1"/>
    <col min="5" max="5" width="16.7109375" style="1" customWidth="1"/>
    <col min="6" max="21" width="10.7109375" style="1" hidden="1" customWidth="1"/>
    <col min="22" max="27" width="10.7109375" style="1" customWidth="1"/>
    <col min="28" max="28" width="2.7109375" style="1" customWidth="1"/>
    <col min="29" max="29" width="9.140625" style="1"/>
    <col min="30" max="30" width="9.140625" style="1" customWidth="1"/>
    <col min="31" max="31" width="16.7109375" style="1" customWidth="1"/>
    <col min="32" max="79" width="7.140625" style="1" hidden="1" customWidth="1"/>
    <col min="80" max="97" width="7.140625" style="1" customWidth="1"/>
    <col min="98" max="226" width="9.140625" style="1"/>
    <col min="227" max="227" width="2.42578125" style="1" customWidth="1"/>
    <col min="228" max="228" width="10.42578125" style="1" customWidth="1"/>
    <col min="229" max="229" width="0" style="1" hidden="1" customWidth="1"/>
    <col min="230" max="230" width="13.42578125" style="1" customWidth="1"/>
    <col min="231" max="266" width="0" style="1" hidden="1" customWidth="1"/>
    <col min="267" max="281" width="6.7109375" style="1" customWidth="1"/>
    <col min="282" max="282" width="9.140625" style="1"/>
    <col min="283" max="283" width="10.42578125" style="1" customWidth="1"/>
    <col min="284" max="284" width="14.5703125" style="1" customWidth="1"/>
    <col min="285" max="320" width="0" style="1" hidden="1" customWidth="1"/>
    <col min="321" max="335" width="6.7109375" style="1" customWidth="1"/>
    <col min="336" max="482" width="9.140625" style="1"/>
    <col min="483" max="483" width="2.42578125" style="1" customWidth="1"/>
    <col min="484" max="484" width="10.42578125" style="1" customWidth="1"/>
    <col min="485" max="485" width="0" style="1" hidden="1" customWidth="1"/>
    <col min="486" max="486" width="13.42578125" style="1" customWidth="1"/>
    <col min="487" max="522" width="0" style="1" hidden="1" customWidth="1"/>
    <col min="523" max="537" width="6.7109375" style="1" customWidth="1"/>
    <col min="538" max="538" width="9.140625" style="1"/>
    <col min="539" max="539" width="10.42578125" style="1" customWidth="1"/>
    <col min="540" max="540" width="14.5703125" style="1" customWidth="1"/>
    <col min="541" max="576" width="0" style="1" hidden="1" customWidth="1"/>
    <col min="577" max="591" width="6.7109375" style="1" customWidth="1"/>
    <col min="592" max="738" width="9.140625" style="1"/>
    <col min="739" max="739" width="2.42578125" style="1" customWidth="1"/>
    <col min="740" max="740" width="10.42578125" style="1" customWidth="1"/>
    <col min="741" max="741" width="0" style="1" hidden="1" customWidth="1"/>
    <col min="742" max="742" width="13.42578125" style="1" customWidth="1"/>
    <col min="743" max="778" width="0" style="1" hidden="1" customWidth="1"/>
    <col min="779" max="793" width="6.7109375" style="1" customWidth="1"/>
    <col min="794" max="794" width="9.140625" style="1"/>
    <col min="795" max="795" width="10.42578125" style="1" customWidth="1"/>
    <col min="796" max="796" width="14.5703125" style="1" customWidth="1"/>
    <col min="797" max="832" width="0" style="1" hidden="1" customWidth="1"/>
    <col min="833" max="847" width="6.7109375" style="1" customWidth="1"/>
    <col min="848" max="994" width="9.140625" style="1"/>
    <col min="995" max="995" width="2.42578125" style="1" customWidth="1"/>
    <col min="996" max="996" width="10.42578125" style="1" customWidth="1"/>
    <col min="997" max="997" width="0" style="1" hidden="1" customWidth="1"/>
    <col min="998" max="998" width="13.42578125" style="1" customWidth="1"/>
    <col min="999" max="1034" width="0" style="1" hidden="1" customWidth="1"/>
    <col min="1035" max="1049" width="6.7109375" style="1" customWidth="1"/>
    <col min="1050" max="1050" width="9.140625" style="1"/>
    <col min="1051" max="1051" width="10.42578125" style="1" customWidth="1"/>
    <col min="1052" max="1052" width="14.5703125" style="1" customWidth="1"/>
    <col min="1053" max="1088" width="0" style="1" hidden="1" customWidth="1"/>
    <col min="1089" max="1103" width="6.7109375" style="1" customWidth="1"/>
    <col min="1104" max="1250" width="9.140625" style="1"/>
    <col min="1251" max="1251" width="2.42578125" style="1" customWidth="1"/>
    <col min="1252" max="1252" width="10.42578125" style="1" customWidth="1"/>
    <col min="1253" max="1253" width="0" style="1" hidden="1" customWidth="1"/>
    <col min="1254" max="1254" width="13.42578125" style="1" customWidth="1"/>
    <col min="1255" max="1290" width="0" style="1" hidden="1" customWidth="1"/>
    <col min="1291" max="1305" width="6.7109375" style="1" customWidth="1"/>
    <col min="1306" max="1306" width="9.140625" style="1"/>
    <col min="1307" max="1307" width="10.42578125" style="1" customWidth="1"/>
    <col min="1308" max="1308" width="14.5703125" style="1" customWidth="1"/>
    <col min="1309" max="1344" width="0" style="1" hidden="1" customWidth="1"/>
    <col min="1345" max="1359" width="6.7109375" style="1" customWidth="1"/>
    <col min="1360" max="1506" width="9.140625" style="1"/>
    <col min="1507" max="1507" width="2.42578125" style="1" customWidth="1"/>
    <col min="1508" max="1508" width="10.42578125" style="1" customWidth="1"/>
    <col min="1509" max="1509" width="0" style="1" hidden="1" customWidth="1"/>
    <col min="1510" max="1510" width="13.42578125" style="1" customWidth="1"/>
    <col min="1511" max="1546" width="0" style="1" hidden="1" customWidth="1"/>
    <col min="1547" max="1561" width="6.7109375" style="1" customWidth="1"/>
    <col min="1562" max="1562" width="9.140625" style="1"/>
    <col min="1563" max="1563" width="10.42578125" style="1" customWidth="1"/>
    <col min="1564" max="1564" width="14.5703125" style="1" customWidth="1"/>
    <col min="1565" max="1600" width="0" style="1" hidden="1" customWidth="1"/>
    <col min="1601" max="1615" width="6.7109375" style="1" customWidth="1"/>
    <col min="1616" max="1762" width="9.140625" style="1"/>
    <col min="1763" max="1763" width="2.42578125" style="1" customWidth="1"/>
    <col min="1764" max="1764" width="10.42578125" style="1" customWidth="1"/>
    <col min="1765" max="1765" width="0" style="1" hidden="1" customWidth="1"/>
    <col min="1766" max="1766" width="13.42578125" style="1" customWidth="1"/>
    <col min="1767" max="1802" width="0" style="1" hidden="1" customWidth="1"/>
    <col min="1803" max="1817" width="6.7109375" style="1" customWidth="1"/>
    <col min="1818" max="1818" width="9.140625" style="1"/>
    <col min="1819" max="1819" width="10.42578125" style="1" customWidth="1"/>
    <col min="1820" max="1820" width="14.5703125" style="1" customWidth="1"/>
    <col min="1821" max="1856" width="0" style="1" hidden="1" customWidth="1"/>
    <col min="1857" max="1871" width="6.7109375" style="1" customWidth="1"/>
    <col min="1872" max="2018" width="9.140625" style="1"/>
    <col min="2019" max="2019" width="2.42578125" style="1" customWidth="1"/>
    <col min="2020" max="2020" width="10.42578125" style="1" customWidth="1"/>
    <col min="2021" max="2021" width="0" style="1" hidden="1" customWidth="1"/>
    <col min="2022" max="2022" width="13.42578125" style="1" customWidth="1"/>
    <col min="2023" max="2058" width="0" style="1" hidden="1" customWidth="1"/>
    <col min="2059" max="2073" width="6.7109375" style="1" customWidth="1"/>
    <col min="2074" max="2074" width="9.140625" style="1"/>
    <col min="2075" max="2075" width="10.42578125" style="1" customWidth="1"/>
    <col min="2076" max="2076" width="14.5703125" style="1" customWidth="1"/>
    <col min="2077" max="2112" width="0" style="1" hidden="1" customWidth="1"/>
    <col min="2113" max="2127" width="6.7109375" style="1" customWidth="1"/>
    <col min="2128" max="2274" width="9.140625" style="1"/>
    <col min="2275" max="2275" width="2.42578125" style="1" customWidth="1"/>
    <col min="2276" max="2276" width="10.42578125" style="1" customWidth="1"/>
    <col min="2277" max="2277" width="0" style="1" hidden="1" customWidth="1"/>
    <col min="2278" max="2278" width="13.42578125" style="1" customWidth="1"/>
    <col min="2279" max="2314" width="0" style="1" hidden="1" customWidth="1"/>
    <col min="2315" max="2329" width="6.7109375" style="1" customWidth="1"/>
    <col min="2330" max="2330" width="9.140625" style="1"/>
    <col min="2331" max="2331" width="10.42578125" style="1" customWidth="1"/>
    <col min="2332" max="2332" width="14.5703125" style="1" customWidth="1"/>
    <col min="2333" max="2368" width="0" style="1" hidden="1" customWidth="1"/>
    <col min="2369" max="2383" width="6.7109375" style="1" customWidth="1"/>
    <col min="2384" max="2530" width="9.140625" style="1"/>
    <col min="2531" max="2531" width="2.42578125" style="1" customWidth="1"/>
    <col min="2532" max="2532" width="10.42578125" style="1" customWidth="1"/>
    <col min="2533" max="2533" width="0" style="1" hidden="1" customWidth="1"/>
    <col min="2534" max="2534" width="13.42578125" style="1" customWidth="1"/>
    <col min="2535" max="2570" width="0" style="1" hidden="1" customWidth="1"/>
    <col min="2571" max="2585" width="6.7109375" style="1" customWidth="1"/>
    <col min="2586" max="2586" width="9.140625" style="1"/>
    <col min="2587" max="2587" width="10.42578125" style="1" customWidth="1"/>
    <col min="2588" max="2588" width="14.5703125" style="1" customWidth="1"/>
    <col min="2589" max="2624" width="0" style="1" hidden="1" customWidth="1"/>
    <col min="2625" max="2639" width="6.7109375" style="1" customWidth="1"/>
    <col min="2640" max="2786" width="9.140625" style="1"/>
    <col min="2787" max="2787" width="2.42578125" style="1" customWidth="1"/>
    <col min="2788" max="2788" width="10.42578125" style="1" customWidth="1"/>
    <col min="2789" max="2789" width="0" style="1" hidden="1" customWidth="1"/>
    <col min="2790" max="2790" width="13.42578125" style="1" customWidth="1"/>
    <col min="2791" max="2826" width="0" style="1" hidden="1" customWidth="1"/>
    <col min="2827" max="2841" width="6.7109375" style="1" customWidth="1"/>
    <col min="2842" max="2842" width="9.140625" style="1"/>
    <col min="2843" max="2843" width="10.42578125" style="1" customWidth="1"/>
    <col min="2844" max="2844" width="14.5703125" style="1" customWidth="1"/>
    <col min="2845" max="2880" width="0" style="1" hidden="1" customWidth="1"/>
    <col min="2881" max="2895" width="6.7109375" style="1" customWidth="1"/>
    <col min="2896" max="3042" width="9.140625" style="1"/>
    <col min="3043" max="3043" width="2.42578125" style="1" customWidth="1"/>
    <col min="3044" max="3044" width="10.42578125" style="1" customWidth="1"/>
    <col min="3045" max="3045" width="0" style="1" hidden="1" customWidth="1"/>
    <col min="3046" max="3046" width="13.42578125" style="1" customWidth="1"/>
    <col min="3047" max="3082" width="0" style="1" hidden="1" customWidth="1"/>
    <col min="3083" max="3097" width="6.7109375" style="1" customWidth="1"/>
    <col min="3098" max="3098" width="9.140625" style="1"/>
    <col min="3099" max="3099" width="10.42578125" style="1" customWidth="1"/>
    <col min="3100" max="3100" width="14.5703125" style="1" customWidth="1"/>
    <col min="3101" max="3136" width="0" style="1" hidden="1" customWidth="1"/>
    <col min="3137" max="3151" width="6.7109375" style="1" customWidth="1"/>
    <col min="3152" max="3298" width="9.140625" style="1"/>
    <col min="3299" max="3299" width="2.42578125" style="1" customWidth="1"/>
    <col min="3300" max="3300" width="10.42578125" style="1" customWidth="1"/>
    <col min="3301" max="3301" width="0" style="1" hidden="1" customWidth="1"/>
    <col min="3302" max="3302" width="13.42578125" style="1" customWidth="1"/>
    <col min="3303" max="3338" width="0" style="1" hidden="1" customWidth="1"/>
    <col min="3339" max="3353" width="6.7109375" style="1" customWidth="1"/>
    <col min="3354" max="3354" width="9.140625" style="1"/>
    <col min="3355" max="3355" width="10.42578125" style="1" customWidth="1"/>
    <col min="3356" max="3356" width="14.5703125" style="1" customWidth="1"/>
    <col min="3357" max="3392" width="0" style="1" hidden="1" customWidth="1"/>
    <col min="3393" max="3407" width="6.7109375" style="1" customWidth="1"/>
    <col min="3408" max="3554" width="9.140625" style="1"/>
    <col min="3555" max="3555" width="2.42578125" style="1" customWidth="1"/>
    <col min="3556" max="3556" width="10.42578125" style="1" customWidth="1"/>
    <col min="3557" max="3557" width="0" style="1" hidden="1" customWidth="1"/>
    <col min="3558" max="3558" width="13.42578125" style="1" customWidth="1"/>
    <col min="3559" max="3594" width="0" style="1" hidden="1" customWidth="1"/>
    <col min="3595" max="3609" width="6.7109375" style="1" customWidth="1"/>
    <col min="3610" max="3610" width="9.140625" style="1"/>
    <col min="3611" max="3611" width="10.42578125" style="1" customWidth="1"/>
    <col min="3612" max="3612" width="14.5703125" style="1" customWidth="1"/>
    <col min="3613" max="3648" width="0" style="1" hidden="1" customWidth="1"/>
    <col min="3649" max="3663" width="6.7109375" style="1" customWidth="1"/>
    <col min="3664" max="3810" width="9.140625" style="1"/>
    <col min="3811" max="3811" width="2.42578125" style="1" customWidth="1"/>
    <col min="3812" max="3812" width="10.42578125" style="1" customWidth="1"/>
    <col min="3813" max="3813" width="0" style="1" hidden="1" customWidth="1"/>
    <col min="3814" max="3814" width="13.42578125" style="1" customWidth="1"/>
    <col min="3815" max="3850" width="0" style="1" hidden="1" customWidth="1"/>
    <col min="3851" max="3865" width="6.7109375" style="1" customWidth="1"/>
    <col min="3866" max="3866" width="9.140625" style="1"/>
    <col min="3867" max="3867" width="10.42578125" style="1" customWidth="1"/>
    <col min="3868" max="3868" width="14.5703125" style="1" customWidth="1"/>
    <col min="3869" max="3904" width="0" style="1" hidden="1" customWidth="1"/>
    <col min="3905" max="3919" width="6.7109375" style="1" customWidth="1"/>
    <col min="3920" max="4066" width="9.140625" style="1"/>
    <col min="4067" max="4067" width="2.42578125" style="1" customWidth="1"/>
    <col min="4068" max="4068" width="10.42578125" style="1" customWidth="1"/>
    <col min="4069" max="4069" width="0" style="1" hidden="1" customWidth="1"/>
    <col min="4070" max="4070" width="13.42578125" style="1" customWidth="1"/>
    <col min="4071" max="4106" width="0" style="1" hidden="1" customWidth="1"/>
    <col min="4107" max="4121" width="6.7109375" style="1" customWidth="1"/>
    <col min="4122" max="4122" width="9.140625" style="1"/>
    <col min="4123" max="4123" width="10.42578125" style="1" customWidth="1"/>
    <col min="4124" max="4124" width="14.5703125" style="1" customWidth="1"/>
    <col min="4125" max="4160" width="0" style="1" hidden="1" customWidth="1"/>
    <col min="4161" max="4175" width="6.7109375" style="1" customWidth="1"/>
    <col min="4176" max="4322" width="9.140625" style="1"/>
    <col min="4323" max="4323" width="2.42578125" style="1" customWidth="1"/>
    <col min="4324" max="4324" width="10.42578125" style="1" customWidth="1"/>
    <col min="4325" max="4325" width="0" style="1" hidden="1" customWidth="1"/>
    <col min="4326" max="4326" width="13.42578125" style="1" customWidth="1"/>
    <col min="4327" max="4362" width="0" style="1" hidden="1" customWidth="1"/>
    <col min="4363" max="4377" width="6.7109375" style="1" customWidth="1"/>
    <col min="4378" max="4378" width="9.140625" style="1"/>
    <col min="4379" max="4379" width="10.42578125" style="1" customWidth="1"/>
    <col min="4380" max="4380" width="14.5703125" style="1" customWidth="1"/>
    <col min="4381" max="4416" width="0" style="1" hidden="1" customWidth="1"/>
    <col min="4417" max="4431" width="6.7109375" style="1" customWidth="1"/>
    <col min="4432" max="4578" width="9.140625" style="1"/>
    <col min="4579" max="4579" width="2.42578125" style="1" customWidth="1"/>
    <col min="4580" max="4580" width="10.42578125" style="1" customWidth="1"/>
    <col min="4581" max="4581" width="0" style="1" hidden="1" customWidth="1"/>
    <col min="4582" max="4582" width="13.42578125" style="1" customWidth="1"/>
    <col min="4583" max="4618" width="0" style="1" hidden="1" customWidth="1"/>
    <col min="4619" max="4633" width="6.7109375" style="1" customWidth="1"/>
    <col min="4634" max="4634" width="9.140625" style="1"/>
    <col min="4635" max="4635" width="10.42578125" style="1" customWidth="1"/>
    <col min="4636" max="4636" width="14.5703125" style="1" customWidth="1"/>
    <col min="4637" max="4672" width="0" style="1" hidden="1" customWidth="1"/>
    <col min="4673" max="4687" width="6.7109375" style="1" customWidth="1"/>
    <col min="4688" max="4834" width="9.140625" style="1"/>
    <col min="4835" max="4835" width="2.42578125" style="1" customWidth="1"/>
    <col min="4836" max="4836" width="10.42578125" style="1" customWidth="1"/>
    <col min="4837" max="4837" width="0" style="1" hidden="1" customWidth="1"/>
    <col min="4838" max="4838" width="13.42578125" style="1" customWidth="1"/>
    <col min="4839" max="4874" width="0" style="1" hidden="1" customWidth="1"/>
    <col min="4875" max="4889" width="6.7109375" style="1" customWidth="1"/>
    <col min="4890" max="4890" width="9.140625" style="1"/>
    <col min="4891" max="4891" width="10.42578125" style="1" customWidth="1"/>
    <col min="4892" max="4892" width="14.5703125" style="1" customWidth="1"/>
    <col min="4893" max="4928" width="0" style="1" hidden="1" customWidth="1"/>
    <col min="4929" max="4943" width="6.7109375" style="1" customWidth="1"/>
    <col min="4944" max="5090" width="9.140625" style="1"/>
    <col min="5091" max="5091" width="2.42578125" style="1" customWidth="1"/>
    <col min="5092" max="5092" width="10.42578125" style="1" customWidth="1"/>
    <col min="5093" max="5093" width="0" style="1" hidden="1" customWidth="1"/>
    <col min="5094" max="5094" width="13.42578125" style="1" customWidth="1"/>
    <col min="5095" max="5130" width="0" style="1" hidden="1" customWidth="1"/>
    <col min="5131" max="5145" width="6.7109375" style="1" customWidth="1"/>
    <col min="5146" max="5146" width="9.140625" style="1"/>
    <col min="5147" max="5147" width="10.42578125" style="1" customWidth="1"/>
    <col min="5148" max="5148" width="14.5703125" style="1" customWidth="1"/>
    <col min="5149" max="5184" width="0" style="1" hidden="1" customWidth="1"/>
    <col min="5185" max="5199" width="6.7109375" style="1" customWidth="1"/>
    <col min="5200" max="5346" width="9.140625" style="1"/>
    <col min="5347" max="5347" width="2.42578125" style="1" customWidth="1"/>
    <col min="5348" max="5348" width="10.42578125" style="1" customWidth="1"/>
    <col min="5349" max="5349" width="0" style="1" hidden="1" customWidth="1"/>
    <col min="5350" max="5350" width="13.42578125" style="1" customWidth="1"/>
    <col min="5351" max="5386" width="0" style="1" hidden="1" customWidth="1"/>
    <col min="5387" max="5401" width="6.7109375" style="1" customWidth="1"/>
    <col min="5402" max="5402" width="9.140625" style="1"/>
    <col min="5403" max="5403" width="10.42578125" style="1" customWidth="1"/>
    <col min="5404" max="5404" width="14.5703125" style="1" customWidth="1"/>
    <col min="5405" max="5440" width="0" style="1" hidden="1" customWidth="1"/>
    <col min="5441" max="5455" width="6.7109375" style="1" customWidth="1"/>
    <col min="5456" max="5602" width="9.140625" style="1"/>
    <col min="5603" max="5603" width="2.42578125" style="1" customWidth="1"/>
    <col min="5604" max="5604" width="10.42578125" style="1" customWidth="1"/>
    <col min="5605" max="5605" width="0" style="1" hidden="1" customWidth="1"/>
    <col min="5606" max="5606" width="13.42578125" style="1" customWidth="1"/>
    <col min="5607" max="5642" width="0" style="1" hidden="1" customWidth="1"/>
    <col min="5643" max="5657" width="6.7109375" style="1" customWidth="1"/>
    <col min="5658" max="5658" width="9.140625" style="1"/>
    <col min="5659" max="5659" width="10.42578125" style="1" customWidth="1"/>
    <col min="5660" max="5660" width="14.5703125" style="1" customWidth="1"/>
    <col min="5661" max="5696" width="0" style="1" hidden="1" customWidth="1"/>
    <col min="5697" max="5711" width="6.7109375" style="1" customWidth="1"/>
    <col min="5712" max="5858" width="9.140625" style="1"/>
    <col min="5859" max="5859" width="2.42578125" style="1" customWidth="1"/>
    <col min="5860" max="5860" width="10.42578125" style="1" customWidth="1"/>
    <col min="5861" max="5861" width="0" style="1" hidden="1" customWidth="1"/>
    <col min="5862" max="5862" width="13.42578125" style="1" customWidth="1"/>
    <col min="5863" max="5898" width="0" style="1" hidden="1" customWidth="1"/>
    <col min="5899" max="5913" width="6.7109375" style="1" customWidth="1"/>
    <col min="5914" max="5914" width="9.140625" style="1"/>
    <col min="5915" max="5915" width="10.42578125" style="1" customWidth="1"/>
    <col min="5916" max="5916" width="14.5703125" style="1" customWidth="1"/>
    <col min="5917" max="5952" width="0" style="1" hidden="1" customWidth="1"/>
    <col min="5953" max="5967" width="6.7109375" style="1" customWidth="1"/>
    <col min="5968" max="6114" width="9.140625" style="1"/>
    <col min="6115" max="6115" width="2.42578125" style="1" customWidth="1"/>
    <col min="6116" max="6116" width="10.42578125" style="1" customWidth="1"/>
    <col min="6117" max="6117" width="0" style="1" hidden="1" customWidth="1"/>
    <col min="6118" max="6118" width="13.42578125" style="1" customWidth="1"/>
    <col min="6119" max="6154" width="0" style="1" hidden="1" customWidth="1"/>
    <col min="6155" max="6169" width="6.7109375" style="1" customWidth="1"/>
    <col min="6170" max="6170" width="9.140625" style="1"/>
    <col min="6171" max="6171" width="10.42578125" style="1" customWidth="1"/>
    <col min="6172" max="6172" width="14.5703125" style="1" customWidth="1"/>
    <col min="6173" max="6208" width="0" style="1" hidden="1" customWidth="1"/>
    <col min="6209" max="6223" width="6.7109375" style="1" customWidth="1"/>
    <col min="6224" max="6370" width="9.140625" style="1"/>
    <col min="6371" max="6371" width="2.42578125" style="1" customWidth="1"/>
    <col min="6372" max="6372" width="10.42578125" style="1" customWidth="1"/>
    <col min="6373" max="6373" width="0" style="1" hidden="1" customWidth="1"/>
    <col min="6374" max="6374" width="13.42578125" style="1" customWidth="1"/>
    <col min="6375" max="6410" width="0" style="1" hidden="1" customWidth="1"/>
    <col min="6411" max="6425" width="6.7109375" style="1" customWidth="1"/>
    <col min="6426" max="6426" width="9.140625" style="1"/>
    <col min="6427" max="6427" width="10.42578125" style="1" customWidth="1"/>
    <col min="6428" max="6428" width="14.5703125" style="1" customWidth="1"/>
    <col min="6429" max="6464" width="0" style="1" hidden="1" customWidth="1"/>
    <col min="6465" max="6479" width="6.7109375" style="1" customWidth="1"/>
    <col min="6480" max="6626" width="9.140625" style="1"/>
    <col min="6627" max="6627" width="2.42578125" style="1" customWidth="1"/>
    <col min="6628" max="6628" width="10.42578125" style="1" customWidth="1"/>
    <col min="6629" max="6629" width="0" style="1" hidden="1" customWidth="1"/>
    <col min="6630" max="6630" width="13.42578125" style="1" customWidth="1"/>
    <col min="6631" max="6666" width="0" style="1" hidden="1" customWidth="1"/>
    <col min="6667" max="6681" width="6.7109375" style="1" customWidth="1"/>
    <col min="6682" max="6682" width="9.140625" style="1"/>
    <col min="6683" max="6683" width="10.42578125" style="1" customWidth="1"/>
    <col min="6684" max="6684" width="14.5703125" style="1" customWidth="1"/>
    <col min="6685" max="6720" width="0" style="1" hidden="1" customWidth="1"/>
    <col min="6721" max="6735" width="6.7109375" style="1" customWidth="1"/>
    <col min="6736" max="6882" width="9.140625" style="1"/>
    <col min="6883" max="6883" width="2.42578125" style="1" customWidth="1"/>
    <col min="6884" max="6884" width="10.42578125" style="1" customWidth="1"/>
    <col min="6885" max="6885" width="0" style="1" hidden="1" customWidth="1"/>
    <col min="6886" max="6886" width="13.42578125" style="1" customWidth="1"/>
    <col min="6887" max="6922" width="0" style="1" hidden="1" customWidth="1"/>
    <col min="6923" max="6937" width="6.7109375" style="1" customWidth="1"/>
    <col min="6938" max="6938" width="9.140625" style="1"/>
    <col min="6939" max="6939" width="10.42578125" style="1" customWidth="1"/>
    <col min="6940" max="6940" width="14.5703125" style="1" customWidth="1"/>
    <col min="6941" max="6976" width="0" style="1" hidden="1" customWidth="1"/>
    <col min="6977" max="6991" width="6.7109375" style="1" customWidth="1"/>
    <col min="6992" max="7138" width="9.140625" style="1"/>
    <col min="7139" max="7139" width="2.42578125" style="1" customWidth="1"/>
    <col min="7140" max="7140" width="10.42578125" style="1" customWidth="1"/>
    <col min="7141" max="7141" width="0" style="1" hidden="1" customWidth="1"/>
    <col min="7142" max="7142" width="13.42578125" style="1" customWidth="1"/>
    <col min="7143" max="7178" width="0" style="1" hidden="1" customWidth="1"/>
    <col min="7179" max="7193" width="6.7109375" style="1" customWidth="1"/>
    <col min="7194" max="7194" width="9.140625" style="1"/>
    <col min="7195" max="7195" width="10.42578125" style="1" customWidth="1"/>
    <col min="7196" max="7196" width="14.5703125" style="1" customWidth="1"/>
    <col min="7197" max="7232" width="0" style="1" hidden="1" customWidth="1"/>
    <col min="7233" max="7247" width="6.7109375" style="1" customWidth="1"/>
    <col min="7248" max="7394" width="9.140625" style="1"/>
    <col min="7395" max="7395" width="2.42578125" style="1" customWidth="1"/>
    <col min="7396" max="7396" width="10.42578125" style="1" customWidth="1"/>
    <col min="7397" max="7397" width="0" style="1" hidden="1" customWidth="1"/>
    <col min="7398" max="7398" width="13.42578125" style="1" customWidth="1"/>
    <col min="7399" max="7434" width="0" style="1" hidden="1" customWidth="1"/>
    <col min="7435" max="7449" width="6.7109375" style="1" customWidth="1"/>
    <col min="7450" max="7450" width="9.140625" style="1"/>
    <col min="7451" max="7451" width="10.42578125" style="1" customWidth="1"/>
    <col min="7452" max="7452" width="14.5703125" style="1" customWidth="1"/>
    <col min="7453" max="7488" width="0" style="1" hidden="1" customWidth="1"/>
    <col min="7489" max="7503" width="6.7109375" style="1" customWidth="1"/>
    <col min="7504" max="7650" width="9.140625" style="1"/>
    <col min="7651" max="7651" width="2.42578125" style="1" customWidth="1"/>
    <col min="7652" max="7652" width="10.42578125" style="1" customWidth="1"/>
    <col min="7653" max="7653" width="0" style="1" hidden="1" customWidth="1"/>
    <col min="7654" max="7654" width="13.42578125" style="1" customWidth="1"/>
    <col min="7655" max="7690" width="0" style="1" hidden="1" customWidth="1"/>
    <col min="7691" max="7705" width="6.7109375" style="1" customWidth="1"/>
    <col min="7706" max="7706" width="9.140625" style="1"/>
    <col min="7707" max="7707" width="10.42578125" style="1" customWidth="1"/>
    <col min="7708" max="7708" width="14.5703125" style="1" customWidth="1"/>
    <col min="7709" max="7744" width="0" style="1" hidden="1" customWidth="1"/>
    <col min="7745" max="7759" width="6.7109375" style="1" customWidth="1"/>
    <col min="7760" max="7906" width="9.140625" style="1"/>
    <col min="7907" max="7907" width="2.42578125" style="1" customWidth="1"/>
    <col min="7908" max="7908" width="10.42578125" style="1" customWidth="1"/>
    <col min="7909" max="7909" width="0" style="1" hidden="1" customWidth="1"/>
    <col min="7910" max="7910" width="13.42578125" style="1" customWidth="1"/>
    <col min="7911" max="7946" width="0" style="1" hidden="1" customWidth="1"/>
    <col min="7947" max="7961" width="6.7109375" style="1" customWidth="1"/>
    <col min="7962" max="7962" width="9.140625" style="1"/>
    <col min="7963" max="7963" width="10.42578125" style="1" customWidth="1"/>
    <col min="7964" max="7964" width="14.5703125" style="1" customWidth="1"/>
    <col min="7965" max="8000" width="0" style="1" hidden="1" customWidth="1"/>
    <col min="8001" max="8015" width="6.7109375" style="1" customWidth="1"/>
    <col min="8016" max="8162" width="9.140625" style="1"/>
    <col min="8163" max="8163" width="2.42578125" style="1" customWidth="1"/>
    <col min="8164" max="8164" width="10.42578125" style="1" customWidth="1"/>
    <col min="8165" max="8165" width="0" style="1" hidden="1" customWidth="1"/>
    <col min="8166" max="8166" width="13.42578125" style="1" customWidth="1"/>
    <col min="8167" max="8202" width="0" style="1" hidden="1" customWidth="1"/>
    <col min="8203" max="8217" width="6.7109375" style="1" customWidth="1"/>
    <col min="8218" max="8218" width="9.140625" style="1"/>
    <col min="8219" max="8219" width="10.42578125" style="1" customWidth="1"/>
    <col min="8220" max="8220" width="14.5703125" style="1" customWidth="1"/>
    <col min="8221" max="8256" width="0" style="1" hidden="1" customWidth="1"/>
    <col min="8257" max="8271" width="6.7109375" style="1" customWidth="1"/>
    <col min="8272" max="8418" width="9.140625" style="1"/>
    <col min="8419" max="8419" width="2.42578125" style="1" customWidth="1"/>
    <col min="8420" max="8420" width="10.42578125" style="1" customWidth="1"/>
    <col min="8421" max="8421" width="0" style="1" hidden="1" customWidth="1"/>
    <col min="8422" max="8422" width="13.42578125" style="1" customWidth="1"/>
    <col min="8423" max="8458" width="0" style="1" hidden="1" customWidth="1"/>
    <col min="8459" max="8473" width="6.7109375" style="1" customWidth="1"/>
    <col min="8474" max="8474" width="9.140625" style="1"/>
    <col min="8475" max="8475" width="10.42578125" style="1" customWidth="1"/>
    <col min="8476" max="8476" width="14.5703125" style="1" customWidth="1"/>
    <col min="8477" max="8512" width="0" style="1" hidden="1" customWidth="1"/>
    <col min="8513" max="8527" width="6.7109375" style="1" customWidth="1"/>
    <col min="8528" max="8674" width="9.140625" style="1"/>
    <col min="8675" max="8675" width="2.42578125" style="1" customWidth="1"/>
    <col min="8676" max="8676" width="10.42578125" style="1" customWidth="1"/>
    <col min="8677" max="8677" width="0" style="1" hidden="1" customWidth="1"/>
    <col min="8678" max="8678" width="13.42578125" style="1" customWidth="1"/>
    <col min="8679" max="8714" width="0" style="1" hidden="1" customWidth="1"/>
    <col min="8715" max="8729" width="6.7109375" style="1" customWidth="1"/>
    <col min="8730" max="8730" width="9.140625" style="1"/>
    <col min="8731" max="8731" width="10.42578125" style="1" customWidth="1"/>
    <col min="8732" max="8732" width="14.5703125" style="1" customWidth="1"/>
    <col min="8733" max="8768" width="0" style="1" hidden="1" customWidth="1"/>
    <col min="8769" max="8783" width="6.7109375" style="1" customWidth="1"/>
    <col min="8784" max="8930" width="9.140625" style="1"/>
    <col min="8931" max="8931" width="2.42578125" style="1" customWidth="1"/>
    <col min="8932" max="8932" width="10.42578125" style="1" customWidth="1"/>
    <col min="8933" max="8933" width="0" style="1" hidden="1" customWidth="1"/>
    <col min="8934" max="8934" width="13.42578125" style="1" customWidth="1"/>
    <col min="8935" max="8970" width="0" style="1" hidden="1" customWidth="1"/>
    <col min="8971" max="8985" width="6.7109375" style="1" customWidth="1"/>
    <col min="8986" max="8986" width="9.140625" style="1"/>
    <col min="8987" max="8987" width="10.42578125" style="1" customWidth="1"/>
    <col min="8988" max="8988" width="14.5703125" style="1" customWidth="1"/>
    <col min="8989" max="9024" width="0" style="1" hidden="1" customWidth="1"/>
    <col min="9025" max="9039" width="6.7109375" style="1" customWidth="1"/>
    <col min="9040" max="9186" width="9.140625" style="1"/>
    <col min="9187" max="9187" width="2.42578125" style="1" customWidth="1"/>
    <col min="9188" max="9188" width="10.42578125" style="1" customWidth="1"/>
    <col min="9189" max="9189" width="0" style="1" hidden="1" customWidth="1"/>
    <col min="9190" max="9190" width="13.42578125" style="1" customWidth="1"/>
    <col min="9191" max="9226" width="0" style="1" hidden="1" customWidth="1"/>
    <col min="9227" max="9241" width="6.7109375" style="1" customWidth="1"/>
    <col min="9242" max="9242" width="9.140625" style="1"/>
    <col min="9243" max="9243" width="10.42578125" style="1" customWidth="1"/>
    <col min="9244" max="9244" width="14.5703125" style="1" customWidth="1"/>
    <col min="9245" max="9280" width="0" style="1" hidden="1" customWidth="1"/>
    <col min="9281" max="9295" width="6.7109375" style="1" customWidth="1"/>
    <col min="9296" max="9442" width="9.140625" style="1"/>
    <col min="9443" max="9443" width="2.42578125" style="1" customWidth="1"/>
    <col min="9444" max="9444" width="10.42578125" style="1" customWidth="1"/>
    <col min="9445" max="9445" width="0" style="1" hidden="1" customWidth="1"/>
    <col min="9446" max="9446" width="13.42578125" style="1" customWidth="1"/>
    <col min="9447" max="9482" width="0" style="1" hidden="1" customWidth="1"/>
    <col min="9483" max="9497" width="6.7109375" style="1" customWidth="1"/>
    <col min="9498" max="9498" width="9.140625" style="1"/>
    <col min="9499" max="9499" width="10.42578125" style="1" customWidth="1"/>
    <col min="9500" max="9500" width="14.5703125" style="1" customWidth="1"/>
    <col min="9501" max="9536" width="0" style="1" hidden="1" customWidth="1"/>
    <col min="9537" max="9551" width="6.7109375" style="1" customWidth="1"/>
    <col min="9552" max="9698" width="9.140625" style="1"/>
    <col min="9699" max="9699" width="2.42578125" style="1" customWidth="1"/>
    <col min="9700" max="9700" width="10.42578125" style="1" customWidth="1"/>
    <col min="9701" max="9701" width="0" style="1" hidden="1" customWidth="1"/>
    <col min="9702" max="9702" width="13.42578125" style="1" customWidth="1"/>
    <col min="9703" max="9738" width="0" style="1" hidden="1" customWidth="1"/>
    <col min="9739" max="9753" width="6.7109375" style="1" customWidth="1"/>
    <col min="9754" max="9754" width="9.140625" style="1"/>
    <col min="9755" max="9755" width="10.42578125" style="1" customWidth="1"/>
    <col min="9756" max="9756" width="14.5703125" style="1" customWidth="1"/>
    <col min="9757" max="9792" width="0" style="1" hidden="1" customWidth="1"/>
    <col min="9793" max="9807" width="6.7109375" style="1" customWidth="1"/>
    <col min="9808" max="9954" width="9.140625" style="1"/>
    <col min="9955" max="9955" width="2.42578125" style="1" customWidth="1"/>
    <col min="9956" max="9956" width="10.42578125" style="1" customWidth="1"/>
    <col min="9957" max="9957" width="0" style="1" hidden="1" customWidth="1"/>
    <col min="9958" max="9958" width="13.42578125" style="1" customWidth="1"/>
    <col min="9959" max="9994" width="0" style="1" hidden="1" customWidth="1"/>
    <col min="9995" max="10009" width="6.7109375" style="1" customWidth="1"/>
    <col min="10010" max="10010" width="9.140625" style="1"/>
    <col min="10011" max="10011" width="10.42578125" style="1" customWidth="1"/>
    <col min="10012" max="10012" width="14.5703125" style="1" customWidth="1"/>
    <col min="10013" max="10048" width="0" style="1" hidden="1" customWidth="1"/>
    <col min="10049" max="10063" width="6.7109375" style="1" customWidth="1"/>
    <col min="10064" max="10210" width="9.140625" style="1"/>
    <col min="10211" max="10211" width="2.42578125" style="1" customWidth="1"/>
    <col min="10212" max="10212" width="10.42578125" style="1" customWidth="1"/>
    <col min="10213" max="10213" width="0" style="1" hidden="1" customWidth="1"/>
    <col min="10214" max="10214" width="13.42578125" style="1" customWidth="1"/>
    <col min="10215" max="10250" width="0" style="1" hidden="1" customWidth="1"/>
    <col min="10251" max="10265" width="6.7109375" style="1" customWidth="1"/>
    <col min="10266" max="10266" width="9.140625" style="1"/>
    <col min="10267" max="10267" width="10.42578125" style="1" customWidth="1"/>
    <col min="10268" max="10268" width="14.5703125" style="1" customWidth="1"/>
    <col min="10269" max="10304" width="0" style="1" hidden="1" customWidth="1"/>
    <col min="10305" max="10319" width="6.7109375" style="1" customWidth="1"/>
    <col min="10320" max="10466" width="9.140625" style="1"/>
    <col min="10467" max="10467" width="2.42578125" style="1" customWidth="1"/>
    <col min="10468" max="10468" width="10.42578125" style="1" customWidth="1"/>
    <col min="10469" max="10469" width="0" style="1" hidden="1" customWidth="1"/>
    <col min="10470" max="10470" width="13.42578125" style="1" customWidth="1"/>
    <col min="10471" max="10506" width="0" style="1" hidden="1" customWidth="1"/>
    <col min="10507" max="10521" width="6.7109375" style="1" customWidth="1"/>
    <col min="10522" max="10522" width="9.140625" style="1"/>
    <col min="10523" max="10523" width="10.42578125" style="1" customWidth="1"/>
    <col min="10524" max="10524" width="14.5703125" style="1" customWidth="1"/>
    <col min="10525" max="10560" width="0" style="1" hidden="1" customWidth="1"/>
    <col min="10561" max="10575" width="6.7109375" style="1" customWidth="1"/>
    <col min="10576" max="10722" width="9.140625" style="1"/>
    <col min="10723" max="10723" width="2.42578125" style="1" customWidth="1"/>
    <col min="10724" max="10724" width="10.42578125" style="1" customWidth="1"/>
    <col min="10725" max="10725" width="0" style="1" hidden="1" customWidth="1"/>
    <col min="10726" max="10726" width="13.42578125" style="1" customWidth="1"/>
    <col min="10727" max="10762" width="0" style="1" hidden="1" customWidth="1"/>
    <col min="10763" max="10777" width="6.7109375" style="1" customWidth="1"/>
    <col min="10778" max="10778" width="9.140625" style="1"/>
    <col min="10779" max="10779" width="10.42578125" style="1" customWidth="1"/>
    <col min="10780" max="10780" width="14.5703125" style="1" customWidth="1"/>
    <col min="10781" max="10816" width="0" style="1" hidden="1" customWidth="1"/>
    <col min="10817" max="10831" width="6.7109375" style="1" customWidth="1"/>
    <col min="10832" max="10978" width="9.140625" style="1"/>
    <col min="10979" max="10979" width="2.42578125" style="1" customWidth="1"/>
    <col min="10980" max="10980" width="10.42578125" style="1" customWidth="1"/>
    <col min="10981" max="10981" width="0" style="1" hidden="1" customWidth="1"/>
    <col min="10982" max="10982" width="13.42578125" style="1" customWidth="1"/>
    <col min="10983" max="11018" width="0" style="1" hidden="1" customWidth="1"/>
    <col min="11019" max="11033" width="6.7109375" style="1" customWidth="1"/>
    <col min="11034" max="11034" width="9.140625" style="1"/>
    <col min="11035" max="11035" width="10.42578125" style="1" customWidth="1"/>
    <col min="11036" max="11036" width="14.5703125" style="1" customWidth="1"/>
    <col min="11037" max="11072" width="0" style="1" hidden="1" customWidth="1"/>
    <col min="11073" max="11087" width="6.7109375" style="1" customWidth="1"/>
    <col min="11088" max="11234" width="9.140625" style="1"/>
    <col min="11235" max="11235" width="2.42578125" style="1" customWidth="1"/>
    <col min="11236" max="11236" width="10.42578125" style="1" customWidth="1"/>
    <col min="11237" max="11237" width="0" style="1" hidden="1" customWidth="1"/>
    <col min="11238" max="11238" width="13.42578125" style="1" customWidth="1"/>
    <col min="11239" max="11274" width="0" style="1" hidden="1" customWidth="1"/>
    <col min="11275" max="11289" width="6.7109375" style="1" customWidth="1"/>
    <col min="11290" max="11290" width="9.140625" style="1"/>
    <col min="11291" max="11291" width="10.42578125" style="1" customWidth="1"/>
    <col min="11292" max="11292" width="14.5703125" style="1" customWidth="1"/>
    <col min="11293" max="11328" width="0" style="1" hidden="1" customWidth="1"/>
    <col min="11329" max="11343" width="6.7109375" style="1" customWidth="1"/>
    <col min="11344" max="11490" width="9.140625" style="1"/>
    <col min="11491" max="11491" width="2.42578125" style="1" customWidth="1"/>
    <col min="11492" max="11492" width="10.42578125" style="1" customWidth="1"/>
    <col min="11493" max="11493" width="0" style="1" hidden="1" customWidth="1"/>
    <col min="11494" max="11494" width="13.42578125" style="1" customWidth="1"/>
    <col min="11495" max="11530" width="0" style="1" hidden="1" customWidth="1"/>
    <col min="11531" max="11545" width="6.7109375" style="1" customWidth="1"/>
    <col min="11546" max="11546" width="9.140625" style="1"/>
    <col min="11547" max="11547" width="10.42578125" style="1" customWidth="1"/>
    <col min="11548" max="11548" width="14.5703125" style="1" customWidth="1"/>
    <col min="11549" max="11584" width="0" style="1" hidden="1" customWidth="1"/>
    <col min="11585" max="11599" width="6.7109375" style="1" customWidth="1"/>
    <col min="11600" max="11746" width="9.140625" style="1"/>
    <col min="11747" max="11747" width="2.42578125" style="1" customWidth="1"/>
    <col min="11748" max="11748" width="10.42578125" style="1" customWidth="1"/>
    <col min="11749" max="11749" width="0" style="1" hidden="1" customWidth="1"/>
    <col min="11750" max="11750" width="13.42578125" style="1" customWidth="1"/>
    <col min="11751" max="11786" width="0" style="1" hidden="1" customWidth="1"/>
    <col min="11787" max="11801" width="6.7109375" style="1" customWidth="1"/>
    <col min="11802" max="11802" width="9.140625" style="1"/>
    <col min="11803" max="11803" width="10.42578125" style="1" customWidth="1"/>
    <col min="11804" max="11804" width="14.5703125" style="1" customWidth="1"/>
    <col min="11805" max="11840" width="0" style="1" hidden="1" customWidth="1"/>
    <col min="11841" max="11855" width="6.7109375" style="1" customWidth="1"/>
    <col min="11856" max="12002" width="9.140625" style="1"/>
    <col min="12003" max="12003" width="2.42578125" style="1" customWidth="1"/>
    <col min="12004" max="12004" width="10.42578125" style="1" customWidth="1"/>
    <col min="12005" max="12005" width="0" style="1" hidden="1" customWidth="1"/>
    <col min="12006" max="12006" width="13.42578125" style="1" customWidth="1"/>
    <col min="12007" max="12042" width="0" style="1" hidden="1" customWidth="1"/>
    <col min="12043" max="12057" width="6.7109375" style="1" customWidth="1"/>
    <col min="12058" max="12058" width="9.140625" style="1"/>
    <col min="12059" max="12059" width="10.42578125" style="1" customWidth="1"/>
    <col min="12060" max="12060" width="14.5703125" style="1" customWidth="1"/>
    <col min="12061" max="12096" width="0" style="1" hidden="1" customWidth="1"/>
    <col min="12097" max="12111" width="6.7109375" style="1" customWidth="1"/>
    <col min="12112" max="12258" width="9.140625" style="1"/>
    <col min="12259" max="12259" width="2.42578125" style="1" customWidth="1"/>
    <col min="12260" max="12260" width="10.42578125" style="1" customWidth="1"/>
    <col min="12261" max="12261" width="0" style="1" hidden="1" customWidth="1"/>
    <col min="12262" max="12262" width="13.42578125" style="1" customWidth="1"/>
    <col min="12263" max="12298" width="0" style="1" hidden="1" customWidth="1"/>
    <col min="12299" max="12313" width="6.7109375" style="1" customWidth="1"/>
    <col min="12314" max="12314" width="9.140625" style="1"/>
    <col min="12315" max="12315" width="10.42578125" style="1" customWidth="1"/>
    <col min="12316" max="12316" width="14.5703125" style="1" customWidth="1"/>
    <col min="12317" max="12352" width="0" style="1" hidden="1" customWidth="1"/>
    <col min="12353" max="12367" width="6.7109375" style="1" customWidth="1"/>
    <col min="12368" max="12514" width="9.140625" style="1"/>
    <col min="12515" max="12515" width="2.42578125" style="1" customWidth="1"/>
    <col min="12516" max="12516" width="10.42578125" style="1" customWidth="1"/>
    <col min="12517" max="12517" width="0" style="1" hidden="1" customWidth="1"/>
    <col min="12518" max="12518" width="13.42578125" style="1" customWidth="1"/>
    <col min="12519" max="12554" width="0" style="1" hidden="1" customWidth="1"/>
    <col min="12555" max="12569" width="6.7109375" style="1" customWidth="1"/>
    <col min="12570" max="12570" width="9.140625" style="1"/>
    <col min="12571" max="12571" width="10.42578125" style="1" customWidth="1"/>
    <col min="12572" max="12572" width="14.5703125" style="1" customWidth="1"/>
    <col min="12573" max="12608" width="0" style="1" hidden="1" customWidth="1"/>
    <col min="12609" max="12623" width="6.7109375" style="1" customWidth="1"/>
    <col min="12624" max="12770" width="9.140625" style="1"/>
    <col min="12771" max="12771" width="2.42578125" style="1" customWidth="1"/>
    <col min="12772" max="12772" width="10.42578125" style="1" customWidth="1"/>
    <col min="12773" max="12773" width="0" style="1" hidden="1" customWidth="1"/>
    <col min="12774" max="12774" width="13.42578125" style="1" customWidth="1"/>
    <col min="12775" max="12810" width="0" style="1" hidden="1" customWidth="1"/>
    <col min="12811" max="12825" width="6.7109375" style="1" customWidth="1"/>
    <col min="12826" max="12826" width="9.140625" style="1"/>
    <col min="12827" max="12827" width="10.42578125" style="1" customWidth="1"/>
    <col min="12828" max="12828" width="14.5703125" style="1" customWidth="1"/>
    <col min="12829" max="12864" width="0" style="1" hidden="1" customWidth="1"/>
    <col min="12865" max="12879" width="6.7109375" style="1" customWidth="1"/>
    <col min="12880" max="13026" width="9.140625" style="1"/>
    <col min="13027" max="13027" width="2.42578125" style="1" customWidth="1"/>
    <col min="13028" max="13028" width="10.42578125" style="1" customWidth="1"/>
    <col min="13029" max="13029" width="0" style="1" hidden="1" customWidth="1"/>
    <col min="13030" max="13030" width="13.42578125" style="1" customWidth="1"/>
    <col min="13031" max="13066" width="0" style="1" hidden="1" customWidth="1"/>
    <col min="13067" max="13081" width="6.7109375" style="1" customWidth="1"/>
    <col min="13082" max="13082" width="9.140625" style="1"/>
    <col min="13083" max="13083" width="10.42578125" style="1" customWidth="1"/>
    <col min="13084" max="13084" width="14.5703125" style="1" customWidth="1"/>
    <col min="13085" max="13120" width="0" style="1" hidden="1" customWidth="1"/>
    <col min="13121" max="13135" width="6.7109375" style="1" customWidth="1"/>
    <col min="13136" max="13282" width="9.140625" style="1"/>
    <col min="13283" max="13283" width="2.42578125" style="1" customWidth="1"/>
    <col min="13284" max="13284" width="10.42578125" style="1" customWidth="1"/>
    <col min="13285" max="13285" width="0" style="1" hidden="1" customWidth="1"/>
    <col min="13286" max="13286" width="13.42578125" style="1" customWidth="1"/>
    <col min="13287" max="13322" width="0" style="1" hidden="1" customWidth="1"/>
    <col min="13323" max="13337" width="6.7109375" style="1" customWidth="1"/>
    <col min="13338" max="13338" width="9.140625" style="1"/>
    <col min="13339" max="13339" width="10.42578125" style="1" customWidth="1"/>
    <col min="13340" max="13340" width="14.5703125" style="1" customWidth="1"/>
    <col min="13341" max="13376" width="0" style="1" hidden="1" customWidth="1"/>
    <col min="13377" max="13391" width="6.7109375" style="1" customWidth="1"/>
    <col min="13392" max="13538" width="9.140625" style="1"/>
    <col min="13539" max="13539" width="2.42578125" style="1" customWidth="1"/>
    <col min="13540" max="13540" width="10.42578125" style="1" customWidth="1"/>
    <col min="13541" max="13541" width="0" style="1" hidden="1" customWidth="1"/>
    <col min="13542" max="13542" width="13.42578125" style="1" customWidth="1"/>
    <col min="13543" max="13578" width="0" style="1" hidden="1" customWidth="1"/>
    <col min="13579" max="13593" width="6.7109375" style="1" customWidth="1"/>
    <col min="13594" max="13594" width="9.140625" style="1"/>
    <col min="13595" max="13595" width="10.42578125" style="1" customWidth="1"/>
    <col min="13596" max="13596" width="14.5703125" style="1" customWidth="1"/>
    <col min="13597" max="13632" width="0" style="1" hidden="1" customWidth="1"/>
    <col min="13633" max="13647" width="6.7109375" style="1" customWidth="1"/>
    <col min="13648" max="13794" width="9.140625" style="1"/>
    <col min="13795" max="13795" width="2.42578125" style="1" customWidth="1"/>
    <col min="13796" max="13796" width="10.42578125" style="1" customWidth="1"/>
    <col min="13797" max="13797" width="0" style="1" hidden="1" customWidth="1"/>
    <col min="13798" max="13798" width="13.42578125" style="1" customWidth="1"/>
    <col min="13799" max="13834" width="0" style="1" hidden="1" customWidth="1"/>
    <col min="13835" max="13849" width="6.7109375" style="1" customWidth="1"/>
    <col min="13850" max="13850" width="9.140625" style="1"/>
    <col min="13851" max="13851" width="10.42578125" style="1" customWidth="1"/>
    <col min="13852" max="13852" width="14.5703125" style="1" customWidth="1"/>
    <col min="13853" max="13888" width="0" style="1" hidden="1" customWidth="1"/>
    <col min="13889" max="13903" width="6.7109375" style="1" customWidth="1"/>
    <col min="13904" max="14050" width="9.140625" style="1"/>
    <col min="14051" max="14051" width="2.42578125" style="1" customWidth="1"/>
    <col min="14052" max="14052" width="10.42578125" style="1" customWidth="1"/>
    <col min="14053" max="14053" width="0" style="1" hidden="1" customWidth="1"/>
    <col min="14054" max="14054" width="13.42578125" style="1" customWidth="1"/>
    <col min="14055" max="14090" width="0" style="1" hidden="1" customWidth="1"/>
    <col min="14091" max="14105" width="6.7109375" style="1" customWidth="1"/>
    <col min="14106" max="14106" width="9.140625" style="1"/>
    <col min="14107" max="14107" width="10.42578125" style="1" customWidth="1"/>
    <col min="14108" max="14108" width="14.5703125" style="1" customWidth="1"/>
    <col min="14109" max="14144" width="0" style="1" hidden="1" customWidth="1"/>
    <col min="14145" max="14159" width="6.7109375" style="1" customWidth="1"/>
    <col min="14160" max="14306" width="9.140625" style="1"/>
    <col min="14307" max="14307" width="2.42578125" style="1" customWidth="1"/>
    <col min="14308" max="14308" width="10.42578125" style="1" customWidth="1"/>
    <col min="14309" max="14309" width="0" style="1" hidden="1" customWidth="1"/>
    <col min="14310" max="14310" width="13.42578125" style="1" customWidth="1"/>
    <col min="14311" max="14346" width="0" style="1" hidden="1" customWidth="1"/>
    <col min="14347" max="14361" width="6.7109375" style="1" customWidth="1"/>
    <col min="14362" max="14362" width="9.140625" style="1"/>
    <col min="14363" max="14363" width="10.42578125" style="1" customWidth="1"/>
    <col min="14364" max="14364" width="14.5703125" style="1" customWidth="1"/>
    <col min="14365" max="14400" width="0" style="1" hidden="1" customWidth="1"/>
    <col min="14401" max="14415" width="6.7109375" style="1" customWidth="1"/>
    <col min="14416" max="14562" width="9.140625" style="1"/>
    <col min="14563" max="14563" width="2.42578125" style="1" customWidth="1"/>
    <col min="14564" max="14564" width="10.42578125" style="1" customWidth="1"/>
    <col min="14565" max="14565" width="0" style="1" hidden="1" customWidth="1"/>
    <col min="14566" max="14566" width="13.42578125" style="1" customWidth="1"/>
    <col min="14567" max="14602" width="0" style="1" hidden="1" customWidth="1"/>
    <col min="14603" max="14617" width="6.7109375" style="1" customWidth="1"/>
    <col min="14618" max="14618" width="9.140625" style="1"/>
    <col min="14619" max="14619" width="10.42578125" style="1" customWidth="1"/>
    <col min="14620" max="14620" width="14.5703125" style="1" customWidth="1"/>
    <col min="14621" max="14656" width="0" style="1" hidden="1" customWidth="1"/>
    <col min="14657" max="14671" width="6.7109375" style="1" customWidth="1"/>
    <col min="14672" max="14818" width="9.140625" style="1"/>
    <col min="14819" max="14819" width="2.42578125" style="1" customWidth="1"/>
    <col min="14820" max="14820" width="10.42578125" style="1" customWidth="1"/>
    <col min="14821" max="14821" width="0" style="1" hidden="1" customWidth="1"/>
    <col min="14822" max="14822" width="13.42578125" style="1" customWidth="1"/>
    <col min="14823" max="14858" width="0" style="1" hidden="1" customWidth="1"/>
    <col min="14859" max="14873" width="6.7109375" style="1" customWidth="1"/>
    <col min="14874" max="14874" width="9.140625" style="1"/>
    <col min="14875" max="14875" width="10.42578125" style="1" customWidth="1"/>
    <col min="14876" max="14876" width="14.5703125" style="1" customWidth="1"/>
    <col min="14877" max="14912" width="0" style="1" hidden="1" customWidth="1"/>
    <col min="14913" max="14927" width="6.7109375" style="1" customWidth="1"/>
    <col min="14928" max="15074" width="9.140625" style="1"/>
    <col min="15075" max="15075" width="2.42578125" style="1" customWidth="1"/>
    <col min="15076" max="15076" width="10.42578125" style="1" customWidth="1"/>
    <col min="15077" max="15077" width="0" style="1" hidden="1" customWidth="1"/>
    <col min="15078" max="15078" width="13.42578125" style="1" customWidth="1"/>
    <col min="15079" max="15114" width="0" style="1" hidden="1" customWidth="1"/>
    <col min="15115" max="15129" width="6.7109375" style="1" customWidth="1"/>
    <col min="15130" max="15130" width="9.140625" style="1"/>
    <col min="15131" max="15131" width="10.42578125" style="1" customWidth="1"/>
    <col min="15132" max="15132" width="14.5703125" style="1" customWidth="1"/>
    <col min="15133" max="15168" width="0" style="1" hidden="1" customWidth="1"/>
    <col min="15169" max="15183" width="6.7109375" style="1" customWidth="1"/>
    <col min="15184" max="15330" width="9.140625" style="1"/>
    <col min="15331" max="15331" width="2.42578125" style="1" customWidth="1"/>
    <col min="15332" max="15332" width="10.42578125" style="1" customWidth="1"/>
    <col min="15333" max="15333" width="0" style="1" hidden="1" customWidth="1"/>
    <col min="15334" max="15334" width="13.42578125" style="1" customWidth="1"/>
    <col min="15335" max="15370" width="0" style="1" hidden="1" customWidth="1"/>
    <col min="15371" max="15385" width="6.7109375" style="1" customWidth="1"/>
    <col min="15386" max="15386" width="9.140625" style="1"/>
    <col min="15387" max="15387" width="10.42578125" style="1" customWidth="1"/>
    <col min="15388" max="15388" width="14.5703125" style="1" customWidth="1"/>
    <col min="15389" max="15424" width="0" style="1" hidden="1" customWidth="1"/>
    <col min="15425" max="15439" width="6.7109375" style="1" customWidth="1"/>
    <col min="15440" max="15586" width="9.140625" style="1"/>
    <col min="15587" max="15587" width="2.42578125" style="1" customWidth="1"/>
    <col min="15588" max="15588" width="10.42578125" style="1" customWidth="1"/>
    <col min="15589" max="15589" width="0" style="1" hidden="1" customWidth="1"/>
    <col min="15590" max="15590" width="13.42578125" style="1" customWidth="1"/>
    <col min="15591" max="15626" width="0" style="1" hidden="1" customWidth="1"/>
    <col min="15627" max="15641" width="6.7109375" style="1" customWidth="1"/>
    <col min="15642" max="15642" width="9.140625" style="1"/>
    <col min="15643" max="15643" width="10.42578125" style="1" customWidth="1"/>
    <col min="15644" max="15644" width="14.5703125" style="1" customWidth="1"/>
    <col min="15645" max="15680" width="0" style="1" hidden="1" customWidth="1"/>
    <col min="15681" max="15695" width="6.7109375" style="1" customWidth="1"/>
    <col min="15696" max="15842" width="9.140625" style="1"/>
    <col min="15843" max="15843" width="2.42578125" style="1" customWidth="1"/>
    <col min="15844" max="15844" width="10.42578125" style="1" customWidth="1"/>
    <col min="15845" max="15845" width="0" style="1" hidden="1" customWidth="1"/>
    <col min="15846" max="15846" width="13.42578125" style="1" customWidth="1"/>
    <col min="15847" max="15882" width="0" style="1" hidden="1" customWidth="1"/>
    <col min="15883" max="15897" width="6.7109375" style="1" customWidth="1"/>
    <col min="15898" max="15898" width="9.140625" style="1"/>
    <col min="15899" max="15899" width="10.42578125" style="1" customWidth="1"/>
    <col min="15900" max="15900" width="14.5703125" style="1" customWidth="1"/>
    <col min="15901" max="15936" width="0" style="1" hidden="1" customWidth="1"/>
    <col min="15937" max="15951" width="6.7109375" style="1" customWidth="1"/>
    <col min="15952" max="16098" width="9.140625" style="1"/>
    <col min="16099" max="16099" width="2.42578125" style="1" customWidth="1"/>
    <col min="16100" max="16100" width="10.42578125" style="1" customWidth="1"/>
    <col min="16101" max="16101" width="0" style="1" hidden="1" customWidth="1"/>
    <col min="16102" max="16102" width="13.42578125" style="1" customWidth="1"/>
    <col min="16103" max="16138" width="0" style="1" hidden="1" customWidth="1"/>
    <col min="16139" max="16153" width="6.7109375" style="1" customWidth="1"/>
    <col min="16154" max="16154" width="9.140625" style="1"/>
    <col min="16155" max="16155" width="10.42578125" style="1" customWidth="1"/>
    <col min="16156" max="16156" width="14.5703125" style="1" customWidth="1"/>
    <col min="16157" max="16192" width="0" style="1" hidden="1" customWidth="1"/>
    <col min="16193" max="16207" width="6.7109375" style="1" customWidth="1"/>
    <col min="16208" max="16384" width="9.140625" style="1"/>
  </cols>
  <sheetData>
    <row r="2" spans="1:110" ht="15" customHeight="1" x14ac:dyDescent="0.25">
      <c r="A2" s="98" t="s">
        <v>20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2"/>
    </row>
    <row r="3" spans="1:110" ht="13.5" customHeight="1" x14ac:dyDescent="0.2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24"/>
    </row>
    <row r="4" spans="1:110" ht="15" customHeight="1" x14ac:dyDescent="0.25">
      <c r="A4" s="23"/>
      <c r="B4" s="29" t="s">
        <v>22</v>
      </c>
      <c r="C4" s="29"/>
      <c r="D4" s="29"/>
      <c r="E4" s="2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24"/>
    </row>
    <row r="5" spans="1:110" ht="15" customHeight="1" x14ac:dyDescent="0.25">
      <c r="A5" s="23"/>
      <c r="B5" s="44" t="s">
        <v>84</v>
      </c>
      <c r="C5" s="65"/>
      <c r="D5" s="65"/>
      <c r="E5" s="65"/>
      <c r="F5" s="3"/>
      <c r="G5" s="3"/>
      <c r="H5" s="3"/>
      <c r="I5" s="3"/>
      <c r="J5" s="3"/>
      <c r="K5" s="3"/>
      <c r="L5" s="4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24"/>
      <c r="AD5" s="40" t="s">
        <v>85</v>
      </c>
    </row>
    <row r="6" spans="1:110" ht="13.5" customHeight="1" thickBot="1" x14ac:dyDescent="0.25">
      <c r="A6" s="2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24"/>
      <c r="AD6" s="40" t="s">
        <v>58</v>
      </c>
    </row>
    <row r="7" spans="1:110" ht="13.5" customHeight="1" thickTop="1" x14ac:dyDescent="0.2">
      <c r="A7" s="23"/>
      <c r="B7" s="3"/>
      <c r="C7" s="4"/>
      <c r="D7" s="4"/>
      <c r="E7" s="4"/>
      <c r="F7" s="34" t="s">
        <v>74</v>
      </c>
      <c r="G7" s="35" t="s">
        <v>75</v>
      </c>
      <c r="H7" s="35" t="s">
        <v>76</v>
      </c>
      <c r="I7" s="35" t="s">
        <v>77</v>
      </c>
      <c r="J7" s="35" t="s">
        <v>78</v>
      </c>
      <c r="K7" s="35" t="s">
        <v>79</v>
      </c>
      <c r="L7" s="35" t="s">
        <v>73</v>
      </c>
      <c r="M7" s="35" t="s">
        <v>72</v>
      </c>
      <c r="N7" s="34" t="s">
        <v>71</v>
      </c>
      <c r="O7" s="35" t="s">
        <v>70</v>
      </c>
      <c r="P7" s="35" t="s">
        <v>69</v>
      </c>
      <c r="Q7" s="35" t="s">
        <v>40</v>
      </c>
      <c r="R7" s="35" t="s">
        <v>39</v>
      </c>
      <c r="S7" s="35" t="s">
        <v>38</v>
      </c>
      <c r="T7" s="35" t="s">
        <v>37</v>
      </c>
      <c r="U7" s="35" t="s">
        <v>36</v>
      </c>
      <c r="V7" s="35" t="s">
        <v>34</v>
      </c>
      <c r="W7" s="35" t="s">
        <v>33</v>
      </c>
      <c r="X7" s="35" t="s">
        <v>32</v>
      </c>
      <c r="Y7" s="35" t="s">
        <v>31</v>
      </c>
      <c r="Z7" s="35" t="s">
        <v>30</v>
      </c>
      <c r="AA7" s="35" t="s">
        <v>29</v>
      </c>
      <c r="AB7" s="24"/>
      <c r="AF7" s="81" t="s">
        <v>41</v>
      </c>
      <c r="AG7" s="81"/>
      <c r="AH7" s="81"/>
      <c r="AI7" s="81" t="s">
        <v>42</v>
      </c>
      <c r="AJ7" s="81"/>
      <c r="AK7" s="81"/>
      <c r="AL7" s="81" t="s">
        <v>43</v>
      </c>
      <c r="AM7" s="81"/>
      <c r="AN7" s="81"/>
      <c r="AO7" s="81" t="s">
        <v>44</v>
      </c>
      <c r="AP7" s="81"/>
      <c r="AQ7" s="81"/>
      <c r="AR7" s="81" t="s">
        <v>45</v>
      </c>
      <c r="AS7" s="81"/>
      <c r="AT7" s="81"/>
      <c r="AU7" s="81" t="s">
        <v>46</v>
      </c>
      <c r="AV7" s="81"/>
      <c r="AW7" s="81"/>
      <c r="AX7" s="81" t="s">
        <v>47</v>
      </c>
      <c r="AY7" s="81"/>
      <c r="AZ7" s="81"/>
      <c r="BA7" s="81" t="s">
        <v>48</v>
      </c>
      <c r="BB7" s="81"/>
      <c r="BC7" s="81"/>
      <c r="BD7" s="81" t="s">
        <v>49</v>
      </c>
      <c r="BE7" s="81"/>
      <c r="BF7" s="81"/>
      <c r="BG7" s="81" t="s">
        <v>50</v>
      </c>
      <c r="BH7" s="81"/>
      <c r="BI7" s="81"/>
      <c r="BJ7" s="81" t="s">
        <v>51</v>
      </c>
      <c r="BK7" s="81"/>
      <c r="BL7" s="81"/>
      <c r="BM7" s="81" t="s">
        <v>52</v>
      </c>
      <c r="BN7" s="81"/>
      <c r="BO7" s="81"/>
      <c r="BP7" s="81" t="s">
        <v>53</v>
      </c>
      <c r="BQ7" s="81"/>
      <c r="BR7" s="81"/>
      <c r="BS7" s="81" t="s">
        <v>54</v>
      </c>
      <c r="BT7" s="81"/>
      <c r="BU7" s="81"/>
      <c r="BV7" s="81" t="s">
        <v>55</v>
      </c>
      <c r="BW7" s="81"/>
      <c r="BX7" s="81"/>
      <c r="BY7" s="81" t="s">
        <v>56</v>
      </c>
      <c r="BZ7" s="81"/>
      <c r="CA7" s="81"/>
      <c r="CB7" s="81" t="s">
        <v>27</v>
      </c>
      <c r="CC7" s="81"/>
      <c r="CD7" s="81"/>
      <c r="CE7" s="81" t="s">
        <v>91</v>
      </c>
      <c r="CF7" s="81"/>
      <c r="CG7" s="81"/>
      <c r="CH7" s="81" t="s">
        <v>98</v>
      </c>
      <c r="CI7" s="81"/>
      <c r="CJ7" s="81"/>
      <c r="CK7" s="81" t="s">
        <v>102</v>
      </c>
      <c r="CL7" s="81"/>
      <c r="CM7" s="81"/>
      <c r="CN7" s="81" t="s">
        <v>105</v>
      </c>
      <c r="CO7" s="81"/>
      <c r="CP7" s="81"/>
      <c r="CQ7" s="81" t="s">
        <v>107</v>
      </c>
      <c r="CR7" s="81"/>
      <c r="CS7" s="81"/>
    </row>
    <row r="8" spans="1:110" ht="13.5" customHeight="1" x14ac:dyDescent="0.2">
      <c r="A8" s="23"/>
      <c r="B8" s="3"/>
      <c r="C8" s="4"/>
      <c r="D8" s="4"/>
      <c r="E8" s="4"/>
      <c r="F8" s="35" t="s">
        <v>35</v>
      </c>
      <c r="G8" s="35" t="s">
        <v>35</v>
      </c>
      <c r="H8" s="35" t="s">
        <v>35</v>
      </c>
      <c r="I8" s="35" t="s">
        <v>35</v>
      </c>
      <c r="J8" s="35" t="s">
        <v>35</v>
      </c>
      <c r="K8" s="35" t="s">
        <v>35</v>
      </c>
      <c r="L8" s="35" t="s">
        <v>35</v>
      </c>
      <c r="M8" s="35" t="s">
        <v>35</v>
      </c>
      <c r="N8" s="35" t="s">
        <v>35</v>
      </c>
      <c r="O8" s="35" t="s">
        <v>35</v>
      </c>
      <c r="P8" s="35" t="s">
        <v>35</v>
      </c>
      <c r="Q8" s="35" t="s">
        <v>35</v>
      </c>
      <c r="R8" s="35" t="s">
        <v>35</v>
      </c>
      <c r="S8" s="35" t="s">
        <v>35</v>
      </c>
      <c r="T8" s="35" t="s">
        <v>35</v>
      </c>
      <c r="U8" s="35" t="s">
        <v>35</v>
      </c>
      <c r="V8" s="35" t="s">
        <v>35</v>
      </c>
      <c r="W8" s="35" t="s">
        <v>35</v>
      </c>
      <c r="X8" s="35" t="s">
        <v>35</v>
      </c>
      <c r="Y8" s="35" t="s">
        <v>35</v>
      </c>
      <c r="Z8" s="35" t="s">
        <v>35</v>
      </c>
      <c r="AA8" s="35" t="s">
        <v>35</v>
      </c>
      <c r="AB8" s="24"/>
      <c r="AC8" s="3"/>
      <c r="AD8" s="3"/>
      <c r="AE8" s="3"/>
      <c r="AF8" s="81" t="s">
        <v>1</v>
      </c>
      <c r="AG8" s="81"/>
      <c r="AH8" s="81"/>
      <c r="AI8" s="81" t="s">
        <v>2</v>
      </c>
      <c r="AJ8" s="81"/>
      <c r="AK8" s="81"/>
      <c r="AL8" s="81" t="s">
        <v>3</v>
      </c>
      <c r="AM8" s="81"/>
      <c r="AN8" s="81"/>
      <c r="AO8" s="81" t="s">
        <v>4</v>
      </c>
      <c r="AP8" s="81"/>
      <c r="AQ8" s="81"/>
      <c r="AR8" s="81" t="s">
        <v>5</v>
      </c>
      <c r="AS8" s="81"/>
      <c r="AT8" s="81"/>
      <c r="AU8" s="81" t="s">
        <v>6</v>
      </c>
      <c r="AV8" s="81"/>
      <c r="AW8" s="81"/>
      <c r="AX8" s="81" t="s">
        <v>7</v>
      </c>
      <c r="AY8" s="81"/>
      <c r="AZ8" s="81"/>
      <c r="BA8" s="81" t="s">
        <v>8</v>
      </c>
      <c r="BB8" s="81"/>
      <c r="BC8" s="81"/>
      <c r="BD8" s="81" t="s">
        <v>9</v>
      </c>
      <c r="BE8" s="81"/>
      <c r="BF8" s="81"/>
      <c r="BG8" s="81" t="s">
        <v>10</v>
      </c>
      <c r="BH8" s="81"/>
      <c r="BI8" s="81"/>
      <c r="BJ8" s="81" t="s">
        <v>11</v>
      </c>
      <c r="BK8" s="81"/>
      <c r="BL8" s="81"/>
      <c r="BM8" s="81" t="s">
        <v>12</v>
      </c>
      <c r="BN8" s="81"/>
      <c r="BO8" s="81"/>
      <c r="BP8" s="81" t="s">
        <v>13</v>
      </c>
      <c r="BQ8" s="81"/>
      <c r="BR8" s="81"/>
      <c r="BS8" s="81" t="s">
        <v>14</v>
      </c>
      <c r="BT8" s="81"/>
      <c r="BU8" s="81"/>
      <c r="BV8" s="81" t="s">
        <v>15</v>
      </c>
      <c r="BW8" s="81"/>
      <c r="BX8" s="81"/>
      <c r="BY8" s="81" t="s">
        <v>16</v>
      </c>
      <c r="BZ8" s="81"/>
      <c r="CA8" s="81"/>
      <c r="CB8" s="81" t="s">
        <v>17</v>
      </c>
      <c r="CC8" s="81"/>
      <c r="CD8" s="81"/>
      <c r="CE8" s="81" t="s">
        <v>92</v>
      </c>
      <c r="CF8" s="81"/>
      <c r="CG8" s="81"/>
      <c r="CH8" s="81" t="s">
        <v>99</v>
      </c>
      <c r="CI8" s="81"/>
      <c r="CJ8" s="81"/>
      <c r="CK8" s="81" t="s">
        <v>101</v>
      </c>
      <c r="CL8" s="81"/>
      <c r="CM8" s="81"/>
      <c r="CN8" s="81" t="s">
        <v>104</v>
      </c>
      <c r="CO8" s="81"/>
      <c r="CP8" s="81"/>
      <c r="CQ8" s="81" t="s">
        <v>108</v>
      </c>
      <c r="CR8" s="81"/>
      <c r="CS8" s="81"/>
    </row>
    <row r="9" spans="1:110" ht="13.5" customHeight="1" x14ac:dyDescent="0.2">
      <c r="A9" s="23"/>
      <c r="B9" s="3"/>
      <c r="C9" s="6"/>
      <c r="D9" s="6"/>
      <c r="E9" s="6"/>
      <c r="F9" s="31" t="s">
        <v>73</v>
      </c>
      <c r="G9" s="31" t="s">
        <v>72</v>
      </c>
      <c r="H9" s="31" t="s">
        <v>71</v>
      </c>
      <c r="I9" s="31" t="s">
        <v>70</v>
      </c>
      <c r="J9" s="31" t="s">
        <v>69</v>
      </c>
      <c r="K9" s="31" t="s">
        <v>40</v>
      </c>
      <c r="L9" s="31" t="s">
        <v>39</v>
      </c>
      <c r="M9" s="31" t="s">
        <v>38</v>
      </c>
      <c r="N9" s="31" t="s">
        <v>37</v>
      </c>
      <c r="O9" s="31" t="s">
        <v>36</v>
      </c>
      <c r="P9" s="31" t="s">
        <v>34</v>
      </c>
      <c r="Q9" s="31" t="s">
        <v>33</v>
      </c>
      <c r="R9" s="31" t="s">
        <v>32</v>
      </c>
      <c r="S9" s="31" t="s">
        <v>31</v>
      </c>
      <c r="T9" s="31" t="s">
        <v>30</v>
      </c>
      <c r="U9" s="31" t="s">
        <v>29</v>
      </c>
      <c r="V9" s="31" t="s">
        <v>28</v>
      </c>
      <c r="W9" s="31" t="s">
        <v>90</v>
      </c>
      <c r="X9" s="31" t="s">
        <v>97</v>
      </c>
      <c r="Y9" s="31" t="s">
        <v>100</v>
      </c>
      <c r="Z9" s="31" t="s">
        <v>103</v>
      </c>
      <c r="AA9" s="31" t="s">
        <v>106</v>
      </c>
      <c r="AB9" s="25"/>
      <c r="AC9" s="7"/>
      <c r="AD9" s="7"/>
      <c r="AE9" s="7"/>
      <c r="AF9" s="35" t="s">
        <v>25</v>
      </c>
      <c r="AG9" s="35" t="s">
        <v>26</v>
      </c>
      <c r="AH9" s="35" t="s">
        <v>18</v>
      </c>
      <c r="AI9" s="35" t="s">
        <v>25</v>
      </c>
      <c r="AJ9" s="35" t="s">
        <v>26</v>
      </c>
      <c r="AK9" s="35" t="s">
        <v>18</v>
      </c>
      <c r="AL9" s="35" t="s">
        <v>25</v>
      </c>
      <c r="AM9" s="35" t="s">
        <v>26</v>
      </c>
      <c r="AN9" s="35" t="s">
        <v>18</v>
      </c>
      <c r="AO9" s="35" t="s">
        <v>25</v>
      </c>
      <c r="AP9" s="35" t="s">
        <v>26</v>
      </c>
      <c r="AQ9" s="35" t="s">
        <v>18</v>
      </c>
      <c r="AR9" s="35" t="s">
        <v>25</v>
      </c>
      <c r="AS9" s="35" t="s">
        <v>26</v>
      </c>
      <c r="AT9" s="35" t="s">
        <v>18</v>
      </c>
      <c r="AU9" s="35" t="s">
        <v>25</v>
      </c>
      <c r="AV9" s="35" t="s">
        <v>26</v>
      </c>
      <c r="AW9" s="35" t="s">
        <v>18</v>
      </c>
      <c r="AX9" s="35" t="s">
        <v>25</v>
      </c>
      <c r="AY9" s="35" t="s">
        <v>26</v>
      </c>
      <c r="AZ9" s="35" t="s">
        <v>18</v>
      </c>
      <c r="BA9" s="35" t="s">
        <v>25</v>
      </c>
      <c r="BB9" s="35" t="s">
        <v>26</v>
      </c>
      <c r="BC9" s="35" t="s">
        <v>18</v>
      </c>
      <c r="BD9" s="35" t="s">
        <v>25</v>
      </c>
      <c r="BE9" s="35" t="s">
        <v>26</v>
      </c>
      <c r="BF9" s="35" t="s">
        <v>18</v>
      </c>
      <c r="BG9" s="35" t="s">
        <v>25</v>
      </c>
      <c r="BH9" s="35" t="s">
        <v>26</v>
      </c>
      <c r="BI9" s="35" t="s">
        <v>18</v>
      </c>
      <c r="BJ9" s="35" t="s">
        <v>25</v>
      </c>
      <c r="BK9" s="35" t="s">
        <v>26</v>
      </c>
      <c r="BL9" s="35" t="s">
        <v>18</v>
      </c>
      <c r="BM9" s="35" t="s">
        <v>25</v>
      </c>
      <c r="BN9" s="35" t="s">
        <v>26</v>
      </c>
      <c r="BO9" s="35" t="s">
        <v>18</v>
      </c>
      <c r="BP9" s="35" t="s">
        <v>25</v>
      </c>
      <c r="BQ9" s="35" t="s">
        <v>26</v>
      </c>
      <c r="BR9" s="35" t="s">
        <v>18</v>
      </c>
      <c r="BS9" s="35" t="s">
        <v>25</v>
      </c>
      <c r="BT9" s="35" t="s">
        <v>26</v>
      </c>
      <c r="BU9" s="35" t="s">
        <v>18</v>
      </c>
      <c r="BV9" s="35" t="s">
        <v>25</v>
      </c>
      <c r="BW9" s="35" t="s">
        <v>26</v>
      </c>
      <c r="BX9" s="35" t="s">
        <v>18</v>
      </c>
      <c r="BY9" s="35" t="s">
        <v>25</v>
      </c>
      <c r="BZ9" s="35" t="s">
        <v>26</v>
      </c>
      <c r="CA9" s="35" t="s">
        <v>18</v>
      </c>
      <c r="CB9" s="35" t="s">
        <v>25</v>
      </c>
      <c r="CC9" s="35" t="s">
        <v>26</v>
      </c>
      <c r="CD9" s="35" t="s">
        <v>18</v>
      </c>
      <c r="CE9" s="35" t="s">
        <v>25</v>
      </c>
      <c r="CF9" s="35" t="s">
        <v>26</v>
      </c>
      <c r="CG9" s="35" t="s">
        <v>18</v>
      </c>
      <c r="CH9" s="35" t="s">
        <v>25</v>
      </c>
      <c r="CI9" s="35" t="s">
        <v>26</v>
      </c>
      <c r="CJ9" s="35" t="s">
        <v>18</v>
      </c>
      <c r="CK9" s="35" t="s">
        <v>25</v>
      </c>
      <c r="CL9" s="35" t="s">
        <v>26</v>
      </c>
      <c r="CM9" s="35" t="s">
        <v>18</v>
      </c>
      <c r="CN9" s="35" t="s">
        <v>25</v>
      </c>
      <c r="CO9" s="35" t="s">
        <v>26</v>
      </c>
      <c r="CP9" s="35" t="s">
        <v>18</v>
      </c>
      <c r="CQ9" s="35" t="s">
        <v>25</v>
      </c>
      <c r="CR9" s="35" t="s">
        <v>26</v>
      </c>
      <c r="CS9" s="35" t="s">
        <v>18</v>
      </c>
    </row>
    <row r="10" spans="1:110" ht="13.5" customHeight="1" x14ac:dyDescent="0.2">
      <c r="A10" s="23"/>
      <c r="B10" s="3"/>
      <c r="C10" s="3"/>
      <c r="D10" s="3"/>
      <c r="E10" s="3"/>
      <c r="F10" s="58"/>
      <c r="G10" s="5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24"/>
      <c r="AF10" s="59"/>
      <c r="AG10" s="59"/>
      <c r="AH10" s="59"/>
      <c r="AI10" s="59"/>
      <c r="AJ10" s="59"/>
      <c r="AK10" s="59"/>
      <c r="AL10" s="59"/>
      <c r="AM10" s="59"/>
    </row>
    <row r="11" spans="1:110" ht="13.5" customHeight="1" x14ac:dyDescent="0.2">
      <c r="A11" s="23"/>
      <c r="B11" s="66" t="s">
        <v>24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7"/>
      <c r="Y11" s="67"/>
      <c r="Z11" s="67"/>
      <c r="AA11" s="67"/>
      <c r="AB11" s="24"/>
      <c r="AF11" s="59"/>
      <c r="AG11" s="59"/>
      <c r="AH11" s="59"/>
      <c r="AI11" s="59"/>
      <c r="AJ11" s="59"/>
      <c r="AK11" s="59"/>
      <c r="AL11" s="59"/>
      <c r="AM11" s="59"/>
    </row>
    <row r="12" spans="1:110" ht="13.5" customHeight="1" x14ac:dyDescent="0.25">
      <c r="A12" s="23"/>
      <c r="B12" s="3"/>
      <c r="C12" s="4" t="s">
        <v>19</v>
      </c>
      <c r="D12" s="3"/>
      <c r="E12" s="3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37"/>
      <c r="X12" s="37"/>
      <c r="Y12" s="37"/>
      <c r="Z12" s="37"/>
      <c r="AA12" s="37"/>
      <c r="AB12" s="24"/>
      <c r="AF12" s="96" t="s">
        <v>19</v>
      </c>
      <c r="AG12" s="96"/>
      <c r="AH12" s="96"/>
      <c r="AI12" s="96"/>
      <c r="AJ12" s="96"/>
      <c r="AK12" s="96"/>
      <c r="AL12" s="96"/>
      <c r="AM12" s="96"/>
      <c r="AN12" s="96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</row>
    <row r="13" spans="1:110" ht="13.5" customHeight="1" x14ac:dyDescent="0.2">
      <c r="A13" s="23"/>
      <c r="B13" s="3"/>
      <c r="C13" s="3"/>
      <c r="D13" s="3" t="s">
        <v>65</v>
      </c>
      <c r="E13" s="3"/>
      <c r="F13" s="11">
        <f>AH13</f>
        <v>710</v>
      </c>
      <c r="G13" s="11">
        <f>AK13</f>
        <v>808</v>
      </c>
      <c r="H13" s="11">
        <f>AN13</f>
        <v>786</v>
      </c>
      <c r="I13" s="11">
        <f>AQ13</f>
        <v>784</v>
      </c>
      <c r="J13" s="11">
        <f>AT13</f>
        <v>804</v>
      </c>
      <c r="K13" s="11">
        <f>AW13</f>
        <v>777</v>
      </c>
      <c r="L13" s="11">
        <f>AZ13</f>
        <v>693</v>
      </c>
      <c r="M13" s="11">
        <f>BC13</f>
        <v>721</v>
      </c>
      <c r="N13" s="11">
        <f>BF13</f>
        <v>680</v>
      </c>
      <c r="O13" s="11">
        <f>BI13</f>
        <v>674</v>
      </c>
      <c r="P13" s="11">
        <f>BL13</f>
        <v>693</v>
      </c>
      <c r="Q13" s="11">
        <f>BO13</f>
        <v>785</v>
      </c>
      <c r="R13" s="11">
        <f>BR13</f>
        <v>870</v>
      </c>
      <c r="S13" s="11">
        <f>BU13</f>
        <v>836</v>
      </c>
      <c r="T13" s="11">
        <f>BX13</f>
        <v>877</v>
      </c>
      <c r="U13" s="11">
        <f>CA13</f>
        <v>929</v>
      </c>
      <c r="V13" s="11">
        <f t="shared" ref="V13" si="0">CD13</f>
        <v>1018</v>
      </c>
      <c r="W13" s="11">
        <f>CG13</f>
        <v>1036</v>
      </c>
      <c r="X13" s="11">
        <f>CJ13</f>
        <v>1099</v>
      </c>
      <c r="Y13" s="11">
        <f>CM13</f>
        <v>1138</v>
      </c>
      <c r="Z13" s="11">
        <f>CP13</f>
        <v>1090</v>
      </c>
      <c r="AA13" s="11">
        <f>CS13</f>
        <v>1116</v>
      </c>
      <c r="AB13" s="12"/>
      <c r="AD13" s="3" t="s">
        <v>65</v>
      </c>
      <c r="AE13" s="3"/>
      <c r="AF13" s="39">
        <v>576</v>
      </c>
      <c r="AG13" s="39">
        <v>134</v>
      </c>
      <c r="AH13" s="39">
        <f>AF13+AG13</f>
        <v>710</v>
      </c>
      <c r="AI13" s="39">
        <v>635</v>
      </c>
      <c r="AJ13" s="39">
        <v>173</v>
      </c>
      <c r="AK13" s="39">
        <f>AI13+AJ13</f>
        <v>808</v>
      </c>
      <c r="AL13" s="39">
        <v>596</v>
      </c>
      <c r="AM13" s="39">
        <v>190</v>
      </c>
      <c r="AN13" s="39">
        <f>AL13+AM13</f>
        <v>786</v>
      </c>
      <c r="AO13" s="39">
        <v>612</v>
      </c>
      <c r="AP13" s="39">
        <v>172</v>
      </c>
      <c r="AQ13" s="39">
        <f>AO13+AP13</f>
        <v>784</v>
      </c>
      <c r="AR13" s="39">
        <v>614</v>
      </c>
      <c r="AS13" s="39">
        <v>190</v>
      </c>
      <c r="AT13" s="39">
        <f>AR13+AS13</f>
        <v>804</v>
      </c>
      <c r="AU13" s="39">
        <f>600-2</f>
        <v>598</v>
      </c>
      <c r="AV13" s="39">
        <v>179</v>
      </c>
      <c r="AW13" s="39">
        <f>AU13+AV13</f>
        <v>777</v>
      </c>
      <c r="AX13" s="39">
        <v>525</v>
      </c>
      <c r="AY13" s="39">
        <v>168</v>
      </c>
      <c r="AZ13" s="39">
        <f>AX13+AY13</f>
        <v>693</v>
      </c>
      <c r="BA13" s="39">
        <v>570</v>
      </c>
      <c r="BB13" s="39">
        <v>151</v>
      </c>
      <c r="BC13" s="39">
        <f>BA13+BB13</f>
        <v>721</v>
      </c>
      <c r="BD13" s="39">
        <v>540</v>
      </c>
      <c r="BE13" s="39">
        <v>140</v>
      </c>
      <c r="BF13" s="39">
        <f>BD13+BE13</f>
        <v>680</v>
      </c>
      <c r="BG13" s="39">
        <v>526</v>
      </c>
      <c r="BH13" s="39">
        <v>148</v>
      </c>
      <c r="BI13" s="39">
        <f>BG13+BH13</f>
        <v>674</v>
      </c>
      <c r="BJ13" s="39">
        <v>567</v>
      </c>
      <c r="BK13" s="39">
        <v>126</v>
      </c>
      <c r="BL13" s="39">
        <f>BJ13+BK13</f>
        <v>693</v>
      </c>
      <c r="BM13" s="39">
        <v>635</v>
      </c>
      <c r="BN13" s="39">
        <v>150</v>
      </c>
      <c r="BO13" s="39">
        <f>BM13+BN13</f>
        <v>785</v>
      </c>
      <c r="BP13" s="39">
        <v>689</v>
      </c>
      <c r="BQ13" s="39">
        <v>181</v>
      </c>
      <c r="BR13" s="39">
        <f>BP13+BQ13</f>
        <v>870</v>
      </c>
      <c r="BS13" s="39">
        <v>667</v>
      </c>
      <c r="BT13" s="39">
        <v>169</v>
      </c>
      <c r="BU13" s="39">
        <f>BS13+BT13</f>
        <v>836</v>
      </c>
      <c r="BV13" s="39">
        <v>709</v>
      </c>
      <c r="BW13" s="39">
        <v>168</v>
      </c>
      <c r="BX13" s="39">
        <f>BV13+BW13</f>
        <v>877</v>
      </c>
      <c r="BY13" s="39">
        <v>713</v>
      </c>
      <c r="BZ13" s="39">
        <v>216</v>
      </c>
      <c r="CA13" s="39">
        <f>BY13+BZ13</f>
        <v>929</v>
      </c>
      <c r="CB13" s="39">
        <v>810</v>
      </c>
      <c r="CC13" s="39">
        <v>208</v>
      </c>
      <c r="CD13" s="39">
        <f>CB13+CC13</f>
        <v>1018</v>
      </c>
      <c r="CE13" s="39">
        <v>802</v>
      </c>
      <c r="CF13" s="39">
        <v>234</v>
      </c>
      <c r="CG13" s="39">
        <f>CE13+CF13</f>
        <v>1036</v>
      </c>
      <c r="CH13" s="39">
        <v>839</v>
      </c>
      <c r="CI13" s="39">
        <v>260</v>
      </c>
      <c r="CJ13" s="39">
        <f>CH13+CI13</f>
        <v>1099</v>
      </c>
      <c r="CK13" s="39">
        <v>888</v>
      </c>
      <c r="CL13" s="39">
        <v>250</v>
      </c>
      <c r="CM13" s="39">
        <f>CK13+CL13</f>
        <v>1138</v>
      </c>
      <c r="CN13" s="39">
        <v>849</v>
      </c>
      <c r="CO13" s="39">
        <v>241</v>
      </c>
      <c r="CP13" s="39">
        <f>CN13+CO13</f>
        <v>1090</v>
      </c>
      <c r="CQ13" s="39">
        <v>882</v>
      </c>
      <c r="CR13" s="39">
        <v>234</v>
      </c>
      <c r="CS13" s="39">
        <f>CQ13+CR13</f>
        <v>1116</v>
      </c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</row>
    <row r="14" spans="1:110" ht="13.5" customHeight="1" x14ac:dyDescent="0.2">
      <c r="A14" s="23"/>
      <c r="B14" s="3"/>
      <c r="C14" s="3"/>
      <c r="D14" s="15" t="s">
        <v>59</v>
      </c>
      <c r="E14" s="3" t="s">
        <v>60</v>
      </c>
      <c r="F14" s="15">
        <f>IF(AH13&gt;0,(AH14/AH13),"")</f>
        <v>8.1690140845070425E-2</v>
      </c>
      <c r="G14" s="15">
        <f>IF(AK13&gt;0,(AK14/AK13),"")</f>
        <v>7.9207920792079209E-2</v>
      </c>
      <c r="H14" s="15">
        <f>IF(AN13&gt;0,(AN14/AN13),"")</f>
        <v>9.9236641221374045E-2</v>
      </c>
      <c r="I14" s="15">
        <f>IF(AQ13&gt;0,(AQ14/AQ13),"")</f>
        <v>9.6938775510204078E-2</v>
      </c>
      <c r="J14" s="15">
        <f>IF(AT13&gt;0,(AT14/AT13),"")</f>
        <v>0.15174129353233831</v>
      </c>
      <c r="K14" s="15">
        <f>IF(AW13&gt;0,(AW14/AW13),"")</f>
        <v>0.15572715572715573</v>
      </c>
      <c r="L14" s="15">
        <f>IF(AZ13&gt;0,(AZ14/AZ13),"")</f>
        <v>0.14285714285714285</v>
      </c>
      <c r="M14" s="15">
        <f>IF(BC13&gt;0,(BC14/BC13),"")</f>
        <v>0.14840499306518723</v>
      </c>
      <c r="N14" s="15">
        <f>IF(BF13&gt;0,(BF14/BF13),"")</f>
        <v>0.16470588235294117</v>
      </c>
      <c r="O14" s="15">
        <f>IF(BI13&gt;0,(BI14/BI13),"")</f>
        <v>0.21216617210682492</v>
      </c>
      <c r="P14" s="15">
        <f>IF(BL13&gt;0,(BL14/BL13),"")</f>
        <v>0.20923520923520925</v>
      </c>
      <c r="Q14" s="15">
        <f>IF(BO13&gt;0,(BO14/BO13),"")</f>
        <v>0.22292993630573249</v>
      </c>
      <c r="R14" s="15">
        <f>IF(BR13&gt;0,(BR14/BR13),"")</f>
        <v>0.24942528735632183</v>
      </c>
      <c r="S14" s="15">
        <f>IF(BU13&gt;0,(BU14/BU13),"")</f>
        <v>0.25239234449760767</v>
      </c>
      <c r="T14" s="15">
        <f>IF(BX13&gt;0,(BX14/BX13),"")</f>
        <v>0.25541619156214368</v>
      </c>
      <c r="U14" s="15">
        <f>IF(CA13&gt;0,(CA14/CA13),"")</f>
        <v>0.27771797631862216</v>
      </c>
      <c r="V14" s="15">
        <f t="shared" ref="V14" si="1">IF(CD13&gt;0,(CD14/CD13),"")</f>
        <v>0.25245579567779963</v>
      </c>
      <c r="W14" s="15">
        <f>CG14/CG$13</f>
        <v>0.24420849420849422</v>
      </c>
      <c r="X14" s="15">
        <f>CJ14/CJ$13</f>
        <v>0.23930846223839855</v>
      </c>
      <c r="Y14" s="15">
        <f>CM14/CM$13</f>
        <v>0.21616871704745166</v>
      </c>
      <c r="Z14" s="15">
        <f>CP14/CP$13</f>
        <v>0.22477064220183487</v>
      </c>
      <c r="AA14" s="15">
        <f>CS14/CS$13</f>
        <v>0.22849462365591397</v>
      </c>
      <c r="AB14" s="24"/>
      <c r="AD14" s="15" t="s">
        <v>59</v>
      </c>
      <c r="AE14" s="3" t="s">
        <v>60</v>
      </c>
      <c r="AF14" s="39">
        <v>43</v>
      </c>
      <c r="AG14" s="39">
        <v>15</v>
      </c>
      <c r="AH14" s="39">
        <f t="shared" ref="AH14:AH16" si="2">AF14+AG14</f>
        <v>58</v>
      </c>
      <c r="AI14" s="39">
        <v>40</v>
      </c>
      <c r="AJ14" s="39">
        <v>24</v>
      </c>
      <c r="AK14" s="39">
        <f t="shared" ref="AK14:AK16" si="3">AI14+AJ14</f>
        <v>64</v>
      </c>
      <c r="AL14" s="39">
        <v>58</v>
      </c>
      <c r="AM14" s="39">
        <v>20</v>
      </c>
      <c r="AN14" s="39">
        <f t="shared" ref="AN14:AN16" si="4">AL14+AM14</f>
        <v>78</v>
      </c>
      <c r="AO14" s="39">
        <v>56</v>
      </c>
      <c r="AP14" s="39">
        <v>20</v>
      </c>
      <c r="AQ14" s="39">
        <f t="shared" ref="AQ14:AQ16" si="5">AO14+AP14</f>
        <v>76</v>
      </c>
      <c r="AR14" s="39">
        <v>76</v>
      </c>
      <c r="AS14" s="39">
        <v>46</v>
      </c>
      <c r="AT14" s="39">
        <f t="shared" ref="AT14:AT16" si="6">AR14+AS14</f>
        <v>122</v>
      </c>
      <c r="AU14" s="39">
        <v>77</v>
      </c>
      <c r="AV14" s="39">
        <v>44</v>
      </c>
      <c r="AW14" s="39">
        <f t="shared" ref="AW14:AW16" si="7">AU14+AV14</f>
        <v>121</v>
      </c>
      <c r="AX14" s="39">
        <v>76</v>
      </c>
      <c r="AY14" s="39">
        <v>23</v>
      </c>
      <c r="AZ14" s="39">
        <f t="shared" ref="AZ14:AZ16" si="8">AX14+AY14</f>
        <v>99</v>
      </c>
      <c r="BA14" s="39">
        <v>82</v>
      </c>
      <c r="BB14" s="39">
        <v>25</v>
      </c>
      <c r="BC14" s="39">
        <f t="shared" ref="BC14:BC16" si="9">BA14+BB14</f>
        <v>107</v>
      </c>
      <c r="BD14" s="39">
        <v>77</v>
      </c>
      <c r="BE14" s="39">
        <v>35</v>
      </c>
      <c r="BF14" s="39">
        <f t="shared" ref="BF14:BF16" si="10">BD14+BE14</f>
        <v>112</v>
      </c>
      <c r="BG14" s="39">
        <v>98</v>
      </c>
      <c r="BH14" s="39">
        <v>45</v>
      </c>
      <c r="BI14" s="39">
        <f t="shared" ref="BI14:BI16" si="11">BG14+BH14</f>
        <v>143</v>
      </c>
      <c r="BJ14" s="39">
        <v>110</v>
      </c>
      <c r="BK14" s="39">
        <v>35</v>
      </c>
      <c r="BL14" s="39">
        <f t="shared" ref="BL14:BL16" si="12">BJ14+BK14</f>
        <v>145</v>
      </c>
      <c r="BM14" s="39">
        <v>128</v>
      </c>
      <c r="BN14" s="39">
        <v>47</v>
      </c>
      <c r="BO14" s="39">
        <f t="shared" ref="BO14:BO16" si="13">BM14+BN14</f>
        <v>175</v>
      </c>
      <c r="BP14" s="39">
        <v>154</v>
      </c>
      <c r="BQ14" s="39">
        <v>63</v>
      </c>
      <c r="BR14" s="39">
        <f t="shared" ref="BR14:BR16" si="14">BP14+BQ14</f>
        <v>217</v>
      </c>
      <c r="BS14" s="39">
        <v>162</v>
      </c>
      <c r="BT14" s="39">
        <v>49</v>
      </c>
      <c r="BU14" s="39">
        <f t="shared" ref="BU14:BU15" si="15">BS14+BT14</f>
        <v>211</v>
      </c>
      <c r="BV14" s="39">
        <v>154</v>
      </c>
      <c r="BW14" s="39">
        <v>70</v>
      </c>
      <c r="BX14" s="39">
        <f t="shared" ref="BX14:BX16" si="16">BV14+BW14</f>
        <v>224</v>
      </c>
      <c r="BY14" s="39">
        <v>176</v>
      </c>
      <c r="BZ14" s="39">
        <v>82</v>
      </c>
      <c r="CA14" s="39">
        <f t="shared" ref="CA14:CA16" si="17">BY14+BZ14</f>
        <v>258</v>
      </c>
      <c r="CB14" s="39">
        <v>180</v>
      </c>
      <c r="CC14" s="39">
        <v>77</v>
      </c>
      <c r="CD14" s="39">
        <f t="shared" ref="CD14:CD16" si="18">CB14+CC14</f>
        <v>257</v>
      </c>
      <c r="CE14" s="39">
        <v>181</v>
      </c>
      <c r="CF14" s="39">
        <v>72</v>
      </c>
      <c r="CG14" s="39">
        <f t="shared" ref="CG14:CG16" si="19">CE14+CF14</f>
        <v>253</v>
      </c>
      <c r="CH14" s="39">
        <v>180</v>
      </c>
      <c r="CI14" s="39">
        <v>83</v>
      </c>
      <c r="CJ14" s="39">
        <f t="shared" ref="CJ14:CJ16" si="20">CH14+CI14</f>
        <v>263</v>
      </c>
      <c r="CK14" s="39">
        <v>166</v>
      </c>
      <c r="CL14" s="39">
        <v>80</v>
      </c>
      <c r="CM14" s="39">
        <f t="shared" ref="CM14:CM16" si="21">CK14+CL14</f>
        <v>246</v>
      </c>
      <c r="CN14" s="39">
        <v>169</v>
      </c>
      <c r="CO14" s="39">
        <v>76</v>
      </c>
      <c r="CP14" s="39">
        <f t="shared" ref="CP14:CP16" si="22">CN14+CO14</f>
        <v>245</v>
      </c>
      <c r="CQ14" s="39">
        <v>194</v>
      </c>
      <c r="CR14" s="39">
        <v>61</v>
      </c>
      <c r="CS14" s="39">
        <f t="shared" ref="CS14:CS16" si="23">CQ14+CR14</f>
        <v>255</v>
      </c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</row>
    <row r="15" spans="1:110" ht="13.5" customHeight="1" x14ac:dyDescent="0.2">
      <c r="A15" s="23"/>
      <c r="B15" s="3"/>
      <c r="C15" s="3"/>
      <c r="D15" s="3"/>
      <c r="E15" s="3" t="s">
        <v>61</v>
      </c>
      <c r="F15" s="15">
        <f>IF(AH13&gt;0,(AH15/AH13),"")</f>
        <v>0.30563380281690139</v>
      </c>
      <c r="G15" s="15">
        <f>IF(AK13&gt;0,(AK15/AK13),"")</f>
        <v>0.34282178217821785</v>
      </c>
      <c r="H15" s="15">
        <f>IF(AN13&gt;0,(AN15/AN13),"")</f>
        <v>0.30788804071246817</v>
      </c>
      <c r="I15" s="15">
        <f>IF(AQ13&gt;0,(AQ15/AQ13),"")</f>
        <v>0.30102040816326531</v>
      </c>
      <c r="J15" s="15">
        <f>IF(AT13&gt;0,(AT15/AT13),"")</f>
        <v>0.33955223880597013</v>
      </c>
      <c r="K15" s="15">
        <f>IF(AW13&gt;0,(AW15/AW13),"")</f>
        <v>0.28056628056628058</v>
      </c>
      <c r="L15" s="15">
        <f>IF(AZ13&gt;0,(AZ15/AZ13),"")</f>
        <v>0.36652236652236653</v>
      </c>
      <c r="M15" s="15">
        <f>IF(BC13&gt;0,(BC15/BC13),"")</f>
        <v>0.39112343966712898</v>
      </c>
      <c r="N15" s="15">
        <f>IF(BF13&gt;0,(BF15/BF13),"")</f>
        <v>0.40588235294117647</v>
      </c>
      <c r="O15" s="15">
        <f>IF(BI13&gt;0,(BI15/BI13),"")</f>
        <v>0.32937685459940652</v>
      </c>
      <c r="P15" s="15">
        <f>IF(BL13&gt;0,(BL15/BL13),"")</f>
        <v>0.31024531024531027</v>
      </c>
      <c r="Q15" s="15">
        <f>IF(BO13&gt;0,(BO15/BO13),"")</f>
        <v>0.30955414012738852</v>
      </c>
      <c r="R15" s="15">
        <f>IF(BR13&gt;0,(BR15/BR13),"")</f>
        <v>0.30804597701149428</v>
      </c>
      <c r="S15" s="15">
        <f>IF(BU13&gt;0,(BU15/BU13),"")</f>
        <v>0.34688995215311003</v>
      </c>
      <c r="T15" s="15">
        <f>IF(BX13&gt;0,(BX15/BX13),"")</f>
        <v>0.35461801596351195</v>
      </c>
      <c r="U15" s="15">
        <f>IF(CA13&gt;0,(CA15/CA13),"")</f>
        <v>0.30247578040904199</v>
      </c>
      <c r="V15" s="15">
        <f t="shared" ref="V15" si="24">IF(CD13&gt;0,(CD15/CD13),"")</f>
        <v>0.30648330058939094</v>
      </c>
      <c r="W15" s="15">
        <f>CG15/CG$13</f>
        <v>0.31853281853281851</v>
      </c>
      <c r="X15" s="15">
        <f>CJ15/CJ$13</f>
        <v>0.31119199272065512</v>
      </c>
      <c r="Y15" s="15">
        <f>CM15/CM$13</f>
        <v>0.3251318101933216</v>
      </c>
      <c r="Z15" s="15">
        <f>CP15/CP$13</f>
        <v>0.33211009174311928</v>
      </c>
      <c r="AA15" s="15">
        <f t="shared" ref="AA15:AA16" si="25">CS15/CS$13</f>
        <v>0.31720430107526881</v>
      </c>
      <c r="AB15" s="24"/>
      <c r="AD15" s="3"/>
      <c r="AE15" s="3" t="s">
        <v>61</v>
      </c>
      <c r="AF15" s="39">
        <v>175</v>
      </c>
      <c r="AG15" s="39">
        <v>42</v>
      </c>
      <c r="AH15" s="39">
        <f t="shared" si="2"/>
        <v>217</v>
      </c>
      <c r="AI15" s="39">
        <v>205</v>
      </c>
      <c r="AJ15" s="39">
        <v>72</v>
      </c>
      <c r="AK15" s="39">
        <f t="shared" si="3"/>
        <v>277</v>
      </c>
      <c r="AL15" s="39">
        <v>168</v>
      </c>
      <c r="AM15" s="39">
        <v>74</v>
      </c>
      <c r="AN15" s="39">
        <f t="shared" si="4"/>
        <v>242</v>
      </c>
      <c r="AO15" s="39">
        <v>163</v>
      </c>
      <c r="AP15" s="39">
        <v>73</v>
      </c>
      <c r="AQ15" s="39">
        <f t="shared" si="5"/>
        <v>236</v>
      </c>
      <c r="AR15" s="39">
        <v>204</v>
      </c>
      <c r="AS15" s="39">
        <v>69</v>
      </c>
      <c r="AT15" s="39">
        <f t="shared" si="6"/>
        <v>273</v>
      </c>
      <c r="AU15" s="39">
        <v>163</v>
      </c>
      <c r="AV15" s="39">
        <v>55</v>
      </c>
      <c r="AW15" s="39">
        <f t="shared" si="7"/>
        <v>218</v>
      </c>
      <c r="AX15" s="39">
        <v>183</v>
      </c>
      <c r="AY15" s="39">
        <v>71</v>
      </c>
      <c r="AZ15" s="39">
        <f t="shared" si="8"/>
        <v>254</v>
      </c>
      <c r="BA15" s="39">
        <v>217</v>
      </c>
      <c r="BB15" s="39">
        <v>65</v>
      </c>
      <c r="BC15" s="39">
        <f t="shared" si="9"/>
        <v>282</v>
      </c>
      <c r="BD15" s="39">
        <v>214</v>
      </c>
      <c r="BE15" s="39">
        <v>62</v>
      </c>
      <c r="BF15" s="39">
        <f t="shared" si="10"/>
        <v>276</v>
      </c>
      <c r="BG15" s="39">
        <v>172</v>
      </c>
      <c r="BH15" s="39">
        <v>50</v>
      </c>
      <c r="BI15" s="39">
        <f t="shared" si="11"/>
        <v>222</v>
      </c>
      <c r="BJ15" s="39">
        <v>180</v>
      </c>
      <c r="BK15" s="39">
        <v>35</v>
      </c>
      <c r="BL15" s="39">
        <f t="shared" si="12"/>
        <v>215</v>
      </c>
      <c r="BM15" s="39">
        <v>195</v>
      </c>
      <c r="BN15" s="39">
        <v>48</v>
      </c>
      <c r="BO15" s="39">
        <f t="shared" si="13"/>
        <v>243</v>
      </c>
      <c r="BP15" s="39">
        <v>216</v>
      </c>
      <c r="BQ15" s="39">
        <v>52</v>
      </c>
      <c r="BR15" s="39">
        <f t="shared" si="14"/>
        <v>268</v>
      </c>
      <c r="BS15" s="39">
        <v>218</v>
      </c>
      <c r="BT15" s="39">
        <v>72</v>
      </c>
      <c r="BU15" s="39">
        <f t="shared" si="15"/>
        <v>290</v>
      </c>
      <c r="BV15" s="39">
        <v>266</v>
      </c>
      <c r="BW15" s="39">
        <v>45</v>
      </c>
      <c r="BX15" s="39">
        <f t="shared" si="16"/>
        <v>311</v>
      </c>
      <c r="BY15" s="39">
        <v>208</v>
      </c>
      <c r="BZ15" s="39">
        <v>73</v>
      </c>
      <c r="CA15" s="39">
        <f t="shared" si="17"/>
        <v>281</v>
      </c>
      <c r="CB15" s="39">
        <v>255</v>
      </c>
      <c r="CC15" s="39">
        <v>57</v>
      </c>
      <c r="CD15" s="39">
        <f t="shared" si="18"/>
        <v>312</v>
      </c>
      <c r="CE15" s="39">
        <v>244</v>
      </c>
      <c r="CF15" s="39">
        <v>86</v>
      </c>
      <c r="CG15" s="39">
        <f t="shared" si="19"/>
        <v>330</v>
      </c>
      <c r="CH15" s="39">
        <v>265</v>
      </c>
      <c r="CI15" s="39">
        <v>77</v>
      </c>
      <c r="CJ15" s="39">
        <f t="shared" si="20"/>
        <v>342</v>
      </c>
      <c r="CK15" s="39">
        <v>285</v>
      </c>
      <c r="CL15" s="39">
        <v>85</v>
      </c>
      <c r="CM15" s="39">
        <f t="shared" si="21"/>
        <v>370</v>
      </c>
      <c r="CN15" s="39">
        <v>282</v>
      </c>
      <c r="CO15" s="39">
        <v>80</v>
      </c>
      <c r="CP15" s="39">
        <f t="shared" si="22"/>
        <v>362</v>
      </c>
      <c r="CQ15" s="39">
        <v>268</v>
      </c>
      <c r="CR15" s="39">
        <v>86</v>
      </c>
      <c r="CS15" s="39">
        <f t="shared" si="23"/>
        <v>354</v>
      </c>
    </row>
    <row r="16" spans="1:110" ht="13.5" customHeight="1" x14ac:dyDescent="0.2">
      <c r="A16" s="23"/>
      <c r="B16" s="3"/>
      <c r="C16" s="3"/>
      <c r="D16" s="3"/>
      <c r="E16" s="3" t="s">
        <v>62</v>
      </c>
      <c r="F16" s="18">
        <f>IF(AH13&gt;0,(AH16/AH13),"")</f>
        <v>0.13380281690140844</v>
      </c>
      <c r="G16" s="18">
        <f>IF(AK13&gt;0,(AK16/AK13),"")</f>
        <v>0.125</v>
      </c>
      <c r="H16" s="18">
        <f>IF(AN13&gt;0,(AN16/AN13),"")</f>
        <v>0.14122137404580154</v>
      </c>
      <c r="I16" s="18">
        <f>IF(AQ13&gt;0,(AQ16/AQ13),"")</f>
        <v>0.11734693877551021</v>
      </c>
      <c r="J16" s="18">
        <f>IF(AT13&gt;0,(AT16/AT13),"")</f>
        <v>8.5820895522388058E-2</v>
      </c>
      <c r="K16" s="18">
        <f>IF(AW13&gt;0,(AW16/AW13),"")</f>
        <v>0.11711711711711711</v>
      </c>
      <c r="L16" s="18">
        <f>IF(AZ13&gt;0,(AZ16/AZ13),"")</f>
        <v>9.0909090909090912E-2</v>
      </c>
      <c r="M16" s="18">
        <f>IF(BC13&gt;0,(BC16/BC13),"")</f>
        <v>9.5700416088765602E-2</v>
      </c>
      <c r="N16" s="18">
        <f>IF(BF13&gt;0,(BF16/BF13),"")</f>
        <v>7.0588235294117646E-2</v>
      </c>
      <c r="O16" s="18">
        <f>IF(BI13&gt;0,(BI16/BI13),"")</f>
        <v>8.6053412462908013E-2</v>
      </c>
      <c r="P16" s="18">
        <f>IF(BL13&gt;0,(BL16/BL13),"")</f>
        <v>8.9466089466089471E-2</v>
      </c>
      <c r="Q16" s="18">
        <f>IF(BO13&gt;0,(BO16/BO13),"")</f>
        <v>8.2802547770700632E-2</v>
      </c>
      <c r="R16" s="18">
        <f>IF(BR13&gt;0,(BR16/BR13),"")</f>
        <v>7.586206896551724E-2</v>
      </c>
      <c r="S16" s="18">
        <f>IF(BU13&gt;0,(BU16/BU13),"")</f>
        <v>6.4593301435406703E-2</v>
      </c>
      <c r="T16" s="18">
        <f>IF(BX13&gt;0,(BX16/BX13),"")</f>
        <v>6.1573546180159637E-2</v>
      </c>
      <c r="U16" s="18">
        <f>IF(CA13&gt;0,(CA16/CA13),"")</f>
        <v>7.2120559741657694E-2</v>
      </c>
      <c r="V16" s="18">
        <f t="shared" ref="V16" si="26">IF(CD13&gt;0,(CD16/CD13),"")</f>
        <v>6.6797642436149315E-2</v>
      </c>
      <c r="W16" s="18">
        <f t="shared" ref="W16" si="27">CG16/CG$13</f>
        <v>7.0463320463320461E-2</v>
      </c>
      <c r="X16" s="18">
        <f>CJ16/CJ$13</f>
        <v>0.10373066424021839</v>
      </c>
      <c r="Y16" s="18">
        <f>CM16/CM$13</f>
        <v>9.8418277680140595E-2</v>
      </c>
      <c r="Z16" s="18">
        <f>CP16/CP$13</f>
        <v>8.4403669724770647E-2</v>
      </c>
      <c r="AA16" s="18">
        <f t="shared" si="25"/>
        <v>8.1541218637992838E-2</v>
      </c>
      <c r="AB16" s="24"/>
      <c r="AD16" s="3"/>
      <c r="AE16" s="3" t="s">
        <v>62</v>
      </c>
      <c r="AF16" s="41">
        <v>82</v>
      </c>
      <c r="AG16" s="41">
        <v>13</v>
      </c>
      <c r="AH16" s="41">
        <f t="shared" si="2"/>
        <v>95</v>
      </c>
      <c r="AI16" s="41">
        <v>88</v>
      </c>
      <c r="AJ16" s="41">
        <v>13</v>
      </c>
      <c r="AK16" s="41">
        <f t="shared" si="3"/>
        <v>101</v>
      </c>
      <c r="AL16" s="41">
        <v>95</v>
      </c>
      <c r="AM16" s="41">
        <v>16</v>
      </c>
      <c r="AN16" s="41">
        <f t="shared" si="4"/>
        <v>111</v>
      </c>
      <c r="AO16" s="41">
        <v>71</v>
      </c>
      <c r="AP16" s="41">
        <v>21</v>
      </c>
      <c r="AQ16" s="41">
        <f t="shared" si="5"/>
        <v>92</v>
      </c>
      <c r="AR16" s="41">
        <v>59</v>
      </c>
      <c r="AS16" s="41">
        <v>10</v>
      </c>
      <c r="AT16" s="41">
        <f t="shared" si="6"/>
        <v>69</v>
      </c>
      <c r="AU16" s="41">
        <v>79</v>
      </c>
      <c r="AV16" s="41">
        <v>12</v>
      </c>
      <c r="AW16" s="41">
        <f t="shared" si="7"/>
        <v>91</v>
      </c>
      <c r="AX16" s="41">
        <v>51</v>
      </c>
      <c r="AY16" s="41">
        <v>12</v>
      </c>
      <c r="AZ16" s="41">
        <f t="shared" si="8"/>
        <v>63</v>
      </c>
      <c r="BA16" s="41">
        <v>55</v>
      </c>
      <c r="BB16" s="41">
        <v>14</v>
      </c>
      <c r="BC16" s="41">
        <f t="shared" si="9"/>
        <v>69</v>
      </c>
      <c r="BD16" s="41">
        <v>46</v>
      </c>
      <c r="BE16" s="41">
        <v>2</v>
      </c>
      <c r="BF16" s="41">
        <f t="shared" si="10"/>
        <v>48</v>
      </c>
      <c r="BG16" s="41">
        <v>49</v>
      </c>
      <c r="BH16" s="41">
        <v>9</v>
      </c>
      <c r="BI16" s="41">
        <f t="shared" si="11"/>
        <v>58</v>
      </c>
      <c r="BJ16" s="41">
        <v>54</v>
      </c>
      <c r="BK16" s="41">
        <v>8</v>
      </c>
      <c r="BL16" s="41">
        <f t="shared" si="12"/>
        <v>62</v>
      </c>
      <c r="BM16" s="41">
        <v>58</v>
      </c>
      <c r="BN16" s="41">
        <v>7</v>
      </c>
      <c r="BO16" s="41">
        <f t="shared" si="13"/>
        <v>65</v>
      </c>
      <c r="BP16" s="41">
        <v>54</v>
      </c>
      <c r="BQ16" s="41">
        <v>12</v>
      </c>
      <c r="BR16" s="41">
        <f t="shared" si="14"/>
        <v>66</v>
      </c>
      <c r="BS16" s="41">
        <v>48</v>
      </c>
      <c r="BT16" s="41">
        <v>6</v>
      </c>
      <c r="BU16" s="41">
        <f>BS16+BT16</f>
        <v>54</v>
      </c>
      <c r="BV16" s="41">
        <v>44</v>
      </c>
      <c r="BW16" s="41">
        <v>10</v>
      </c>
      <c r="BX16" s="41">
        <f t="shared" si="16"/>
        <v>54</v>
      </c>
      <c r="BY16" s="41">
        <v>54</v>
      </c>
      <c r="BZ16" s="41">
        <v>13</v>
      </c>
      <c r="CA16" s="41">
        <f t="shared" si="17"/>
        <v>67</v>
      </c>
      <c r="CB16" s="41">
        <v>58</v>
      </c>
      <c r="CC16" s="41">
        <v>10</v>
      </c>
      <c r="CD16" s="41">
        <f t="shared" si="18"/>
        <v>68</v>
      </c>
      <c r="CE16" s="41">
        <v>64</v>
      </c>
      <c r="CF16" s="41">
        <v>9</v>
      </c>
      <c r="CG16" s="41">
        <f t="shared" si="19"/>
        <v>73</v>
      </c>
      <c r="CH16" s="41">
        <v>90</v>
      </c>
      <c r="CI16" s="41">
        <v>24</v>
      </c>
      <c r="CJ16" s="41">
        <f t="shared" si="20"/>
        <v>114</v>
      </c>
      <c r="CK16" s="41">
        <v>94</v>
      </c>
      <c r="CL16" s="41">
        <v>18</v>
      </c>
      <c r="CM16" s="41">
        <f t="shared" si="21"/>
        <v>112</v>
      </c>
      <c r="CN16" s="41">
        <v>75</v>
      </c>
      <c r="CO16" s="41">
        <v>17</v>
      </c>
      <c r="CP16" s="41">
        <f t="shared" si="22"/>
        <v>92</v>
      </c>
      <c r="CQ16" s="41">
        <v>73</v>
      </c>
      <c r="CR16" s="41">
        <v>18</v>
      </c>
      <c r="CS16" s="39">
        <f t="shared" si="23"/>
        <v>91</v>
      </c>
    </row>
    <row r="17" spans="1:97" ht="13.5" customHeight="1" x14ac:dyDescent="0.2">
      <c r="A17" s="23"/>
      <c r="B17" s="3"/>
      <c r="C17" s="3"/>
      <c r="D17" s="3"/>
      <c r="E17" s="3"/>
      <c r="F17" s="15">
        <f>IF(AH13&gt;0,(AH17/AH13),"")</f>
        <v>0.52112676056338025</v>
      </c>
      <c r="G17" s="15">
        <f>IF(AK13&gt;0,(AK17/AK13),"")</f>
        <v>0.54702970297029707</v>
      </c>
      <c r="H17" s="15">
        <f>IF(AN13&gt;0,(AN17/AN13),"")</f>
        <v>0.54834605597964381</v>
      </c>
      <c r="I17" s="15">
        <f>IF(AQ13&gt;0,(AQ17/AQ13),"")</f>
        <v>0.51530612244897955</v>
      </c>
      <c r="J17" s="15">
        <f>IF(AT13&gt;0,(AT17/AT13),"")</f>
        <v>0.57711442786069655</v>
      </c>
      <c r="K17" s="15">
        <f>IF(AW13&gt;0,(AW17/AW13),"")</f>
        <v>0.55341055341055345</v>
      </c>
      <c r="L17" s="15">
        <f>IF(AZ13&gt;0,(AZ17/AZ13),"")</f>
        <v>0.60028860028860032</v>
      </c>
      <c r="M17" s="15">
        <f>IF(BC13&gt;0,(BC17/BC13),"")</f>
        <v>0.63522884882108188</v>
      </c>
      <c r="N17" s="15">
        <f>IF(BF13&gt;0,(BF17/BF13),"")</f>
        <v>0.64117647058823535</v>
      </c>
      <c r="O17" s="15">
        <f>IF(BI13&gt;0,(BI17/BI13),"")</f>
        <v>0.62759643916913943</v>
      </c>
      <c r="P17" s="15">
        <f>IF(BL13&gt;0,(BL17/BL13),"")</f>
        <v>0.6089466089466089</v>
      </c>
      <c r="Q17" s="15">
        <f>IF(BO13&gt;0,(BO17/BO13),"")</f>
        <v>0.61528662420382163</v>
      </c>
      <c r="R17" s="15">
        <f>IF(BR13&gt;0,(BR17/BR13),"")</f>
        <v>0.6333333333333333</v>
      </c>
      <c r="S17" s="15">
        <f>IF(BU13&gt;0,(BU17/BU13),"")</f>
        <v>0.6638755980861244</v>
      </c>
      <c r="T17" s="15">
        <f>IF(BX13&gt;0,(BX17/BX13),"")</f>
        <v>0.67160775370581527</v>
      </c>
      <c r="U17" s="15">
        <f>IF(CA13&gt;0,(CA17/CA13),"")</f>
        <v>0.65231431646932181</v>
      </c>
      <c r="V17" s="15">
        <f t="shared" ref="V17" si="28">IF(CD13&gt;0,(CD17/CD13),"")</f>
        <v>0.6257367387033399</v>
      </c>
      <c r="W17" s="15">
        <f>CG17/CG$13</f>
        <v>0.63320463320463316</v>
      </c>
      <c r="X17" s="15">
        <f>CJ17/CJ$13</f>
        <v>0.65423111919927202</v>
      </c>
      <c r="Y17" s="15">
        <f>CM17/CM$13</f>
        <v>0.63971880492091393</v>
      </c>
      <c r="Z17" s="15">
        <f>CP17/CP$13</f>
        <v>0.64128440366972472</v>
      </c>
      <c r="AA17" s="15">
        <f>CS17/CS$13</f>
        <v>0.62724014336917566</v>
      </c>
      <c r="AB17" s="24"/>
      <c r="AD17" s="3"/>
      <c r="AE17" s="35" t="s">
        <v>88</v>
      </c>
      <c r="AF17" s="41">
        <f t="shared" ref="AF17:CF17" si="29">SUM(AF14:AF16)</f>
        <v>300</v>
      </c>
      <c r="AG17" s="41">
        <f t="shared" si="29"/>
        <v>70</v>
      </c>
      <c r="AH17" s="41">
        <f t="shared" si="29"/>
        <v>370</v>
      </c>
      <c r="AI17" s="41">
        <f t="shared" si="29"/>
        <v>333</v>
      </c>
      <c r="AJ17" s="41">
        <f t="shared" si="29"/>
        <v>109</v>
      </c>
      <c r="AK17" s="41">
        <f t="shared" si="29"/>
        <v>442</v>
      </c>
      <c r="AL17" s="41">
        <f t="shared" si="29"/>
        <v>321</v>
      </c>
      <c r="AM17" s="41">
        <f t="shared" si="29"/>
        <v>110</v>
      </c>
      <c r="AN17" s="41">
        <f t="shared" si="29"/>
        <v>431</v>
      </c>
      <c r="AO17" s="41">
        <f t="shared" si="29"/>
        <v>290</v>
      </c>
      <c r="AP17" s="41">
        <f t="shared" si="29"/>
        <v>114</v>
      </c>
      <c r="AQ17" s="41">
        <f t="shared" si="29"/>
        <v>404</v>
      </c>
      <c r="AR17" s="41">
        <f t="shared" si="29"/>
        <v>339</v>
      </c>
      <c r="AS17" s="41">
        <f t="shared" si="29"/>
        <v>125</v>
      </c>
      <c r="AT17" s="41">
        <f t="shared" si="29"/>
        <v>464</v>
      </c>
      <c r="AU17" s="41">
        <f t="shared" si="29"/>
        <v>319</v>
      </c>
      <c r="AV17" s="41">
        <f t="shared" si="29"/>
        <v>111</v>
      </c>
      <c r="AW17" s="41">
        <f t="shared" si="29"/>
        <v>430</v>
      </c>
      <c r="AX17" s="41">
        <f t="shared" si="29"/>
        <v>310</v>
      </c>
      <c r="AY17" s="41">
        <f t="shared" si="29"/>
        <v>106</v>
      </c>
      <c r="AZ17" s="41">
        <f t="shared" si="29"/>
        <v>416</v>
      </c>
      <c r="BA17" s="41">
        <f t="shared" si="29"/>
        <v>354</v>
      </c>
      <c r="BB17" s="41">
        <f t="shared" si="29"/>
        <v>104</v>
      </c>
      <c r="BC17" s="41">
        <f t="shared" si="29"/>
        <v>458</v>
      </c>
      <c r="BD17" s="41">
        <f t="shared" si="29"/>
        <v>337</v>
      </c>
      <c r="BE17" s="41">
        <f t="shared" si="29"/>
        <v>99</v>
      </c>
      <c r="BF17" s="41">
        <f t="shared" si="29"/>
        <v>436</v>
      </c>
      <c r="BG17" s="41">
        <f t="shared" si="29"/>
        <v>319</v>
      </c>
      <c r="BH17" s="41">
        <f t="shared" si="29"/>
        <v>104</v>
      </c>
      <c r="BI17" s="41">
        <f t="shared" si="29"/>
        <v>423</v>
      </c>
      <c r="BJ17" s="41">
        <f t="shared" si="29"/>
        <v>344</v>
      </c>
      <c r="BK17" s="41">
        <f t="shared" si="29"/>
        <v>78</v>
      </c>
      <c r="BL17" s="41">
        <f t="shared" si="29"/>
        <v>422</v>
      </c>
      <c r="BM17" s="41">
        <f t="shared" si="29"/>
        <v>381</v>
      </c>
      <c r="BN17" s="41">
        <f t="shared" si="29"/>
        <v>102</v>
      </c>
      <c r="BO17" s="41">
        <f t="shared" si="29"/>
        <v>483</v>
      </c>
      <c r="BP17" s="41">
        <f t="shared" si="29"/>
        <v>424</v>
      </c>
      <c r="BQ17" s="41">
        <f t="shared" si="29"/>
        <v>127</v>
      </c>
      <c r="BR17" s="41">
        <f t="shared" si="29"/>
        <v>551</v>
      </c>
      <c r="BS17" s="41">
        <f t="shared" si="29"/>
        <v>428</v>
      </c>
      <c r="BT17" s="41">
        <f t="shared" si="29"/>
        <v>127</v>
      </c>
      <c r="BU17" s="41">
        <f t="shared" si="29"/>
        <v>555</v>
      </c>
      <c r="BV17" s="41">
        <f t="shared" si="29"/>
        <v>464</v>
      </c>
      <c r="BW17" s="41">
        <f t="shared" si="29"/>
        <v>125</v>
      </c>
      <c r="BX17" s="41">
        <f t="shared" si="29"/>
        <v>589</v>
      </c>
      <c r="BY17" s="41">
        <f t="shared" si="29"/>
        <v>438</v>
      </c>
      <c r="BZ17" s="41">
        <f t="shared" si="29"/>
        <v>168</v>
      </c>
      <c r="CA17" s="41">
        <f t="shared" si="29"/>
        <v>606</v>
      </c>
      <c r="CB17" s="41">
        <f t="shared" si="29"/>
        <v>493</v>
      </c>
      <c r="CC17" s="41">
        <f t="shared" si="29"/>
        <v>144</v>
      </c>
      <c r="CD17" s="41">
        <f t="shared" si="29"/>
        <v>637</v>
      </c>
      <c r="CE17" s="41">
        <f t="shared" si="29"/>
        <v>489</v>
      </c>
      <c r="CF17" s="41">
        <f t="shared" si="29"/>
        <v>167</v>
      </c>
      <c r="CG17" s="41">
        <f>SUM(CG14:CG16)</f>
        <v>656</v>
      </c>
      <c r="CH17" s="41">
        <f t="shared" ref="CH17:CI17" si="30">SUM(CH14:CH16)</f>
        <v>535</v>
      </c>
      <c r="CI17" s="41">
        <f t="shared" si="30"/>
        <v>184</v>
      </c>
      <c r="CJ17" s="41">
        <f>SUM(CJ14:CJ16)</f>
        <v>719</v>
      </c>
      <c r="CK17" s="41">
        <f t="shared" ref="CK17:CL17" si="31">SUM(CK14:CK16)</f>
        <v>545</v>
      </c>
      <c r="CL17" s="41">
        <f t="shared" si="31"/>
        <v>183</v>
      </c>
      <c r="CM17" s="41">
        <f>SUM(CM14:CM16)</f>
        <v>728</v>
      </c>
      <c r="CN17" s="41">
        <f t="shared" ref="CN17:CO17" si="32">SUM(CN14:CN16)</f>
        <v>526</v>
      </c>
      <c r="CO17" s="41">
        <f t="shared" si="32"/>
        <v>173</v>
      </c>
      <c r="CP17" s="41">
        <f>SUM(CP14:CP16)</f>
        <v>699</v>
      </c>
      <c r="CQ17" s="41">
        <f>SUM(CQ14:CQ16)</f>
        <v>535</v>
      </c>
      <c r="CR17" s="41">
        <f>SUM(CR14:CR16)</f>
        <v>165</v>
      </c>
      <c r="CS17" s="41">
        <f>SUM(CS14:CS16)</f>
        <v>700</v>
      </c>
    </row>
    <row r="18" spans="1:97" ht="13.5" customHeight="1" x14ac:dyDescent="0.25">
      <c r="A18" s="23"/>
      <c r="B18" s="3"/>
      <c r="C18" s="4" t="s">
        <v>96</v>
      </c>
      <c r="D18" s="3"/>
      <c r="E18" s="38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37"/>
      <c r="X18" s="37"/>
      <c r="Y18" s="37"/>
      <c r="Z18" s="37"/>
      <c r="AA18" s="37"/>
      <c r="AB18" s="24"/>
      <c r="AD18" s="3"/>
      <c r="AE18" s="3"/>
      <c r="AF18" s="85" t="s">
        <v>96</v>
      </c>
      <c r="AG18" s="85"/>
      <c r="AH18" s="85"/>
      <c r="AI18" s="85"/>
      <c r="AJ18" s="85"/>
      <c r="AK18" s="85"/>
      <c r="AL18" s="85"/>
      <c r="AM18" s="85"/>
      <c r="AN18" s="85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</row>
    <row r="19" spans="1:97" ht="13.5" customHeight="1" x14ac:dyDescent="0.2">
      <c r="A19" s="23"/>
      <c r="B19" s="3"/>
      <c r="C19" s="3"/>
      <c r="D19" s="3" t="s">
        <v>65</v>
      </c>
      <c r="E19" s="4"/>
      <c r="F19" s="11">
        <f>AH19</f>
        <v>39</v>
      </c>
      <c r="G19" s="11">
        <f>AK19</f>
        <v>46</v>
      </c>
      <c r="H19" s="11">
        <f>AN19</f>
        <v>35</v>
      </c>
      <c r="I19" s="11">
        <f>AQ19</f>
        <v>33</v>
      </c>
      <c r="J19" s="11">
        <f>AT19</f>
        <v>45</v>
      </c>
      <c r="K19" s="11">
        <f>AW19</f>
        <v>38</v>
      </c>
      <c r="L19" s="11">
        <f>AZ19</f>
        <v>24</v>
      </c>
      <c r="M19" s="11">
        <f>BC19</f>
        <v>31</v>
      </c>
      <c r="N19" s="11">
        <f>BF19</f>
        <v>41</v>
      </c>
      <c r="O19" s="11">
        <f>BI19</f>
        <v>33</v>
      </c>
      <c r="P19" s="11">
        <f>BL19</f>
        <v>48</v>
      </c>
      <c r="Q19" s="11">
        <f>BO19</f>
        <v>46</v>
      </c>
      <c r="R19" s="11">
        <f>BR19</f>
        <v>46</v>
      </c>
      <c r="S19" s="11">
        <f>BU19</f>
        <v>44</v>
      </c>
      <c r="T19" s="11">
        <f>BX19</f>
        <v>54</v>
      </c>
      <c r="U19" s="11">
        <f>CA19</f>
        <v>66</v>
      </c>
      <c r="V19" s="11">
        <f t="shared" ref="V19" si="33">CD19</f>
        <v>71</v>
      </c>
      <c r="W19" s="11">
        <f>CG19</f>
        <v>72</v>
      </c>
      <c r="X19" s="11">
        <f>CJ19</f>
        <v>81</v>
      </c>
      <c r="Y19" s="11">
        <f>CK19</f>
        <v>61</v>
      </c>
      <c r="Z19" s="11">
        <f>CP19</f>
        <v>75</v>
      </c>
      <c r="AA19" s="11">
        <f>CS19</f>
        <v>66</v>
      </c>
      <c r="AB19" s="12"/>
      <c r="AC19" s="13"/>
      <c r="AD19" s="3" t="s">
        <v>65</v>
      </c>
      <c r="AE19" s="3"/>
      <c r="AF19" s="41">
        <v>29</v>
      </c>
      <c r="AG19" s="41">
        <v>10</v>
      </c>
      <c r="AH19" s="41">
        <f>AF19+AG19</f>
        <v>39</v>
      </c>
      <c r="AI19" s="41">
        <v>29</v>
      </c>
      <c r="AJ19" s="41">
        <v>17</v>
      </c>
      <c r="AK19" s="41">
        <f>AI19+AJ19</f>
        <v>46</v>
      </c>
      <c r="AL19" s="41">
        <v>24</v>
      </c>
      <c r="AM19" s="41">
        <v>11</v>
      </c>
      <c r="AN19" s="41">
        <f>AL19+AM19</f>
        <v>35</v>
      </c>
      <c r="AO19" s="41">
        <f>16+1+13</f>
        <v>30</v>
      </c>
      <c r="AP19" s="41">
        <f>1+1+1</f>
        <v>3</v>
      </c>
      <c r="AQ19" s="41">
        <f>AO19+AP19</f>
        <v>33</v>
      </c>
      <c r="AR19" s="41">
        <f>10+2+17</f>
        <v>29</v>
      </c>
      <c r="AS19" s="41">
        <f>11+2+3</f>
        <v>16</v>
      </c>
      <c r="AT19" s="41">
        <f>AR19+AS19</f>
        <v>45</v>
      </c>
      <c r="AU19" s="41">
        <f>14+4+12</f>
        <v>30</v>
      </c>
      <c r="AV19" s="41">
        <f>1+5+2</f>
        <v>8</v>
      </c>
      <c r="AW19" s="41">
        <f>AU19+AV19</f>
        <v>38</v>
      </c>
      <c r="AX19" s="41">
        <f>14+5+2</f>
        <v>21</v>
      </c>
      <c r="AY19" s="41">
        <f>3+0+0</f>
        <v>3</v>
      </c>
      <c r="AZ19" s="41">
        <f>AX19+AY19</f>
        <v>24</v>
      </c>
      <c r="BA19" s="41">
        <f>10+5+7</f>
        <v>22</v>
      </c>
      <c r="BB19" s="41">
        <f>5+1+3</f>
        <v>9</v>
      </c>
      <c r="BC19" s="41">
        <f>BA19+BB19</f>
        <v>31</v>
      </c>
      <c r="BD19" s="41">
        <f>21+3+7</f>
        <v>31</v>
      </c>
      <c r="BE19" s="41">
        <f>5+1+4</f>
        <v>10</v>
      </c>
      <c r="BF19" s="41">
        <f>BD19+BE19</f>
        <v>41</v>
      </c>
      <c r="BG19" s="41">
        <f>11+5+7</f>
        <v>23</v>
      </c>
      <c r="BH19" s="41">
        <f>7+1+2</f>
        <v>10</v>
      </c>
      <c r="BI19" s="41">
        <f>BG19+BH19</f>
        <v>33</v>
      </c>
      <c r="BJ19" s="41">
        <f>25+3+8</f>
        <v>36</v>
      </c>
      <c r="BK19" s="41">
        <f>7+1+4</f>
        <v>12</v>
      </c>
      <c r="BL19" s="41">
        <f>BJ19+BK19</f>
        <v>48</v>
      </c>
      <c r="BM19" s="41">
        <f>19+0+17</f>
        <v>36</v>
      </c>
      <c r="BN19" s="41">
        <f>5+1+4</f>
        <v>10</v>
      </c>
      <c r="BO19" s="41">
        <f>BM19+BN19</f>
        <v>46</v>
      </c>
      <c r="BP19" s="41">
        <f>18+5+11</f>
        <v>34</v>
      </c>
      <c r="BQ19" s="41">
        <f>5+0+7</f>
        <v>12</v>
      </c>
      <c r="BR19" s="41">
        <f>BP19+BQ19</f>
        <v>46</v>
      </c>
      <c r="BS19" s="41">
        <f>14+12+1</f>
        <v>27</v>
      </c>
      <c r="BT19" s="41">
        <f>11+4+2</f>
        <v>17</v>
      </c>
      <c r="BU19" s="41">
        <f>BS19+BT19</f>
        <v>44</v>
      </c>
      <c r="BV19" s="41">
        <f>23+16+4</f>
        <v>43</v>
      </c>
      <c r="BW19" s="41">
        <f>9+2+0</f>
        <v>11</v>
      </c>
      <c r="BX19" s="41">
        <f>BV19+BW19</f>
        <v>54</v>
      </c>
      <c r="BY19" s="41">
        <f>29+12+3</f>
        <v>44</v>
      </c>
      <c r="BZ19" s="41">
        <f>15+7+0</f>
        <v>22</v>
      </c>
      <c r="CA19" s="41">
        <f>BY19+BZ19</f>
        <v>66</v>
      </c>
      <c r="CB19" s="41">
        <f>24+19+10</f>
        <v>53</v>
      </c>
      <c r="CC19" s="41">
        <f>14+4+0</f>
        <v>18</v>
      </c>
      <c r="CD19" s="41">
        <f>CB19+CC19</f>
        <v>71</v>
      </c>
      <c r="CE19" s="41">
        <f>35+11+3</f>
        <v>49</v>
      </c>
      <c r="CF19" s="41">
        <f>16+3+4</f>
        <v>23</v>
      </c>
      <c r="CG19" s="41">
        <f>CE19+CF19</f>
        <v>72</v>
      </c>
      <c r="CH19" s="41">
        <f>42+23+5</f>
        <v>70</v>
      </c>
      <c r="CI19" s="41">
        <f>7+1+3</f>
        <v>11</v>
      </c>
      <c r="CJ19" s="41">
        <f>CH19+CI19</f>
        <v>81</v>
      </c>
      <c r="CK19" s="41">
        <f>35+21+5</f>
        <v>61</v>
      </c>
      <c r="CL19" s="41">
        <f>13+15+0</f>
        <v>28</v>
      </c>
      <c r="CM19" s="41">
        <f>CK19+CL19</f>
        <v>89</v>
      </c>
      <c r="CN19" s="41">
        <f>33+25+2</f>
        <v>60</v>
      </c>
      <c r="CO19" s="41">
        <f>10+5+0</f>
        <v>15</v>
      </c>
      <c r="CP19" s="41">
        <f>CN19+CO19</f>
        <v>75</v>
      </c>
      <c r="CQ19" s="41">
        <f>30+21+0</f>
        <v>51</v>
      </c>
      <c r="CR19" s="41">
        <f>7+7+1</f>
        <v>15</v>
      </c>
      <c r="CS19" s="41">
        <f>CQ19+CR19</f>
        <v>66</v>
      </c>
    </row>
    <row r="20" spans="1:97" ht="13.5" customHeight="1" x14ac:dyDescent="0.2">
      <c r="A20" s="23"/>
      <c r="B20" s="3"/>
      <c r="C20" s="3"/>
      <c r="D20" s="15" t="s">
        <v>59</v>
      </c>
      <c r="E20" s="3" t="s">
        <v>60</v>
      </c>
      <c r="F20" s="15">
        <f>IF(AH19&gt;0,(AH20/AH19),"")</f>
        <v>2.564102564102564E-2</v>
      </c>
      <c r="G20" s="15">
        <f>IF(AK19&gt;0,(AK20/AK19),"")</f>
        <v>2.1739130434782608E-2</v>
      </c>
      <c r="H20" s="15">
        <f>IF(AN19&gt;0,(AN20/AN19),"")</f>
        <v>2.8571428571428571E-2</v>
      </c>
      <c r="I20" s="15">
        <f>IF(AQ19&gt;0,(AQ20/AQ19),"")</f>
        <v>3.0303030303030304E-2</v>
      </c>
      <c r="J20" s="15">
        <f>IF(AT19&gt;0,(AT20/AT19),"")</f>
        <v>0.13333333333333333</v>
      </c>
      <c r="K20" s="15">
        <f>IF(AW19&gt;0,(AW20/AW19),"")</f>
        <v>7.8947368421052627E-2</v>
      </c>
      <c r="L20" s="15">
        <f>IF(AZ19&gt;0,(AZ20/AZ19),"")</f>
        <v>4.1666666666666664E-2</v>
      </c>
      <c r="M20" s="15">
        <f>IF(BC19&gt;0,(BC20/BC19),"")</f>
        <v>0.16129032258064516</v>
      </c>
      <c r="N20" s="15">
        <f>IF(BF19&gt;0,(BF20/BF19),"")</f>
        <v>4.878048780487805E-2</v>
      </c>
      <c r="O20" s="15">
        <f>IF(BI19&gt;0,(BI20/BI19),"")</f>
        <v>0.21212121212121213</v>
      </c>
      <c r="P20" s="15">
        <f>IF(BL19&gt;0,(BL20/BL19),"")</f>
        <v>8.3333333333333329E-2</v>
      </c>
      <c r="Q20" s="15">
        <f>IF(BO19&gt;0,(BO20/BO19),"")</f>
        <v>6.5217391304347824E-2</v>
      </c>
      <c r="R20" s="15">
        <f>IF(BR19&gt;0,(BR20/BR19),"")</f>
        <v>0.17391304347826086</v>
      </c>
      <c r="S20" s="15">
        <f>IF(BU19&gt;0,(BU20/BU19),"")</f>
        <v>0.13636363636363635</v>
      </c>
      <c r="T20" s="15">
        <f>IF(BX19&gt;0,(BX20/BX19),"")</f>
        <v>7.407407407407407E-2</v>
      </c>
      <c r="U20" s="15">
        <f>IF(CA19&gt;0,(CA20/CA19),"")</f>
        <v>0.19696969696969696</v>
      </c>
      <c r="V20" s="15">
        <f t="shared" ref="V20" si="34">IF(CD19&gt;0,(CD20/CD19),"")</f>
        <v>0.21126760563380281</v>
      </c>
      <c r="W20" s="15">
        <f>CG20/CG$19</f>
        <v>0.1111111111111111</v>
      </c>
      <c r="X20" s="15">
        <f t="shared" ref="X20:Y23" si="35">CJ20/CJ$19</f>
        <v>8.6419753086419748E-2</v>
      </c>
      <c r="Y20" s="15">
        <f t="shared" si="35"/>
        <v>8.1967213114754092E-2</v>
      </c>
      <c r="Z20" s="15">
        <f>CP20/CP$19</f>
        <v>0.12</v>
      </c>
      <c r="AA20" s="15">
        <f>CS20/CS$19</f>
        <v>0.10606060606060606</v>
      </c>
      <c r="AB20" s="24"/>
      <c r="AD20" s="15" t="s">
        <v>59</v>
      </c>
      <c r="AE20" s="3" t="s">
        <v>60</v>
      </c>
      <c r="AF20" s="41">
        <v>0</v>
      </c>
      <c r="AG20" s="41">
        <v>1</v>
      </c>
      <c r="AH20" s="41">
        <f t="shared" ref="AH20:AH22" si="36">AF20+AG20</f>
        <v>1</v>
      </c>
      <c r="AI20" s="41">
        <v>0</v>
      </c>
      <c r="AJ20" s="41">
        <v>1</v>
      </c>
      <c r="AK20" s="41">
        <f t="shared" ref="AK20:AK22" si="37">AI20+AJ20</f>
        <v>1</v>
      </c>
      <c r="AL20" s="41">
        <v>0</v>
      </c>
      <c r="AM20" s="41">
        <v>1</v>
      </c>
      <c r="AN20" s="41">
        <f t="shared" ref="AN20:AN22" si="38">AL20+AM20</f>
        <v>1</v>
      </c>
      <c r="AO20" s="41">
        <f>0+0+1</f>
        <v>1</v>
      </c>
      <c r="AP20" s="41">
        <f>0+0+0</f>
        <v>0</v>
      </c>
      <c r="AQ20" s="41">
        <f t="shared" ref="AQ20:AQ22" si="39">AO20+AP20</f>
        <v>1</v>
      </c>
      <c r="AR20" s="41">
        <f>1+0+2</f>
        <v>3</v>
      </c>
      <c r="AS20" s="41">
        <f>2+1+0</f>
        <v>3</v>
      </c>
      <c r="AT20" s="41">
        <f t="shared" ref="AT20:AT22" si="40">AR20+AS20</f>
        <v>6</v>
      </c>
      <c r="AU20" s="41">
        <f>1+2</f>
        <v>3</v>
      </c>
      <c r="AV20" s="41">
        <v>0</v>
      </c>
      <c r="AW20" s="41">
        <f t="shared" ref="AW20:AW22" si="41">AU20+AV20</f>
        <v>3</v>
      </c>
      <c r="AX20" s="41">
        <f>1+0+0</f>
        <v>1</v>
      </c>
      <c r="AY20" s="41">
        <f>0+0+0</f>
        <v>0</v>
      </c>
      <c r="AZ20" s="41">
        <f t="shared" ref="AZ20:AZ22" si="42">AX20+AY20</f>
        <v>1</v>
      </c>
      <c r="BA20" s="41">
        <f>1+1+1</f>
        <v>3</v>
      </c>
      <c r="BB20" s="41">
        <f>0+0+2</f>
        <v>2</v>
      </c>
      <c r="BC20" s="41">
        <f t="shared" ref="BC20:BC22" si="43">BA20+BB20</f>
        <v>5</v>
      </c>
      <c r="BD20" s="41">
        <f>1+0+1</f>
        <v>2</v>
      </c>
      <c r="BE20" s="41">
        <f>0+0+0</f>
        <v>0</v>
      </c>
      <c r="BF20" s="41">
        <f t="shared" ref="BF20:BF22" si="44">BD20+BE20</f>
        <v>2</v>
      </c>
      <c r="BG20" s="41">
        <f>2+1+0</f>
        <v>3</v>
      </c>
      <c r="BH20" s="41">
        <f>2+0+2</f>
        <v>4</v>
      </c>
      <c r="BI20" s="41">
        <f t="shared" ref="BI20:BI22" si="45">BG20+BH20</f>
        <v>7</v>
      </c>
      <c r="BJ20" s="41">
        <f>1+1+1</f>
        <v>3</v>
      </c>
      <c r="BK20" s="41">
        <f>0+0+1</f>
        <v>1</v>
      </c>
      <c r="BL20" s="41">
        <f>BJ20+BK20</f>
        <v>4</v>
      </c>
      <c r="BM20" s="41">
        <f>0+0+1</f>
        <v>1</v>
      </c>
      <c r="BN20" s="41">
        <f>2+0+0</f>
        <v>2</v>
      </c>
      <c r="BO20" s="41">
        <f t="shared" ref="BO20:BO22" si="46">BM20+BN20</f>
        <v>3</v>
      </c>
      <c r="BP20" s="41">
        <f>1+3+2</f>
        <v>6</v>
      </c>
      <c r="BQ20" s="41">
        <f>0+0+2</f>
        <v>2</v>
      </c>
      <c r="BR20" s="41">
        <f t="shared" ref="BR20:BR22" si="47">BP20+BQ20</f>
        <v>8</v>
      </c>
      <c r="BS20" s="41">
        <f>1+3+1</f>
        <v>5</v>
      </c>
      <c r="BT20" s="41">
        <f>0+1+0</f>
        <v>1</v>
      </c>
      <c r="BU20" s="41">
        <f t="shared" ref="BU20:BU22" si="48">BS20+BT20</f>
        <v>6</v>
      </c>
      <c r="BV20" s="41">
        <f>1+1+0</f>
        <v>2</v>
      </c>
      <c r="BW20" s="41">
        <f>2+0+0</f>
        <v>2</v>
      </c>
      <c r="BX20" s="41">
        <f t="shared" ref="BX20:BX22" si="49">BV20+BW20</f>
        <v>4</v>
      </c>
      <c r="BY20" s="41">
        <f>4+2+1</f>
        <v>7</v>
      </c>
      <c r="BZ20" s="41">
        <f>4+2+0</f>
        <v>6</v>
      </c>
      <c r="CA20" s="41">
        <f t="shared" ref="CA20:CA22" si="50">BY20+BZ20</f>
        <v>13</v>
      </c>
      <c r="CB20" s="41">
        <f>0+8+2</f>
        <v>10</v>
      </c>
      <c r="CC20" s="41">
        <f>1+4+0</f>
        <v>5</v>
      </c>
      <c r="CD20" s="41">
        <f t="shared" ref="CD20:CD22" si="51">CB20+CC20</f>
        <v>15</v>
      </c>
      <c r="CE20" s="41">
        <f>1+2+1</f>
        <v>4</v>
      </c>
      <c r="CF20" s="41">
        <f>3+0+1</f>
        <v>4</v>
      </c>
      <c r="CG20" s="41">
        <f t="shared" ref="CG20" si="52">CE20+CF20</f>
        <v>8</v>
      </c>
      <c r="CH20" s="41">
        <f>2+4+0</f>
        <v>6</v>
      </c>
      <c r="CI20" s="41">
        <f>1+0+0</f>
        <v>1</v>
      </c>
      <c r="CJ20" s="41">
        <f t="shared" ref="CJ20" si="53">CH20+CI20</f>
        <v>7</v>
      </c>
      <c r="CK20" s="41">
        <f>3+2+0</f>
        <v>5</v>
      </c>
      <c r="CL20" s="41">
        <f>1+1+0</f>
        <v>2</v>
      </c>
      <c r="CM20" s="41">
        <f t="shared" ref="CM20" si="54">CK20+CL20</f>
        <v>7</v>
      </c>
      <c r="CN20" s="41">
        <f>4+2+1</f>
        <v>7</v>
      </c>
      <c r="CO20" s="41">
        <f>2+0+0</f>
        <v>2</v>
      </c>
      <c r="CP20" s="41">
        <f t="shared" ref="CP20" si="55">CN20+CO20</f>
        <v>9</v>
      </c>
      <c r="CQ20" s="41">
        <f>2+2+0</f>
        <v>4</v>
      </c>
      <c r="CR20" s="41">
        <f>1+2+0</f>
        <v>3</v>
      </c>
      <c r="CS20" s="41">
        <f t="shared" ref="CS20" si="56">CQ20+CR20</f>
        <v>7</v>
      </c>
    </row>
    <row r="21" spans="1:97" ht="13.5" customHeight="1" x14ac:dyDescent="0.2">
      <c r="A21" s="23"/>
      <c r="B21" s="3"/>
      <c r="C21" s="3"/>
      <c r="D21" s="3"/>
      <c r="E21" s="3" t="s">
        <v>61</v>
      </c>
      <c r="F21" s="15">
        <f>IF(AH19&gt;0,(AH21/AH19),"")</f>
        <v>0.25641025641025639</v>
      </c>
      <c r="G21" s="15">
        <f>IF(AK19&gt;0,(AK21/AK19),"")</f>
        <v>0.15217391304347827</v>
      </c>
      <c r="H21" s="15">
        <f>IF(AN19&gt;0,(AN21/AN19),"")</f>
        <v>0.22857142857142856</v>
      </c>
      <c r="I21" s="15">
        <f>IF(AQ19&gt;0,(AQ21/AQ19),"")</f>
        <v>0.12121212121212122</v>
      </c>
      <c r="J21" s="15">
        <f>IF(AT19&gt;0,(AT21/AT19),"")</f>
        <v>0.37777777777777777</v>
      </c>
      <c r="K21" s="15">
        <f>IF(AW19&gt;0,(AW21/AW19),"")</f>
        <v>0.10526315789473684</v>
      </c>
      <c r="L21" s="15">
        <f>IF(AZ19&gt;0,(AZ21/AZ19),"")</f>
        <v>0.41666666666666669</v>
      </c>
      <c r="M21" s="15">
        <f>IF(BC19&gt;0,(BC21/BC19),"")</f>
        <v>0.22580645161290322</v>
      </c>
      <c r="N21" s="15">
        <f>IF(BF19&gt;0,(BF21/BF19),"")</f>
        <v>0.29268292682926828</v>
      </c>
      <c r="O21" s="15">
        <f>IF(BI19&gt;0,(BI21/BI19),"")</f>
        <v>0.21212121212121213</v>
      </c>
      <c r="P21" s="15">
        <f>IF(BL19&gt;0,(BL21/BL19),"")</f>
        <v>0.29166666666666669</v>
      </c>
      <c r="Q21" s="15">
        <f>IF(BO19&gt;0,(BO21/BO19),"")</f>
        <v>0.45652173913043476</v>
      </c>
      <c r="R21" s="15">
        <f>IF(BR19&gt;0,(BR21/BR19),"")</f>
        <v>0.21739130434782608</v>
      </c>
      <c r="S21" s="15">
        <f>IF(BU19&gt;0,(BU21/BU19),"")</f>
        <v>0.34090909090909088</v>
      </c>
      <c r="T21" s="15">
        <f>IF(BX19&gt;0,(BX21/BX19),"")</f>
        <v>0.33333333333333331</v>
      </c>
      <c r="U21" s="15">
        <f>IF(CA19&gt;0,(CA21/CA19),"")</f>
        <v>0.22727272727272727</v>
      </c>
      <c r="V21" s="15">
        <f t="shared" ref="V21" si="57">IF(CD19&gt;0,(CD21/CD19),"")</f>
        <v>0.323943661971831</v>
      </c>
      <c r="W21" s="15">
        <f t="shared" ref="W21" si="58">CG21/CG$19</f>
        <v>0.25</v>
      </c>
      <c r="X21" s="15">
        <f t="shared" si="35"/>
        <v>0.23456790123456789</v>
      </c>
      <c r="Y21" s="15">
        <f t="shared" si="35"/>
        <v>0.22950819672131148</v>
      </c>
      <c r="Z21" s="15">
        <f>CP21/CP$19</f>
        <v>0.29333333333333333</v>
      </c>
      <c r="AA21" s="15">
        <f>CS21/CS$19</f>
        <v>0.21212121212121213</v>
      </c>
      <c r="AB21" s="24"/>
      <c r="AD21" s="3"/>
      <c r="AE21" s="3" t="s">
        <v>61</v>
      </c>
      <c r="AF21" s="41">
        <v>8</v>
      </c>
      <c r="AG21" s="41">
        <v>2</v>
      </c>
      <c r="AH21" s="41">
        <f t="shared" si="36"/>
        <v>10</v>
      </c>
      <c r="AI21" s="41">
        <v>5</v>
      </c>
      <c r="AJ21" s="41">
        <v>2</v>
      </c>
      <c r="AK21" s="41">
        <f t="shared" si="37"/>
        <v>7</v>
      </c>
      <c r="AL21" s="41">
        <v>5</v>
      </c>
      <c r="AM21" s="41">
        <v>3</v>
      </c>
      <c r="AN21" s="41">
        <f t="shared" si="38"/>
        <v>8</v>
      </c>
      <c r="AO21" s="41">
        <f>2+0+1</f>
        <v>3</v>
      </c>
      <c r="AP21" s="41">
        <f>0+0+1</f>
        <v>1</v>
      </c>
      <c r="AQ21" s="41">
        <f t="shared" si="39"/>
        <v>4</v>
      </c>
      <c r="AR21" s="41">
        <f>4+1+7</f>
        <v>12</v>
      </c>
      <c r="AS21" s="41">
        <f>3+1+1</f>
        <v>5</v>
      </c>
      <c r="AT21" s="41">
        <f t="shared" si="40"/>
        <v>17</v>
      </c>
      <c r="AU21" s="41">
        <f>2+1</f>
        <v>3</v>
      </c>
      <c r="AV21" s="41">
        <v>1</v>
      </c>
      <c r="AW21" s="41">
        <f t="shared" si="41"/>
        <v>4</v>
      </c>
      <c r="AX21" s="41">
        <f>6+2+1</f>
        <v>9</v>
      </c>
      <c r="AY21" s="41">
        <f>1+0+0</f>
        <v>1</v>
      </c>
      <c r="AZ21" s="41">
        <f t="shared" si="42"/>
        <v>10</v>
      </c>
      <c r="BA21" s="41">
        <f>2+1+1</f>
        <v>4</v>
      </c>
      <c r="BB21" s="41">
        <f>2+1+0</f>
        <v>3</v>
      </c>
      <c r="BC21" s="41">
        <f t="shared" si="43"/>
        <v>7</v>
      </c>
      <c r="BD21" s="41">
        <f>5+0+2</f>
        <v>7</v>
      </c>
      <c r="BE21" s="41">
        <f>2+1+2</f>
        <v>5</v>
      </c>
      <c r="BF21" s="41">
        <f t="shared" si="44"/>
        <v>12</v>
      </c>
      <c r="BG21" s="41">
        <f>1+3+1</f>
        <v>5</v>
      </c>
      <c r="BH21" s="41">
        <f>2+0+0</f>
        <v>2</v>
      </c>
      <c r="BI21" s="41">
        <f t="shared" si="45"/>
        <v>7</v>
      </c>
      <c r="BJ21" s="41">
        <f>6+0+1</f>
        <v>7</v>
      </c>
      <c r="BK21" s="41">
        <f>5+1+1</f>
        <v>7</v>
      </c>
      <c r="BL21" s="41">
        <f t="shared" ref="BL21:BL22" si="59">BJ21+BK21</f>
        <v>14</v>
      </c>
      <c r="BM21" s="41">
        <f>11+0+6</f>
        <v>17</v>
      </c>
      <c r="BN21" s="41">
        <f>1+1+2</f>
        <v>4</v>
      </c>
      <c r="BO21" s="41">
        <f t="shared" si="46"/>
        <v>21</v>
      </c>
      <c r="BP21" s="41">
        <f>4+0+3</f>
        <v>7</v>
      </c>
      <c r="BQ21" s="41">
        <f>1+0+2</f>
        <v>3</v>
      </c>
      <c r="BR21" s="41">
        <f t="shared" si="47"/>
        <v>10</v>
      </c>
      <c r="BS21" s="41">
        <f>5+3+0</f>
        <v>8</v>
      </c>
      <c r="BT21" s="41">
        <f>6+1+0</f>
        <v>7</v>
      </c>
      <c r="BU21" s="41">
        <f t="shared" si="48"/>
        <v>15</v>
      </c>
      <c r="BV21" s="41">
        <f>6+6+4</f>
        <v>16</v>
      </c>
      <c r="BW21" s="41">
        <f>1+1+0</f>
        <v>2</v>
      </c>
      <c r="BX21" s="41">
        <f t="shared" si="49"/>
        <v>18</v>
      </c>
      <c r="BY21" s="41">
        <f>3+5+1</f>
        <v>9</v>
      </c>
      <c r="BZ21" s="41">
        <f>4+2+0</f>
        <v>6</v>
      </c>
      <c r="CA21" s="41">
        <f t="shared" si="50"/>
        <v>15</v>
      </c>
      <c r="CB21" s="41">
        <f>13+4+3</f>
        <v>20</v>
      </c>
      <c r="CC21" s="41">
        <f>3+0+0</f>
        <v>3</v>
      </c>
      <c r="CD21" s="41">
        <f t="shared" si="51"/>
        <v>23</v>
      </c>
      <c r="CE21" s="41">
        <f>10+2+0</f>
        <v>12</v>
      </c>
      <c r="CF21" s="41">
        <f>3+2+1</f>
        <v>6</v>
      </c>
      <c r="CG21" s="41">
        <f>CE21+CF21</f>
        <v>18</v>
      </c>
      <c r="CH21" s="41">
        <f>11+3+1</f>
        <v>15</v>
      </c>
      <c r="CI21" s="41">
        <f>2+1+1</f>
        <v>4</v>
      </c>
      <c r="CJ21" s="41">
        <f>CH21+CI21</f>
        <v>19</v>
      </c>
      <c r="CK21" s="41">
        <f>6+7+1</f>
        <v>14</v>
      </c>
      <c r="CL21" s="41">
        <f>4+6+0</f>
        <v>10</v>
      </c>
      <c r="CM21" s="41">
        <f>CK21+CL21</f>
        <v>24</v>
      </c>
      <c r="CN21" s="41">
        <f>9+6+0</f>
        <v>15</v>
      </c>
      <c r="CO21" s="41">
        <f>3+4+0</f>
        <v>7</v>
      </c>
      <c r="CP21" s="41">
        <f>CN21+CO21</f>
        <v>22</v>
      </c>
      <c r="CQ21" s="41">
        <f>5+5+0</f>
        <v>10</v>
      </c>
      <c r="CR21" s="41">
        <f>3+1+0</f>
        <v>4</v>
      </c>
      <c r="CS21" s="41">
        <f>CQ21+CR21</f>
        <v>14</v>
      </c>
    </row>
    <row r="22" spans="1:97" ht="13.5" customHeight="1" x14ac:dyDescent="0.2">
      <c r="A22" s="23"/>
      <c r="B22" s="3"/>
      <c r="C22" s="3"/>
      <c r="D22" s="3"/>
      <c r="E22" s="3" t="s">
        <v>62</v>
      </c>
      <c r="F22" s="18">
        <f>IF(AH19&gt;0,(AH22/AH19),"")</f>
        <v>0.10256410256410256</v>
      </c>
      <c r="G22" s="18">
        <f>IF(AK19&gt;0,(AK22/AK19),"")</f>
        <v>8.6956521739130432E-2</v>
      </c>
      <c r="H22" s="18">
        <f>IF(AN19&gt;0,(AN22/AN19),"")</f>
        <v>0.22857142857142856</v>
      </c>
      <c r="I22" s="18">
        <f>IF(AQ19&gt;0,(AQ22/AQ19),"")</f>
        <v>0.18181818181818182</v>
      </c>
      <c r="J22" s="18">
        <f>IF(AT19&gt;0,(AT22/AT19),"")</f>
        <v>8.8888888888888892E-2</v>
      </c>
      <c r="K22" s="18">
        <f>IF(AW19&gt;0,(AW22/AW19),"")</f>
        <v>0.15789473684210525</v>
      </c>
      <c r="L22" s="18">
        <f>IF(AZ19&gt;0,(AZ22/AZ19),"")</f>
        <v>0.16666666666666666</v>
      </c>
      <c r="M22" s="18">
        <f>IF(BC19&gt;0,(BC22/BC19),"")</f>
        <v>0.22580645161290322</v>
      </c>
      <c r="N22" s="18">
        <f>IF(BF19&gt;0,(BF22/BF19),"")</f>
        <v>7.3170731707317069E-2</v>
      </c>
      <c r="O22" s="18">
        <f>IF(BI19&gt;0,(BI22/BI19),"")</f>
        <v>0.24242424242424243</v>
      </c>
      <c r="P22" s="18">
        <f>IF(BL19&gt;0,(BL22/BL19),"")</f>
        <v>0.20833333333333334</v>
      </c>
      <c r="Q22" s="18">
        <f>IF(BO19&gt;0,(BO22/BO19),"")</f>
        <v>0.13043478260869565</v>
      </c>
      <c r="R22" s="18">
        <f>IF(BR19&gt;0,(BR22/BR19),"")</f>
        <v>0.21739130434782608</v>
      </c>
      <c r="S22" s="18">
        <f>IF(BU19&gt;0,(BU22/BU19),"")</f>
        <v>2.2727272727272728E-2</v>
      </c>
      <c r="T22" s="18">
        <f>IF(BX19&gt;0,(BX22/BX19),"")</f>
        <v>0.1111111111111111</v>
      </c>
      <c r="U22" s="18">
        <f>IF(CA19&gt;0,(CA22/CA19),"")</f>
        <v>0.13636363636363635</v>
      </c>
      <c r="V22" s="18">
        <f t="shared" ref="V22" si="60">IF(CD19&gt;0,(CD22/CD19),"")</f>
        <v>9.8591549295774641E-2</v>
      </c>
      <c r="W22" s="18">
        <f>CG22/CG$19</f>
        <v>0.125</v>
      </c>
      <c r="X22" s="18">
        <f t="shared" si="35"/>
        <v>0.1111111111111111</v>
      </c>
      <c r="Y22" s="18">
        <f t="shared" si="35"/>
        <v>0.16393442622950818</v>
      </c>
      <c r="Z22" s="18">
        <f>CP22/CP$19</f>
        <v>0.08</v>
      </c>
      <c r="AA22" s="18">
        <f t="shared" ref="AA22:AA23" si="61">CS22/CS$19</f>
        <v>0.18181818181818182</v>
      </c>
      <c r="AB22" s="24"/>
      <c r="AD22" s="3"/>
      <c r="AE22" s="3" t="s">
        <v>62</v>
      </c>
      <c r="AF22" s="41">
        <v>2</v>
      </c>
      <c r="AG22" s="41">
        <v>2</v>
      </c>
      <c r="AH22" s="41">
        <f t="shared" si="36"/>
        <v>4</v>
      </c>
      <c r="AI22" s="41">
        <v>1</v>
      </c>
      <c r="AJ22" s="41">
        <v>3</v>
      </c>
      <c r="AK22" s="41">
        <f t="shared" si="37"/>
        <v>4</v>
      </c>
      <c r="AL22" s="41">
        <v>7</v>
      </c>
      <c r="AM22" s="41">
        <v>1</v>
      </c>
      <c r="AN22" s="41">
        <f t="shared" si="38"/>
        <v>8</v>
      </c>
      <c r="AO22" s="41">
        <f>3+0+2</f>
        <v>5</v>
      </c>
      <c r="AP22" s="41">
        <f>1+0+0</f>
        <v>1</v>
      </c>
      <c r="AQ22" s="41">
        <f t="shared" si="39"/>
        <v>6</v>
      </c>
      <c r="AR22" s="41">
        <f>1+0+1</f>
        <v>2</v>
      </c>
      <c r="AS22" s="41">
        <f>1+0+1</f>
        <v>2</v>
      </c>
      <c r="AT22" s="41">
        <f t="shared" si="40"/>
        <v>4</v>
      </c>
      <c r="AU22" s="41">
        <f>3+1+1</f>
        <v>5</v>
      </c>
      <c r="AV22" s="41">
        <v>1</v>
      </c>
      <c r="AW22" s="41">
        <f t="shared" si="41"/>
        <v>6</v>
      </c>
      <c r="AX22" s="41">
        <f>3+0+0</f>
        <v>3</v>
      </c>
      <c r="AY22" s="41">
        <f>1+0+0</f>
        <v>1</v>
      </c>
      <c r="AZ22" s="41">
        <f t="shared" si="42"/>
        <v>4</v>
      </c>
      <c r="BA22" s="41">
        <f>4+1+0</f>
        <v>5</v>
      </c>
      <c r="BB22" s="41">
        <f>2+0+0</f>
        <v>2</v>
      </c>
      <c r="BC22" s="41">
        <f t="shared" si="43"/>
        <v>7</v>
      </c>
      <c r="BD22" s="41">
        <f>3+0+0</f>
        <v>3</v>
      </c>
      <c r="BE22" s="41">
        <f>0+0+0</f>
        <v>0</v>
      </c>
      <c r="BF22" s="41">
        <f t="shared" si="44"/>
        <v>3</v>
      </c>
      <c r="BG22" s="41">
        <f>5+0+2</f>
        <v>7</v>
      </c>
      <c r="BH22" s="41">
        <f>1+0+0</f>
        <v>1</v>
      </c>
      <c r="BI22" s="41">
        <f t="shared" si="45"/>
        <v>8</v>
      </c>
      <c r="BJ22" s="41">
        <f>8+0+1</f>
        <v>9</v>
      </c>
      <c r="BK22" s="41">
        <f>0+0+1</f>
        <v>1</v>
      </c>
      <c r="BL22" s="41">
        <f t="shared" si="59"/>
        <v>10</v>
      </c>
      <c r="BM22" s="41">
        <f>1+0+3</f>
        <v>4</v>
      </c>
      <c r="BN22" s="41">
        <f>1+0+1</f>
        <v>2</v>
      </c>
      <c r="BO22" s="41">
        <f t="shared" si="46"/>
        <v>6</v>
      </c>
      <c r="BP22" s="41">
        <f>5+0+1</f>
        <v>6</v>
      </c>
      <c r="BQ22" s="41">
        <f>3+0+1</f>
        <v>4</v>
      </c>
      <c r="BR22" s="41">
        <f t="shared" si="47"/>
        <v>10</v>
      </c>
      <c r="BS22" s="41">
        <f>1+0+0</f>
        <v>1</v>
      </c>
      <c r="BT22" s="41">
        <f>0+0+0</f>
        <v>0</v>
      </c>
      <c r="BU22" s="41">
        <f t="shared" si="48"/>
        <v>1</v>
      </c>
      <c r="BV22" s="41">
        <f>1+3+0</f>
        <v>4</v>
      </c>
      <c r="BW22" s="41">
        <f>2+0+0</f>
        <v>2</v>
      </c>
      <c r="BX22" s="41">
        <f t="shared" si="49"/>
        <v>6</v>
      </c>
      <c r="BY22" s="41">
        <f>6+1+0</f>
        <v>7</v>
      </c>
      <c r="BZ22" s="41">
        <f>2+0+0</f>
        <v>2</v>
      </c>
      <c r="CA22" s="41">
        <f t="shared" si="50"/>
        <v>9</v>
      </c>
      <c r="CB22" s="41">
        <f>3+1+1</f>
        <v>5</v>
      </c>
      <c r="CC22" s="41">
        <f>2+0+0</f>
        <v>2</v>
      </c>
      <c r="CD22" s="41">
        <f t="shared" si="51"/>
        <v>7</v>
      </c>
      <c r="CE22" s="41">
        <f>4+1+0</f>
        <v>5</v>
      </c>
      <c r="CF22" s="41">
        <f>4+0+0</f>
        <v>4</v>
      </c>
      <c r="CG22" s="41">
        <f>CE22+CF22</f>
        <v>9</v>
      </c>
      <c r="CH22" s="41">
        <f>5+2+1</f>
        <v>8</v>
      </c>
      <c r="CI22" s="41">
        <f>1+0+0</f>
        <v>1</v>
      </c>
      <c r="CJ22" s="41">
        <f>CH22+CI22</f>
        <v>9</v>
      </c>
      <c r="CK22" s="41">
        <f>4+3+3</f>
        <v>10</v>
      </c>
      <c r="CL22" s="41">
        <f>2+1+0</f>
        <v>3</v>
      </c>
      <c r="CM22" s="41">
        <f>CK22+CL22</f>
        <v>13</v>
      </c>
      <c r="CN22" s="41">
        <f>2+2+1</f>
        <v>5</v>
      </c>
      <c r="CO22" s="41">
        <f>1+0+0</f>
        <v>1</v>
      </c>
      <c r="CP22" s="41">
        <f>CN22+CO22</f>
        <v>6</v>
      </c>
      <c r="CQ22" s="41">
        <f>6+3+0</f>
        <v>9</v>
      </c>
      <c r="CR22" s="41">
        <f>1+1+1</f>
        <v>3</v>
      </c>
      <c r="CS22" s="41">
        <f>CQ22+CR22</f>
        <v>12</v>
      </c>
    </row>
    <row r="23" spans="1:97" ht="13.5" customHeight="1" x14ac:dyDescent="0.2">
      <c r="A23" s="23"/>
      <c r="B23" s="3"/>
      <c r="C23" s="3"/>
      <c r="D23" s="3"/>
      <c r="E23" s="4"/>
      <c r="F23" s="15">
        <f>IF(AH19&gt;0,(AH23/AH19),"")</f>
        <v>0.38461538461538464</v>
      </c>
      <c r="G23" s="15">
        <f>IF(AK19&gt;0,(AK23/AK19),"")</f>
        <v>0.2608695652173913</v>
      </c>
      <c r="H23" s="15">
        <f>IF(AN19&gt;0,(AN23/AN19),"")</f>
        <v>0.48571428571428571</v>
      </c>
      <c r="I23" s="15">
        <f>IF(AQ19&gt;0,(AQ23/AQ19),"")</f>
        <v>0.33333333333333331</v>
      </c>
      <c r="J23" s="15">
        <f>IF(AT19&gt;0,(AT23/AT19),"")</f>
        <v>0.6</v>
      </c>
      <c r="K23" s="15">
        <f>IF(AW19&gt;0,(AW23/AW19),"")</f>
        <v>0.34210526315789475</v>
      </c>
      <c r="L23" s="15">
        <f>IF(AZ19&gt;0,(AZ23/AZ19),"")</f>
        <v>0.625</v>
      </c>
      <c r="M23" s="15">
        <f>IF(BC19&gt;0,(BC23/BC19),"")</f>
        <v>0.61290322580645162</v>
      </c>
      <c r="N23" s="15">
        <f>IF(BF19&gt;0,(BF23/BF19),"")</f>
        <v>0.41463414634146339</v>
      </c>
      <c r="O23" s="15">
        <f>IF(BI19&gt;0,(BI23/BI19),"")</f>
        <v>0.66666666666666663</v>
      </c>
      <c r="P23" s="15">
        <f>IF(BL19&gt;0,(BL23/BL19),"")</f>
        <v>0.58333333333333337</v>
      </c>
      <c r="Q23" s="15">
        <f>IF(BO19&gt;0,(BO23/BO19),"")</f>
        <v>0.65217391304347827</v>
      </c>
      <c r="R23" s="15">
        <f>IF(BR19&gt;0,(BR23/BR19),"")</f>
        <v>0.60869565217391308</v>
      </c>
      <c r="S23" s="15">
        <f>IF(BU19&gt;0,(BU23/BU19),"")</f>
        <v>0.5</v>
      </c>
      <c r="T23" s="15">
        <f>IF(BX19&gt;0,(BX23/BX19),"")</f>
        <v>0.51851851851851849</v>
      </c>
      <c r="U23" s="15">
        <f>IF(CA19&gt;0,(CA23/CA19),"")</f>
        <v>0.56060606060606055</v>
      </c>
      <c r="V23" s="15">
        <f t="shared" ref="V23" si="62">IF(CD19&gt;0,(CD23/CD19),"")</f>
        <v>0.63380281690140849</v>
      </c>
      <c r="W23" s="15">
        <f>CG23/CG$19</f>
        <v>0.4861111111111111</v>
      </c>
      <c r="X23" s="15">
        <f t="shared" si="35"/>
        <v>0.43209876543209874</v>
      </c>
      <c r="Y23" s="15">
        <f t="shared" si="35"/>
        <v>0.47540983606557374</v>
      </c>
      <c r="Z23" s="15">
        <f>CP23/CP$19</f>
        <v>0.49333333333333335</v>
      </c>
      <c r="AA23" s="15">
        <f t="shared" si="61"/>
        <v>0.5</v>
      </c>
      <c r="AB23" s="24"/>
      <c r="AD23" s="3"/>
      <c r="AE23" s="35" t="s">
        <v>88</v>
      </c>
      <c r="AF23" s="41">
        <f t="shared" ref="AF23:CE23" si="63">SUM(AF20:AF22)</f>
        <v>10</v>
      </c>
      <c r="AG23" s="41">
        <f t="shared" si="63"/>
        <v>5</v>
      </c>
      <c r="AH23" s="41">
        <f t="shared" si="63"/>
        <v>15</v>
      </c>
      <c r="AI23" s="41">
        <f t="shared" si="63"/>
        <v>6</v>
      </c>
      <c r="AJ23" s="41">
        <f t="shared" si="63"/>
        <v>6</v>
      </c>
      <c r="AK23" s="41">
        <f t="shared" si="63"/>
        <v>12</v>
      </c>
      <c r="AL23" s="41">
        <f t="shared" si="63"/>
        <v>12</v>
      </c>
      <c r="AM23" s="41">
        <f t="shared" si="63"/>
        <v>5</v>
      </c>
      <c r="AN23" s="41">
        <f t="shared" si="63"/>
        <v>17</v>
      </c>
      <c r="AO23" s="41">
        <f t="shared" si="63"/>
        <v>9</v>
      </c>
      <c r="AP23" s="41">
        <f t="shared" si="63"/>
        <v>2</v>
      </c>
      <c r="AQ23" s="41">
        <f t="shared" si="63"/>
        <v>11</v>
      </c>
      <c r="AR23" s="41">
        <f t="shared" si="63"/>
        <v>17</v>
      </c>
      <c r="AS23" s="41">
        <f t="shared" si="63"/>
        <v>10</v>
      </c>
      <c r="AT23" s="41">
        <f t="shared" si="63"/>
        <v>27</v>
      </c>
      <c r="AU23" s="41">
        <f t="shared" si="63"/>
        <v>11</v>
      </c>
      <c r="AV23" s="41">
        <f t="shared" si="63"/>
        <v>2</v>
      </c>
      <c r="AW23" s="41">
        <f t="shared" si="63"/>
        <v>13</v>
      </c>
      <c r="AX23" s="41">
        <f t="shared" si="63"/>
        <v>13</v>
      </c>
      <c r="AY23" s="41">
        <f t="shared" si="63"/>
        <v>2</v>
      </c>
      <c r="AZ23" s="41">
        <f t="shared" si="63"/>
        <v>15</v>
      </c>
      <c r="BA23" s="41">
        <f t="shared" si="63"/>
        <v>12</v>
      </c>
      <c r="BB23" s="41">
        <f t="shared" si="63"/>
        <v>7</v>
      </c>
      <c r="BC23" s="41">
        <f t="shared" si="63"/>
        <v>19</v>
      </c>
      <c r="BD23" s="41">
        <f t="shared" si="63"/>
        <v>12</v>
      </c>
      <c r="BE23" s="41">
        <f t="shared" si="63"/>
        <v>5</v>
      </c>
      <c r="BF23" s="41">
        <f t="shared" si="63"/>
        <v>17</v>
      </c>
      <c r="BG23" s="41">
        <f t="shared" si="63"/>
        <v>15</v>
      </c>
      <c r="BH23" s="41">
        <f t="shared" si="63"/>
        <v>7</v>
      </c>
      <c r="BI23" s="41">
        <f t="shared" si="63"/>
        <v>22</v>
      </c>
      <c r="BJ23" s="41">
        <f t="shared" si="63"/>
        <v>19</v>
      </c>
      <c r="BK23" s="41">
        <f t="shared" si="63"/>
        <v>9</v>
      </c>
      <c r="BL23" s="41">
        <f t="shared" si="63"/>
        <v>28</v>
      </c>
      <c r="BM23" s="41">
        <f t="shared" si="63"/>
        <v>22</v>
      </c>
      <c r="BN23" s="41">
        <f t="shared" si="63"/>
        <v>8</v>
      </c>
      <c r="BO23" s="41">
        <f t="shared" si="63"/>
        <v>30</v>
      </c>
      <c r="BP23" s="41">
        <f t="shared" si="63"/>
        <v>19</v>
      </c>
      <c r="BQ23" s="41">
        <f t="shared" si="63"/>
        <v>9</v>
      </c>
      <c r="BR23" s="41">
        <f t="shared" si="63"/>
        <v>28</v>
      </c>
      <c r="BS23" s="41">
        <f t="shared" si="63"/>
        <v>14</v>
      </c>
      <c r="BT23" s="41">
        <f t="shared" si="63"/>
        <v>8</v>
      </c>
      <c r="BU23" s="41">
        <f t="shared" si="63"/>
        <v>22</v>
      </c>
      <c r="BV23" s="41">
        <f t="shared" si="63"/>
        <v>22</v>
      </c>
      <c r="BW23" s="41">
        <f t="shared" si="63"/>
        <v>6</v>
      </c>
      <c r="BX23" s="41">
        <f t="shared" si="63"/>
        <v>28</v>
      </c>
      <c r="BY23" s="41">
        <f t="shared" si="63"/>
        <v>23</v>
      </c>
      <c r="BZ23" s="41">
        <f t="shared" si="63"/>
        <v>14</v>
      </c>
      <c r="CA23" s="41">
        <f t="shared" si="63"/>
        <v>37</v>
      </c>
      <c r="CB23" s="41">
        <f t="shared" si="63"/>
        <v>35</v>
      </c>
      <c r="CC23" s="41">
        <f t="shared" si="63"/>
        <v>10</v>
      </c>
      <c r="CD23" s="41">
        <f t="shared" si="63"/>
        <v>45</v>
      </c>
      <c r="CE23" s="41">
        <f t="shared" si="63"/>
        <v>21</v>
      </c>
      <c r="CF23" s="41">
        <f>SUM(CF20:CF22)</f>
        <v>14</v>
      </c>
      <c r="CG23" s="41">
        <f t="shared" ref="CG23:CH23" si="64">SUM(CG20:CG22)</f>
        <v>35</v>
      </c>
      <c r="CH23" s="41">
        <f t="shared" si="64"/>
        <v>29</v>
      </c>
      <c r="CI23" s="41">
        <f>SUM(CI20:CI22)</f>
        <v>6</v>
      </c>
      <c r="CJ23" s="41">
        <f t="shared" ref="CJ23:CK23" si="65">SUM(CJ20:CJ22)</f>
        <v>35</v>
      </c>
      <c r="CK23" s="41">
        <f t="shared" si="65"/>
        <v>29</v>
      </c>
      <c r="CL23" s="41">
        <f>SUM(CL20:CL22)</f>
        <v>15</v>
      </c>
      <c r="CM23" s="41">
        <f t="shared" ref="CM23" si="66">SUM(CM20:CM22)</f>
        <v>44</v>
      </c>
      <c r="CN23" s="41">
        <f t="shared" ref="CN23" si="67">SUM(CN20:CN22)</f>
        <v>27</v>
      </c>
      <c r="CO23" s="41">
        <f>SUM(CO20:CO22)</f>
        <v>10</v>
      </c>
      <c r="CP23" s="41">
        <f t="shared" ref="CP23:CQ23" si="68">SUM(CP20:CP22)</f>
        <v>37</v>
      </c>
      <c r="CQ23" s="41">
        <f t="shared" si="68"/>
        <v>23</v>
      </c>
      <c r="CR23" s="41">
        <f>SUM(CR20:CR22)</f>
        <v>10</v>
      </c>
      <c r="CS23" s="41">
        <f t="shared" ref="CS23" si="69">SUM(CS20:CS22)</f>
        <v>33</v>
      </c>
    </row>
    <row r="24" spans="1:97" ht="13.5" customHeight="1" x14ac:dyDescent="0.2">
      <c r="A24" s="23"/>
      <c r="B24" s="3"/>
      <c r="C24" s="4" t="s">
        <v>25</v>
      </c>
      <c r="D24" s="3"/>
      <c r="E24" s="3"/>
      <c r="F24" s="15"/>
      <c r="G24" s="15"/>
      <c r="H24" s="15"/>
      <c r="I24" s="15"/>
      <c r="J24" s="15"/>
      <c r="K24" s="15"/>
      <c r="L24" s="15"/>
      <c r="M24" s="15"/>
      <c r="N24" s="15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24"/>
      <c r="AD24" s="3"/>
      <c r="AE24" s="4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20"/>
      <c r="CF24" s="20"/>
      <c r="CG24" s="20"/>
      <c r="CQ24" s="3"/>
    </row>
    <row r="25" spans="1:97" ht="13.5" customHeight="1" x14ac:dyDescent="0.2">
      <c r="A25" s="23"/>
      <c r="B25" s="3"/>
      <c r="C25" s="3"/>
      <c r="D25" s="3" t="s">
        <v>65</v>
      </c>
      <c r="E25" s="3"/>
      <c r="F25" s="11">
        <f>AF13</f>
        <v>576</v>
      </c>
      <c r="G25" s="11">
        <f>AI13</f>
        <v>635</v>
      </c>
      <c r="H25" s="11">
        <f>AL13</f>
        <v>596</v>
      </c>
      <c r="I25" s="11">
        <f>AO13</f>
        <v>612</v>
      </c>
      <c r="J25" s="11">
        <f>AR13</f>
        <v>614</v>
      </c>
      <c r="K25" s="11">
        <f>AU13</f>
        <v>598</v>
      </c>
      <c r="L25" s="11">
        <f>AX13</f>
        <v>525</v>
      </c>
      <c r="M25" s="11">
        <f>BA13</f>
        <v>570</v>
      </c>
      <c r="N25" s="11">
        <f>BD13</f>
        <v>540</v>
      </c>
      <c r="O25" s="11">
        <f>BG13</f>
        <v>526</v>
      </c>
      <c r="P25" s="11">
        <f>BJ13</f>
        <v>567</v>
      </c>
      <c r="Q25" s="11">
        <f>BM13</f>
        <v>635</v>
      </c>
      <c r="R25" s="11">
        <f>BP13</f>
        <v>689</v>
      </c>
      <c r="S25" s="11">
        <f>BS13</f>
        <v>667</v>
      </c>
      <c r="T25" s="11">
        <f>BV13</f>
        <v>709</v>
      </c>
      <c r="U25" s="11">
        <f>BY13</f>
        <v>713</v>
      </c>
      <c r="V25" s="11">
        <f>CB13</f>
        <v>810</v>
      </c>
      <c r="W25" s="11">
        <f>CE13</f>
        <v>802</v>
      </c>
      <c r="X25" s="11">
        <f>CH13</f>
        <v>839</v>
      </c>
      <c r="Y25" s="11">
        <f>CK13</f>
        <v>888</v>
      </c>
      <c r="Z25" s="11">
        <f>CN13</f>
        <v>849</v>
      </c>
      <c r="AA25" s="11">
        <f>CQ13</f>
        <v>882</v>
      </c>
      <c r="AB25" s="24"/>
      <c r="AD25" s="4"/>
      <c r="AE25" s="4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Q25" s="3"/>
    </row>
    <row r="26" spans="1:97" ht="13.5" customHeight="1" x14ac:dyDescent="0.2">
      <c r="A26" s="23"/>
      <c r="B26" s="3"/>
      <c r="C26" s="3"/>
      <c r="D26" s="15" t="s">
        <v>59</v>
      </c>
      <c r="E26" s="3" t="s">
        <v>60</v>
      </c>
      <c r="F26" s="15">
        <f>IF(AF13&gt;0,(AF14/AF13),"")</f>
        <v>7.4652777777777776E-2</v>
      </c>
      <c r="G26" s="15">
        <f>IF(AI13&gt;0,(AI14/AI13),"")</f>
        <v>6.2992125984251968E-2</v>
      </c>
      <c r="H26" s="15">
        <f>IF(AL13&gt;0,(AL14/AL13),"")</f>
        <v>9.7315436241610737E-2</v>
      </c>
      <c r="I26" s="15">
        <f>IF(AO13&gt;0,(AO14/AO13),"")</f>
        <v>9.1503267973856203E-2</v>
      </c>
      <c r="J26" s="15">
        <f>IF(AR13&gt;0,(AR14/AR13),"")</f>
        <v>0.12377850162866449</v>
      </c>
      <c r="K26" s="15">
        <f>IF(AU13&gt;0,(AU14/AU13),"")</f>
        <v>0.12876254180602006</v>
      </c>
      <c r="L26" s="15">
        <f>IF(AX13&gt;0,(AX14/AX13),"")</f>
        <v>0.14476190476190476</v>
      </c>
      <c r="M26" s="15">
        <f>IF(BA13&gt;0,(BA14/BA13),"")</f>
        <v>0.14385964912280702</v>
      </c>
      <c r="N26" s="15">
        <f>IF(BD13&gt;0,(BD14/BD13),"")</f>
        <v>0.1425925925925926</v>
      </c>
      <c r="O26" s="15">
        <f>IF(BG13&gt;0,(BG14/BG13),"")</f>
        <v>0.18631178707224336</v>
      </c>
      <c r="P26" s="15">
        <f>IF(BJ13&gt;0,(BJ14/BJ13),"")</f>
        <v>0.19400352733686066</v>
      </c>
      <c r="Q26" s="15">
        <f>IF(BM13&gt;0,(BM14/BM13),"")</f>
        <v>0.2015748031496063</v>
      </c>
      <c r="R26" s="15">
        <f>IF(BP13&gt;0,(BP14/BP13),"")</f>
        <v>0.22351233671988388</v>
      </c>
      <c r="S26" s="15">
        <f>IF(BS13&gt;0,(BS14/BS13),"")</f>
        <v>0.24287856071964017</v>
      </c>
      <c r="T26" s="15">
        <f>IF(BV13&gt;0,(BV14/BV13),"")</f>
        <v>0.21720733427362482</v>
      </c>
      <c r="U26" s="15">
        <f>IF(BY13&gt;0,(BY14/BY13),"")</f>
        <v>0.24684431977559607</v>
      </c>
      <c r="V26" s="15">
        <f>IF(CB13&gt;0,(CB14/CB13),"")</f>
        <v>0.22222222222222221</v>
      </c>
      <c r="W26" s="15">
        <f>CE14/CE$13</f>
        <v>0.22568578553615959</v>
      </c>
      <c r="X26" s="15">
        <f>CH14/CH$13</f>
        <v>0.21454112038140644</v>
      </c>
      <c r="Y26" s="15">
        <f>CK14/CK$13</f>
        <v>0.18693693693693694</v>
      </c>
      <c r="Z26" s="15">
        <f>CN14/CN$13</f>
        <v>0.19905771495877503</v>
      </c>
      <c r="AA26" s="15">
        <f>CQ14/CQ$13</f>
        <v>0.2199546485260771</v>
      </c>
      <c r="AB26" s="24"/>
      <c r="AD26" s="4"/>
      <c r="AE26" s="4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Q26" s="3"/>
    </row>
    <row r="27" spans="1:97" ht="13.5" customHeight="1" x14ac:dyDescent="0.2">
      <c r="A27" s="23"/>
      <c r="B27" s="3"/>
      <c r="C27" s="3"/>
      <c r="D27" s="3"/>
      <c r="E27" s="3" t="s">
        <v>61</v>
      </c>
      <c r="F27" s="15">
        <f>IF(AF13&gt;0,(AF15/AF13),"")</f>
        <v>0.30381944444444442</v>
      </c>
      <c r="G27" s="15">
        <f>IF(AI13&gt;0,(AI15/AI13),"")</f>
        <v>0.32283464566929132</v>
      </c>
      <c r="H27" s="15">
        <f>IF(AL13&gt;0,(AL15/AL13),"")</f>
        <v>0.28187919463087246</v>
      </c>
      <c r="I27" s="15">
        <f>IF(AO13&gt;0,(AO15/AO13),"")</f>
        <v>0.26633986928104575</v>
      </c>
      <c r="J27" s="15">
        <f>IF(AR13&gt;0,(AR15/AR13),"")</f>
        <v>0.33224755700325731</v>
      </c>
      <c r="K27" s="15">
        <f>IF(AU13&gt;0,(AU15/AU13),"")</f>
        <v>0.27257525083612039</v>
      </c>
      <c r="L27" s="15">
        <f>IF(AX13&gt;0,(AX15/AX13),"")</f>
        <v>0.34857142857142859</v>
      </c>
      <c r="M27" s="15">
        <f>IF(BA13&gt;0,(BA15/BA13),"")</f>
        <v>0.38070175438596493</v>
      </c>
      <c r="N27" s="15">
        <f>IF(BD13&gt;0,(BD15/BD13),"")</f>
        <v>0.39629629629629631</v>
      </c>
      <c r="O27" s="15">
        <f>IF(BG13&gt;0,(BG15/BG13),"")</f>
        <v>0.3269961977186312</v>
      </c>
      <c r="P27" s="15">
        <f>IF(BJ13&gt;0,(BJ15/BJ13),"")</f>
        <v>0.31746031746031744</v>
      </c>
      <c r="Q27" s="15">
        <f>IF(BM13&gt;0,(BM15/BM13),"")</f>
        <v>0.30708661417322836</v>
      </c>
      <c r="R27" s="15">
        <f>IF(BP13&gt;0,(BP15/BP13),"")</f>
        <v>0.31349782293178519</v>
      </c>
      <c r="S27" s="15">
        <f>IF(BS13&gt;0,(BS15/BS13),"")</f>
        <v>0.32683658170914542</v>
      </c>
      <c r="T27" s="15">
        <f>IF(BV13&gt;0,(BV15/BV13),"")</f>
        <v>0.3751763046544429</v>
      </c>
      <c r="U27" s="15">
        <f>IF(BY13&gt;0,(BY15/BY13),"")</f>
        <v>0.29172510518934081</v>
      </c>
      <c r="V27" s="15">
        <f>IF(CB13&gt;0,(CB15/CB13),"")</f>
        <v>0.31481481481481483</v>
      </c>
      <c r="W27" s="15">
        <f t="shared" ref="W27:W28" si="70">CE15/CE$13</f>
        <v>0.30423940149625933</v>
      </c>
      <c r="X27" s="15">
        <f>CH15/CH$13</f>
        <v>0.31585220500595945</v>
      </c>
      <c r="Y27" s="15">
        <f>CK15/CK$13</f>
        <v>0.32094594594594594</v>
      </c>
      <c r="Z27" s="15">
        <f>CN15/CN$13</f>
        <v>0.33215547703180209</v>
      </c>
      <c r="AA27" s="15">
        <f t="shared" ref="AA27:AA29" si="71">CQ15/CQ$13</f>
        <v>0.30385487528344673</v>
      </c>
      <c r="AB27" s="24"/>
      <c r="AD27" s="4"/>
      <c r="AE27" s="4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Q27" s="3"/>
    </row>
    <row r="28" spans="1:97" ht="13.5" customHeight="1" x14ac:dyDescent="0.2">
      <c r="A28" s="23"/>
      <c r="B28" s="3"/>
      <c r="C28" s="3"/>
      <c r="D28" s="3"/>
      <c r="E28" s="3" t="s">
        <v>62</v>
      </c>
      <c r="F28" s="18">
        <f>IF(AF13&gt;0,(AF16/AF13),"")</f>
        <v>0.1423611111111111</v>
      </c>
      <c r="G28" s="18">
        <f>IF(AI13&gt;0,(AI16/AI13),"")</f>
        <v>0.13858267716535433</v>
      </c>
      <c r="H28" s="18">
        <f>IF(AL13&gt;0,(AL16/AL13),"")</f>
        <v>0.15939597315436241</v>
      </c>
      <c r="I28" s="18">
        <f>IF(AO13&gt;0,(AO16/AO13),"")</f>
        <v>0.11601307189542484</v>
      </c>
      <c r="J28" s="18">
        <f>IF(AR13&gt;0,(AR16/AR13),"")</f>
        <v>9.6091205211726385E-2</v>
      </c>
      <c r="K28" s="18">
        <f>IF(AU13&gt;0,(AU16/AU13),"")</f>
        <v>0.13210702341137123</v>
      </c>
      <c r="L28" s="18">
        <f>IF(AX13&gt;0,(AX16/AX13),"")</f>
        <v>9.7142857142857142E-2</v>
      </c>
      <c r="M28" s="18">
        <f>IF(BA13&gt;0,(BA16/BA13),"")</f>
        <v>9.6491228070175433E-2</v>
      </c>
      <c r="N28" s="18">
        <f>IF(BD13&gt;0,(BD16/BD13),"")</f>
        <v>8.5185185185185183E-2</v>
      </c>
      <c r="O28" s="18">
        <f>IF(BG13&gt;0,(BG16/BG13),"")</f>
        <v>9.3155893536121678E-2</v>
      </c>
      <c r="P28" s="18">
        <f>IF(BJ13&gt;0,(BJ16/BJ13),"")</f>
        <v>9.5238095238095233E-2</v>
      </c>
      <c r="Q28" s="18">
        <f>IF(BM13&gt;0,(BM16/BM13),"")</f>
        <v>9.1338582677165353E-2</v>
      </c>
      <c r="R28" s="18">
        <f>IF(BP13&gt;0,(BP16/BP13),"")</f>
        <v>7.8374455732946297E-2</v>
      </c>
      <c r="S28" s="18">
        <f>IF(BS13&gt;0,(BS16/BS13),"")</f>
        <v>7.1964017991004492E-2</v>
      </c>
      <c r="T28" s="18">
        <f>IF(BV13&gt;0,(BV16/BV13),"")</f>
        <v>6.2059238363892807E-2</v>
      </c>
      <c r="U28" s="18">
        <f>IF(BY13&gt;0,(BY16/BY13),"")</f>
        <v>7.5736325385694248E-2</v>
      </c>
      <c r="V28" s="18">
        <f>IF(CB13&gt;0,(CB16/CB13),"")</f>
        <v>7.160493827160494E-2</v>
      </c>
      <c r="W28" s="18">
        <f t="shared" si="70"/>
        <v>7.9800498753117205E-2</v>
      </c>
      <c r="X28" s="18">
        <f>CH16/CH$13</f>
        <v>0.10727056019070322</v>
      </c>
      <c r="Y28" s="18">
        <f>CK16/CK$13</f>
        <v>0.10585585585585586</v>
      </c>
      <c r="Z28" s="18">
        <f>CN16/CN$13</f>
        <v>8.8339222614840993E-2</v>
      </c>
      <c r="AA28" s="18">
        <f t="shared" si="71"/>
        <v>8.2766439909297052E-2</v>
      </c>
      <c r="AB28" s="24"/>
      <c r="AD28" s="4"/>
      <c r="AE28" s="4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Q28" s="3"/>
    </row>
    <row r="29" spans="1:97" ht="13.5" customHeight="1" x14ac:dyDescent="0.2">
      <c r="A29" s="23"/>
      <c r="B29" s="3"/>
      <c r="C29" s="3"/>
      <c r="D29" s="3"/>
      <c r="E29" s="3"/>
      <c r="F29" s="15">
        <f>IF(AF13&gt;0,(AF17/AF13),"")</f>
        <v>0.52083333333333337</v>
      </c>
      <c r="G29" s="15">
        <f>IF(AI13&gt;0,(AI17/AI13),"")</f>
        <v>0.52440944881889762</v>
      </c>
      <c r="H29" s="15">
        <f>IF(AL13&gt;0,(AL17/AL13),"")</f>
        <v>0.53859060402684567</v>
      </c>
      <c r="I29" s="15">
        <f>IF(AO13&gt;0,(AO17/AO13),"")</f>
        <v>0.47385620915032678</v>
      </c>
      <c r="J29" s="15">
        <f>IF(AR13&gt;0,(AR17/AR13),"")</f>
        <v>0.55211726384364823</v>
      </c>
      <c r="K29" s="15">
        <f>IF(AU13&gt;0,(AU17/AU13),"")</f>
        <v>0.53344481605351168</v>
      </c>
      <c r="L29" s="15">
        <f>IF(AX13&gt;0,(AX17/AX13),"")</f>
        <v>0.59047619047619049</v>
      </c>
      <c r="M29" s="15">
        <f>IF(BA13&gt;0,(BA17/BA13),"")</f>
        <v>0.62105263157894741</v>
      </c>
      <c r="N29" s="15">
        <f>IF(BD13&gt;0,(BD17/BD13),"")</f>
        <v>0.62407407407407411</v>
      </c>
      <c r="O29" s="15">
        <f>IF(BG13&gt;0,(BG17/BG13),"")</f>
        <v>0.60646387832699622</v>
      </c>
      <c r="P29" s="15">
        <f>IF(BJ13&gt;0,(BJ17/BJ13),"")</f>
        <v>0.60670194003527333</v>
      </c>
      <c r="Q29" s="15">
        <f>IF(BM13&gt;0,(BM17/BM13),"")</f>
        <v>0.6</v>
      </c>
      <c r="R29" s="15">
        <f>IF(BP13&gt;0,(BP17/BP13),"")</f>
        <v>0.61538461538461542</v>
      </c>
      <c r="S29" s="15">
        <f>IF(BS13&gt;0,(BS17/BS13),"")</f>
        <v>0.64167916041979012</v>
      </c>
      <c r="T29" s="15">
        <f>IF(BV13&gt;0,(BV17/BV13),"")</f>
        <v>0.65444287729196049</v>
      </c>
      <c r="U29" s="15">
        <f>IF(BY13&gt;0,(BY17/BY13),"")</f>
        <v>0.61430575035063117</v>
      </c>
      <c r="V29" s="15">
        <f>IF(CB13&gt;0,(CB17/CB13),"")</f>
        <v>0.60864197530864195</v>
      </c>
      <c r="W29" s="15">
        <f>CE17/CE$13</f>
        <v>0.60972568578553621</v>
      </c>
      <c r="X29" s="15">
        <f>CH17/CH$13</f>
        <v>0.63766388557806908</v>
      </c>
      <c r="Y29" s="15">
        <f>CK17/CK$13</f>
        <v>0.61373873873873874</v>
      </c>
      <c r="Z29" s="15">
        <f>CN17/CN$13</f>
        <v>0.6195524146054181</v>
      </c>
      <c r="AA29" s="15">
        <f t="shared" si="71"/>
        <v>0.60657596371882083</v>
      </c>
      <c r="AB29" s="24"/>
      <c r="AD29" s="4"/>
      <c r="AE29" s="4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Q29" s="3"/>
    </row>
    <row r="30" spans="1:97" ht="13.5" customHeight="1" x14ac:dyDescent="0.2">
      <c r="A30" s="23"/>
      <c r="B30" s="3"/>
      <c r="C30" s="4" t="s">
        <v>26</v>
      </c>
      <c r="D30" s="3"/>
      <c r="E30" s="3"/>
      <c r="F30" s="15"/>
      <c r="G30" s="15"/>
      <c r="H30" s="15"/>
      <c r="I30" s="15"/>
      <c r="J30" s="15"/>
      <c r="K30" s="15"/>
      <c r="L30" s="15"/>
      <c r="M30" s="15"/>
      <c r="N30" s="15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24"/>
      <c r="AD30" s="4"/>
      <c r="AE30" s="4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Q30" s="3"/>
    </row>
    <row r="31" spans="1:97" ht="13.5" customHeight="1" x14ac:dyDescent="0.2">
      <c r="A31" s="23"/>
      <c r="B31" s="3"/>
      <c r="C31" s="3"/>
      <c r="D31" s="3" t="s">
        <v>65</v>
      </c>
      <c r="E31" s="3"/>
      <c r="F31" s="11">
        <f>AG13</f>
        <v>134</v>
      </c>
      <c r="G31" s="11">
        <f>AJ13</f>
        <v>173</v>
      </c>
      <c r="H31" s="11">
        <f>AM13</f>
        <v>190</v>
      </c>
      <c r="I31" s="11">
        <f>AP13</f>
        <v>172</v>
      </c>
      <c r="J31" s="11">
        <f>AS13</f>
        <v>190</v>
      </c>
      <c r="K31" s="11">
        <f>AV13</f>
        <v>179</v>
      </c>
      <c r="L31" s="11">
        <f>AY13</f>
        <v>168</v>
      </c>
      <c r="M31" s="11">
        <f>BB13</f>
        <v>151</v>
      </c>
      <c r="N31" s="11">
        <f>BE13</f>
        <v>140</v>
      </c>
      <c r="O31" s="11">
        <f>BH13</f>
        <v>148</v>
      </c>
      <c r="P31" s="11">
        <f>BK13</f>
        <v>126</v>
      </c>
      <c r="Q31" s="11">
        <f>BN13</f>
        <v>150</v>
      </c>
      <c r="R31" s="11">
        <f>BQ13</f>
        <v>181</v>
      </c>
      <c r="S31" s="11">
        <f>BT13</f>
        <v>169</v>
      </c>
      <c r="T31" s="11">
        <f>BW13</f>
        <v>168</v>
      </c>
      <c r="U31" s="11">
        <f>BZ13</f>
        <v>216</v>
      </c>
      <c r="V31" s="11">
        <f>CC13</f>
        <v>208</v>
      </c>
      <c r="W31" s="11">
        <f>CF13</f>
        <v>234</v>
      </c>
      <c r="X31" s="11">
        <f>CI13</f>
        <v>260</v>
      </c>
      <c r="Y31" s="11">
        <f>CL13</f>
        <v>250</v>
      </c>
      <c r="Z31" s="11">
        <f>CO13</f>
        <v>241</v>
      </c>
      <c r="AA31" s="11">
        <f>CR13</f>
        <v>234</v>
      </c>
      <c r="AB31" s="24"/>
      <c r="AD31" s="4"/>
      <c r="AE31" s="4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Q31" s="3"/>
    </row>
    <row r="32" spans="1:97" ht="13.5" customHeight="1" x14ac:dyDescent="0.2">
      <c r="A32" s="23"/>
      <c r="B32" s="3"/>
      <c r="C32" s="3"/>
      <c r="D32" s="15" t="s">
        <v>59</v>
      </c>
      <c r="E32" s="3" t="s">
        <v>60</v>
      </c>
      <c r="F32" s="15">
        <f>IF(AG13&gt;0,(AG14/AG13),"")</f>
        <v>0.11194029850746269</v>
      </c>
      <c r="G32" s="15">
        <f>IF(AJ13&gt;0,(AJ14/AJ13),"")</f>
        <v>0.13872832369942195</v>
      </c>
      <c r="H32" s="15">
        <f>IF(AM13&gt;0,(AM14/AM13),"")</f>
        <v>0.10526315789473684</v>
      </c>
      <c r="I32" s="15">
        <f>IF(AP13&gt;0,(AP14/AP13),"")</f>
        <v>0.11627906976744186</v>
      </c>
      <c r="J32" s="15">
        <f>IF(AS13&gt;0,(AS14/AS13),"")</f>
        <v>0.24210526315789474</v>
      </c>
      <c r="K32" s="15">
        <f>IF(AV13&gt;0,(AV14/AV13),"")</f>
        <v>0.24581005586592178</v>
      </c>
      <c r="L32" s="15">
        <f>IF(AY13&gt;0,(AY14/AY13),"")</f>
        <v>0.13690476190476192</v>
      </c>
      <c r="M32" s="15">
        <f>IF(BB13&gt;0,(BB14/BB13),"")</f>
        <v>0.16556291390728478</v>
      </c>
      <c r="N32" s="15">
        <f>IF(BE13&gt;0,(BE14/BE13),"")</f>
        <v>0.25</v>
      </c>
      <c r="O32" s="15">
        <f>IF(BH13&gt;0,(BH14/BH13),"")</f>
        <v>0.30405405405405406</v>
      </c>
      <c r="P32" s="15">
        <f>IF(BK13&gt;0,(BK14/BK13),"")</f>
        <v>0.27777777777777779</v>
      </c>
      <c r="Q32" s="15">
        <f>IF(BN13&gt;0,(BN14/BN13),"")</f>
        <v>0.31333333333333335</v>
      </c>
      <c r="R32" s="15">
        <f>IF(BQ13&gt;0,(BQ14/BQ13),"")</f>
        <v>0.34806629834254144</v>
      </c>
      <c r="S32" s="15">
        <f>IF(BT13&gt;0,(BT14/BT13),"")</f>
        <v>0.28994082840236685</v>
      </c>
      <c r="T32" s="15">
        <f>IF(BW13&gt;0,(BW14/BW13),"")</f>
        <v>0.41666666666666669</v>
      </c>
      <c r="U32" s="15">
        <f>IF(BZ13&gt;0,(BZ14/BZ13),"")</f>
        <v>0.37962962962962965</v>
      </c>
      <c r="V32" s="15">
        <f>IF(CC13&gt;0,(CC14/CC13),"")</f>
        <v>0.37019230769230771</v>
      </c>
      <c r="W32" s="15">
        <f>CF14/CF$13</f>
        <v>0.30769230769230771</v>
      </c>
      <c r="X32" s="15">
        <f>CI14/CI$13</f>
        <v>0.31923076923076921</v>
      </c>
      <c r="Y32" s="15">
        <f>CL14/CL$13</f>
        <v>0.32</v>
      </c>
      <c r="Z32" s="15">
        <f>CO14/CO$13</f>
        <v>0.31535269709543567</v>
      </c>
      <c r="AA32" s="15">
        <f>CR14/CR$13</f>
        <v>0.2606837606837607</v>
      </c>
      <c r="AB32" s="24"/>
      <c r="AD32" s="4"/>
      <c r="AE32" s="4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Q32" s="3"/>
    </row>
    <row r="33" spans="1:95" ht="13.5" customHeight="1" x14ac:dyDescent="0.2">
      <c r="A33" s="23"/>
      <c r="B33" s="3"/>
      <c r="C33" s="3"/>
      <c r="D33" s="3"/>
      <c r="E33" s="3" t="s">
        <v>61</v>
      </c>
      <c r="F33" s="15">
        <f>IF(AG13&gt;0,(AG15/AG13),"")</f>
        <v>0.31343283582089554</v>
      </c>
      <c r="G33" s="15">
        <f>IF(AJ13&gt;0,(AJ15/AJ13),"")</f>
        <v>0.41618497109826591</v>
      </c>
      <c r="H33" s="15">
        <f>IF(AM13&gt;0,(AM15/AM13),"")</f>
        <v>0.38947368421052631</v>
      </c>
      <c r="I33" s="15">
        <f>IF(AP13&gt;0,(AP15/AP13),"")</f>
        <v>0.42441860465116277</v>
      </c>
      <c r="J33" s="15">
        <f>IF(AS13&gt;0,(AS15/AS13),"")</f>
        <v>0.36315789473684212</v>
      </c>
      <c r="K33" s="15">
        <f>IF(AV13&gt;0,(AV15/AV13),"")</f>
        <v>0.30726256983240224</v>
      </c>
      <c r="L33" s="15">
        <f>IF(AY13&gt;0,(AY15/AY13),"")</f>
        <v>0.42261904761904762</v>
      </c>
      <c r="M33" s="15">
        <f>IF(BB13&gt;0,(BB15/BB13),"")</f>
        <v>0.43046357615894038</v>
      </c>
      <c r="N33" s="15">
        <f>IF(BE13&gt;0,(BE15/BE13),"")</f>
        <v>0.44285714285714284</v>
      </c>
      <c r="O33" s="15">
        <f>IF(BH13&gt;0,(BH15/BH13),"")</f>
        <v>0.33783783783783783</v>
      </c>
      <c r="P33" s="15">
        <f>IF(BK13&gt;0,(BK15/BK13),"")</f>
        <v>0.27777777777777779</v>
      </c>
      <c r="Q33" s="15">
        <f>IF(BN13&gt;0,(BN15/BN13),"")</f>
        <v>0.32</v>
      </c>
      <c r="R33" s="15">
        <f>IF(BQ13&gt;0,(BQ15/BQ13),"")</f>
        <v>0.287292817679558</v>
      </c>
      <c r="S33" s="15">
        <f>IF(BT13&gt;0,(BT15/BT13),"")</f>
        <v>0.42603550295857989</v>
      </c>
      <c r="T33" s="15">
        <f>IF(BW13&gt;0,(BW15/BW13),"")</f>
        <v>0.26785714285714285</v>
      </c>
      <c r="U33" s="15">
        <f>IF(BZ13&gt;0,(BZ15/BZ13),"")</f>
        <v>0.33796296296296297</v>
      </c>
      <c r="V33" s="15">
        <f>IF(CC13&gt;0,(CC15/CC13),"")</f>
        <v>0.27403846153846156</v>
      </c>
      <c r="W33" s="15">
        <f t="shared" ref="W33:W34" si="72">CF15/CF$13</f>
        <v>0.36752136752136755</v>
      </c>
      <c r="X33" s="15">
        <f>CI15/CI$13</f>
        <v>0.29615384615384616</v>
      </c>
      <c r="Y33" s="15">
        <f>CL15/CL$13</f>
        <v>0.34</v>
      </c>
      <c r="Z33" s="15">
        <f>CO15/CO$13</f>
        <v>0.33195020746887965</v>
      </c>
      <c r="AA33" s="15">
        <f>CR15/CR$13</f>
        <v>0.36752136752136755</v>
      </c>
      <c r="AB33" s="24"/>
      <c r="AD33" s="4"/>
      <c r="AE33" s="4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Q33" s="3"/>
    </row>
    <row r="34" spans="1:95" ht="13.5" customHeight="1" x14ac:dyDescent="0.2">
      <c r="A34" s="23"/>
      <c r="B34" s="3"/>
      <c r="C34" s="3"/>
      <c r="D34" s="3"/>
      <c r="E34" s="3" t="s">
        <v>62</v>
      </c>
      <c r="F34" s="18">
        <f>IF(AG13&gt;0,(AG16/AG13),"")</f>
        <v>9.7014925373134331E-2</v>
      </c>
      <c r="G34" s="18">
        <f>IF(AJ13&gt;0,(AJ16/AJ13),"")</f>
        <v>7.5144508670520235E-2</v>
      </c>
      <c r="H34" s="18">
        <f>IF(AM13&gt;0,(AM16/AM13),"")</f>
        <v>8.4210526315789472E-2</v>
      </c>
      <c r="I34" s="18">
        <f>IF(AP13&gt;0,(AP16/AP13),"")</f>
        <v>0.12209302325581395</v>
      </c>
      <c r="J34" s="18">
        <f>IF(AS13&gt;0,(AS16/AS13),"")</f>
        <v>5.2631578947368418E-2</v>
      </c>
      <c r="K34" s="18">
        <f>IF(AV13&gt;0,(AV16/AV13),"")</f>
        <v>6.7039106145251395E-2</v>
      </c>
      <c r="L34" s="18">
        <f>IF(AY13&gt;0,(AY16/AY13),"")</f>
        <v>7.1428571428571425E-2</v>
      </c>
      <c r="M34" s="18">
        <f>IF(BB13&gt;0,(BB16/BB13),"")</f>
        <v>9.2715231788079472E-2</v>
      </c>
      <c r="N34" s="18">
        <f>IF(BE13&gt;0,(BE16/BE13),"")</f>
        <v>1.4285714285714285E-2</v>
      </c>
      <c r="O34" s="18">
        <f>IF(BH13&gt;0,(BH16/BH13),"")</f>
        <v>6.0810810810810814E-2</v>
      </c>
      <c r="P34" s="18">
        <f>IF(BK13&gt;0,(BK16/BK13),"")</f>
        <v>6.3492063492063489E-2</v>
      </c>
      <c r="Q34" s="18">
        <f>IF(BN13&gt;0,(BN16/BN13),"")</f>
        <v>4.6666666666666669E-2</v>
      </c>
      <c r="R34" s="18">
        <f>IF(BQ13&gt;0,(BQ16/BQ13),"")</f>
        <v>6.6298342541436461E-2</v>
      </c>
      <c r="S34" s="18">
        <f>IF(BT13&gt;0,(BT16/BT13),"")</f>
        <v>3.5502958579881658E-2</v>
      </c>
      <c r="T34" s="18">
        <f>IF(BW13&gt;0,(BW16/BW13),"")</f>
        <v>5.9523809523809521E-2</v>
      </c>
      <c r="U34" s="18">
        <f>IF(BZ13&gt;0,(BZ16/BZ13),"")</f>
        <v>6.0185185185185182E-2</v>
      </c>
      <c r="V34" s="18">
        <f>IF(CC13&gt;0,(CC16/CC13),"")</f>
        <v>4.807692307692308E-2</v>
      </c>
      <c r="W34" s="18">
        <f t="shared" si="72"/>
        <v>3.8461538461538464E-2</v>
      </c>
      <c r="X34" s="18">
        <f>CI16/CI$13</f>
        <v>9.2307692307692313E-2</v>
      </c>
      <c r="Y34" s="18">
        <f>CL16/CL$13</f>
        <v>7.1999999999999995E-2</v>
      </c>
      <c r="Z34" s="18">
        <f>CO16/CO$13</f>
        <v>7.0539419087136929E-2</v>
      </c>
      <c r="AA34" s="18">
        <f t="shared" ref="AA34" si="73">CR16/CR$13</f>
        <v>7.6923076923076927E-2</v>
      </c>
      <c r="AB34" s="24"/>
      <c r="AD34" s="4"/>
      <c r="AE34" s="4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Q34" s="3"/>
    </row>
    <row r="35" spans="1:95" ht="13.5" customHeight="1" x14ac:dyDescent="0.2">
      <c r="A35" s="23"/>
      <c r="B35" s="3"/>
      <c r="C35" s="3"/>
      <c r="D35" s="3"/>
      <c r="E35" s="3"/>
      <c r="F35" s="15">
        <f>IF(AG13&gt;0,(AG17/AG13),"")</f>
        <v>0.52238805970149249</v>
      </c>
      <c r="G35" s="15">
        <f>IF(AJ13&gt;0,(AJ17/AJ13),"")</f>
        <v>0.63005780346820806</v>
      </c>
      <c r="H35" s="15">
        <f>IF(AM13&gt;0,(AM17/AM13),"")</f>
        <v>0.57894736842105265</v>
      </c>
      <c r="I35" s="15">
        <f>IF(AP13&gt;0,(AP17/AP13),"")</f>
        <v>0.66279069767441856</v>
      </c>
      <c r="J35" s="15">
        <f>IF(AS13&gt;0,(AS17/AS13),"")</f>
        <v>0.65789473684210531</v>
      </c>
      <c r="K35" s="15">
        <f>IF(AV13&gt;0,(AV17/AV13),"")</f>
        <v>0.62011173184357538</v>
      </c>
      <c r="L35" s="15">
        <f>IF(AY13&gt;0,(AY17/AY13),"")</f>
        <v>0.63095238095238093</v>
      </c>
      <c r="M35" s="15">
        <f>IF(BB13&gt;0,(BB17/BB13),"")</f>
        <v>0.6887417218543046</v>
      </c>
      <c r="N35" s="15">
        <f>IF(BE13&gt;0,(BE17/BE13),"")</f>
        <v>0.70714285714285718</v>
      </c>
      <c r="O35" s="15">
        <f>IF(BH13&gt;0,(BH17/BH13),"")</f>
        <v>0.70270270270270274</v>
      </c>
      <c r="P35" s="15">
        <f>IF(BK13&gt;0,(BK17/BK13),"")</f>
        <v>0.61904761904761907</v>
      </c>
      <c r="Q35" s="15">
        <f>IF(BN13&gt;0,(BN17/BN13),"")</f>
        <v>0.68</v>
      </c>
      <c r="R35" s="15">
        <f>IF(BQ13&gt;0,(BQ17/BQ13),"")</f>
        <v>0.7016574585635359</v>
      </c>
      <c r="S35" s="15">
        <f>IF(BT13&gt;0,(BT17/BT13),"")</f>
        <v>0.75147928994082835</v>
      </c>
      <c r="T35" s="15">
        <f>IF(BW13&gt;0,(BW17/BW13),"")</f>
        <v>0.74404761904761907</v>
      </c>
      <c r="U35" s="15">
        <f>IF(BZ13&gt;0,(BZ17/BZ13),"")</f>
        <v>0.77777777777777779</v>
      </c>
      <c r="V35" s="15">
        <f>IF(CC13&gt;0,(CC17/CC13),"")</f>
        <v>0.69230769230769229</v>
      </c>
      <c r="W35" s="15">
        <f>CF17/CF$13</f>
        <v>0.71367521367521369</v>
      </c>
      <c r="X35" s="15">
        <f>CI17/CI$13</f>
        <v>0.70769230769230773</v>
      </c>
      <c r="Y35" s="15">
        <f>CL17/CL$13</f>
        <v>0.73199999999999998</v>
      </c>
      <c r="Z35" s="15">
        <f>CO17/CO$13</f>
        <v>0.71784232365145229</v>
      </c>
      <c r="AA35" s="15">
        <f>CR17/CR$13</f>
        <v>0.70512820512820518</v>
      </c>
      <c r="AB35" s="24"/>
      <c r="AD35" s="4"/>
      <c r="AE35" s="4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Q35" s="3"/>
    </row>
    <row r="36" spans="1:95" ht="13.5" customHeight="1" thickBot="1" x14ac:dyDescent="0.25">
      <c r="A36" s="23"/>
      <c r="B36" s="5"/>
      <c r="C36" s="5"/>
      <c r="D36" s="5"/>
      <c r="E36" s="5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3"/>
      <c r="AA36" s="3"/>
      <c r="AB36" s="24"/>
      <c r="AF36" s="16"/>
      <c r="AG36" s="16"/>
      <c r="AH36" s="16"/>
      <c r="AI36" s="16"/>
      <c r="AJ36" s="16"/>
      <c r="AK36" s="16"/>
      <c r="AL36" s="16"/>
      <c r="AM36" s="16"/>
      <c r="AN36" s="16"/>
      <c r="CF36" s="19"/>
      <c r="CG36" s="19"/>
    </row>
    <row r="37" spans="1:95" ht="13.5" customHeight="1" thickTop="1" x14ac:dyDescent="0.2">
      <c r="A37" s="23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5" t="s">
        <v>70</v>
      </c>
      <c r="P37" s="35" t="s">
        <v>69</v>
      </c>
      <c r="Q37" s="35" t="s">
        <v>40</v>
      </c>
      <c r="R37" s="35" t="s">
        <v>39</v>
      </c>
      <c r="S37" s="35" t="s">
        <v>38</v>
      </c>
      <c r="T37" s="35" t="s">
        <v>37</v>
      </c>
      <c r="U37" s="35" t="s">
        <v>36</v>
      </c>
      <c r="V37" s="35" t="s">
        <v>34</v>
      </c>
      <c r="W37" s="35" t="s">
        <v>33</v>
      </c>
      <c r="X37" s="35" t="s">
        <v>32</v>
      </c>
      <c r="Y37" s="35" t="s">
        <v>31</v>
      </c>
      <c r="Z37" s="3"/>
      <c r="AA37" s="3"/>
      <c r="AB37" s="24"/>
      <c r="AF37" s="16"/>
      <c r="AG37" s="16"/>
      <c r="AH37" s="16"/>
      <c r="AI37" s="16"/>
      <c r="AJ37" s="16"/>
      <c r="AK37" s="16"/>
      <c r="AL37" s="16"/>
      <c r="AM37" s="16"/>
      <c r="AN37" s="16"/>
      <c r="AV37" s="19"/>
      <c r="AW37" s="19"/>
      <c r="AY37" s="19"/>
      <c r="AZ37" s="19"/>
      <c r="BB37" s="19"/>
      <c r="BC37" s="19"/>
      <c r="BE37" s="19"/>
      <c r="BF37" s="19"/>
      <c r="BG37" s="81" t="s">
        <v>50</v>
      </c>
      <c r="BH37" s="81"/>
      <c r="BI37" s="81"/>
      <c r="BJ37" s="81" t="s">
        <v>51</v>
      </c>
      <c r="BK37" s="81"/>
      <c r="BL37" s="81"/>
      <c r="BM37" s="81" t="s">
        <v>52</v>
      </c>
      <c r="BN37" s="81"/>
      <c r="BO37" s="81"/>
      <c r="BP37" s="81" t="s">
        <v>53</v>
      </c>
      <c r="BQ37" s="81"/>
      <c r="BR37" s="81"/>
      <c r="BS37" s="81" t="s">
        <v>54</v>
      </c>
      <c r="BT37" s="81"/>
      <c r="BU37" s="81"/>
      <c r="BV37" s="81" t="s">
        <v>55</v>
      </c>
      <c r="BW37" s="81"/>
      <c r="BX37" s="81"/>
      <c r="BY37" s="81" t="s">
        <v>56</v>
      </c>
      <c r="BZ37" s="81"/>
      <c r="CA37" s="81"/>
      <c r="CB37" s="81" t="s">
        <v>27</v>
      </c>
      <c r="CC37" s="81"/>
      <c r="CD37" s="81"/>
      <c r="CE37" s="81" t="s">
        <v>91</v>
      </c>
      <c r="CF37" s="81"/>
      <c r="CG37" s="81"/>
      <c r="CK37" s="81" t="s">
        <v>102</v>
      </c>
      <c r="CL37" s="81"/>
      <c r="CM37" s="81"/>
    </row>
    <row r="38" spans="1:95" ht="13.5" customHeight="1" x14ac:dyDescent="0.2">
      <c r="A38" s="23"/>
      <c r="B38" s="4"/>
      <c r="C38" s="4"/>
      <c r="D38" s="4"/>
      <c r="E38" s="4"/>
      <c r="F38" s="3"/>
      <c r="G38" s="3"/>
      <c r="H38" s="3"/>
      <c r="I38" s="3"/>
      <c r="J38" s="3"/>
      <c r="K38" s="3"/>
      <c r="L38" s="3"/>
      <c r="M38" s="3"/>
      <c r="N38" s="3"/>
      <c r="O38" s="35" t="s">
        <v>35</v>
      </c>
      <c r="P38" s="35" t="s">
        <v>35</v>
      </c>
      <c r="Q38" s="35" t="s">
        <v>35</v>
      </c>
      <c r="R38" s="35" t="s">
        <v>35</v>
      </c>
      <c r="S38" s="35" t="s">
        <v>35</v>
      </c>
      <c r="T38" s="35" t="s">
        <v>35</v>
      </c>
      <c r="U38" s="35" t="s">
        <v>35</v>
      </c>
      <c r="V38" s="35" t="s">
        <v>35</v>
      </c>
      <c r="W38" s="35" t="s">
        <v>35</v>
      </c>
      <c r="X38" s="35" t="s">
        <v>35</v>
      </c>
      <c r="Y38" s="35" t="s">
        <v>35</v>
      </c>
      <c r="Z38" s="3"/>
      <c r="AA38" s="3"/>
      <c r="AB38" s="24"/>
      <c r="AF38" s="16"/>
      <c r="AG38" s="16"/>
      <c r="AH38" s="16"/>
      <c r="AI38" s="16"/>
      <c r="AJ38" s="16"/>
      <c r="AK38" s="16"/>
      <c r="AL38" s="16"/>
      <c r="AM38" s="16"/>
      <c r="AN38" s="16"/>
      <c r="AV38" s="19"/>
      <c r="AW38" s="19"/>
      <c r="AY38" s="19"/>
      <c r="AZ38" s="19"/>
      <c r="BB38" s="19"/>
      <c r="BC38" s="19"/>
      <c r="BE38" s="19"/>
      <c r="BF38" s="19"/>
      <c r="BG38" s="81" t="s">
        <v>12</v>
      </c>
      <c r="BH38" s="81"/>
      <c r="BI38" s="81"/>
      <c r="BJ38" s="81" t="s">
        <v>13</v>
      </c>
      <c r="BK38" s="81"/>
      <c r="BL38" s="81"/>
      <c r="BM38" s="81" t="s">
        <v>14</v>
      </c>
      <c r="BN38" s="81"/>
      <c r="BO38" s="81"/>
      <c r="BP38" s="81" t="s">
        <v>15</v>
      </c>
      <c r="BQ38" s="81"/>
      <c r="BR38" s="81"/>
      <c r="BS38" s="81" t="s">
        <v>16</v>
      </c>
      <c r="BT38" s="81"/>
      <c r="BU38" s="81"/>
      <c r="BV38" s="81" t="s">
        <v>17</v>
      </c>
      <c r="BW38" s="81"/>
      <c r="BX38" s="81"/>
      <c r="BY38" s="81" t="s">
        <v>92</v>
      </c>
      <c r="BZ38" s="81"/>
      <c r="CA38" s="81"/>
      <c r="CB38" s="81" t="s">
        <v>99</v>
      </c>
      <c r="CC38" s="81"/>
      <c r="CD38" s="81"/>
      <c r="CE38" s="81" t="s">
        <v>101</v>
      </c>
      <c r="CF38" s="81"/>
      <c r="CG38" s="81"/>
      <c r="CK38" s="81" t="s">
        <v>108</v>
      </c>
      <c r="CL38" s="81"/>
      <c r="CM38" s="81"/>
    </row>
    <row r="39" spans="1:95" ht="13.5" customHeight="1" x14ac:dyDescent="0.2">
      <c r="A39" s="23"/>
      <c r="B39" s="6"/>
      <c r="C39" s="6"/>
      <c r="D39" s="6"/>
      <c r="E39" s="6"/>
      <c r="F39" s="3"/>
      <c r="G39" s="3"/>
      <c r="H39" s="3"/>
      <c r="I39" s="3"/>
      <c r="J39" s="3"/>
      <c r="K39" s="3"/>
      <c r="L39" s="3"/>
      <c r="M39" s="3"/>
      <c r="N39" s="3"/>
      <c r="O39" s="31" t="s">
        <v>33</v>
      </c>
      <c r="P39" s="31" t="s">
        <v>32</v>
      </c>
      <c r="Q39" s="31" t="s">
        <v>31</v>
      </c>
      <c r="R39" s="31" t="s">
        <v>30</v>
      </c>
      <c r="S39" s="31" t="s">
        <v>29</v>
      </c>
      <c r="T39" s="31" t="s">
        <v>28</v>
      </c>
      <c r="U39" s="31" t="s">
        <v>90</v>
      </c>
      <c r="V39" s="31" t="s">
        <v>97</v>
      </c>
      <c r="W39" s="31" t="s">
        <v>100</v>
      </c>
      <c r="X39" s="31" t="s">
        <v>103</v>
      </c>
      <c r="Y39" s="31" t="s">
        <v>106</v>
      </c>
      <c r="Z39" s="3"/>
      <c r="AA39" s="3"/>
      <c r="AB39" s="24"/>
      <c r="AC39" s="3"/>
      <c r="AD39" s="3"/>
      <c r="AE39" s="3"/>
      <c r="AF39" s="16"/>
      <c r="AG39" s="16"/>
      <c r="AH39" s="16"/>
      <c r="AI39" s="16"/>
      <c r="AJ39" s="16"/>
      <c r="AK39" s="16"/>
      <c r="AL39" s="16"/>
      <c r="AM39" s="16"/>
      <c r="AN39" s="16"/>
      <c r="AV39" s="19"/>
      <c r="AW39" s="19"/>
      <c r="AY39" s="19"/>
      <c r="AZ39" s="19"/>
      <c r="BB39" s="19"/>
      <c r="BC39" s="19"/>
      <c r="BE39" s="19"/>
      <c r="BF39" s="19"/>
      <c r="BG39" s="35"/>
      <c r="BH39" s="35"/>
      <c r="BI39" s="35" t="s">
        <v>18</v>
      </c>
      <c r="BL39" s="35" t="s">
        <v>18</v>
      </c>
      <c r="BM39" s="35"/>
      <c r="BN39" s="35"/>
      <c r="BO39" s="35" t="s">
        <v>18</v>
      </c>
      <c r="BP39" s="35"/>
      <c r="BQ39" s="35"/>
      <c r="BR39" s="35" t="s">
        <v>18</v>
      </c>
      <c r="BS39" s="35"/>
      <c r="BT39" s="35"/>
      <c r="BU39" s="35" t="s">
        <v>18</v>
      </c>
      <c r="BV39" s="35"/>
      <c r="BW39" s="35"/>
      <c r="BX39" s="35" t="s">
        <v>18</v>
      </c>
      <c r="BY39" s="35"/>
      <c r="BZ39" s="35"/>
      <c r="CA39" s="35" t="s">
        <v>18</v>
      </c>
      <c r="CB39" s="35"/>
      <c r="CC39" s="35"/>
      <c r="CD39" s="35" t="s">
        <v>18</v>
      </c>
      <c r="CE39" s="35"/>
      <c r="CF39" s="35"/>
      <c r="CG39" s="35" t="s">
        <v>18</v>
      </c>
      <c r="CK39" s="35"/>
      <c r="CL39" s="35"/>
      <c r="CM39" s="35" t="s">
        <v>18</v>
      </c>
    </row>
    <row r="40" spans="1:95" ht="13.5" customHeight="1" x14ac:dyDescent="0.2">
      <c r="A40" s="2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25"/>
      <c r="AC40" s="7"/>
      <c r="AD40" s="7"/>
      <c r="AE40" s="7"/>
      <c r="AF40" s="20"/>
      <c r="AG40" s="20"/>
      <c r="AH40" s="20"/>
      <c r="AI40" s="20"/>
      <c r="AJ40" s="20"/>
      <c r="AK40" s="20"/>
      <c r="AL40" s="20"/>
      <c r="AM40" s="20"/>
      <c r="AN40" s="20"/>
      <c r="AO40" s="3"/>
      <c r="AP40" s="3"/>
      <c r="AQ40" s="3"/>
      <c r="AR40" s="3"/>
      <c r="AS40" s="3"/>
      <c r="AT40" s="3"/>
      <c r="AU40" s="3"/>
      <c r="AV40" s="26"/>
      <c r="AW40" s="26"/>
      <c r="AX40" s="3"/>
      <c r="AY40" s="26"/>
      <c r="AZ40" s="26"/>
      <c r="BA40" s="3"/>
      <c r="BB40" s="26"/>
      <c r="BC40" s="26"/>
      <c r="BD40" s="3"/>
      <c r="BE40" s="26"/>
      <c r="BF40" s="26"/>
      <c r="BG40" s="35"/>
      <c r="BH40" s="35"/>
      <c r="BI40" s="35"/>
      <c r="BJ40" s="35"/>
      <c r="BK40" s="35"/>
      <c r="BY40" s="3"/>
      <c r="BZ40" s="26"/>
      <c r="CA40" s="26"/>
      <c r="CB40" s="3"/>
      <c r="CC40" s="26"/>
      <c r="CD40" s="26"/>
      <c r="CE40" s="3"/>
      <c r="CF40" s="26"/>
      <c r="CG40" s="26"/>
    </row>
    <row r="41" spans="1:95" ht="13.5" customHeight="1" x14ac:dyDescent="0.2">
      <c r="A41" s="23"/>
      <c r="B41" s="66" t="s">
        <v>23</v>
      </c>
      <c r="C41" s="66"/>
      <c r="D41" s="66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24"/>
      <c r="AF41" s="62"/>
      <c r="AG41" s="62"/>
      <c r="AH41" s="62"/>
      <c r="AI41" s="62"/>
      <c r="AJ41" s="62"/>
      <c r="AK41" s="62"/>
      <c r="AL41" s="62"/>
      <c r="AM41" s="62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</row>
    <row r="42" spans="1:95" ht="13.5" customHeight="1" x14ac:dyDescent="0.25">
      <c r="A42" s="23"/>
      <c r="B42" s="3"/>
      <c r="C42" s="4" t="s">
        <v>19</v>
      </c>
      <c r="D42" s="3"/>
      <c r="E42" s="3"/>
      <c r="F42" s="10"/>
      <c r="G42" s="10"/>
      <c r="H42" s="10"/>
      <c r="I42" s="10"/>
      <c r="J42" s="10"/>
      <c r="K42" s="10"/>
      <c r="L42" s="10"/>
      <c r="M42" s="10"/>
      <c r="N42" s="10"/>
      <c r="O42" s="58"/>
      <c r="P42" s="58"/>
      <c r="Q42" s="58"/>
      <c r="R42" s="58"/>
      <c r="S42" s="58"/>
      <c r="T42" s="58"/>
      <c r="U42" s="10"/>
      <c r="V42" s="73"/>
      <c r="W42" s="73"/>
      <c r="X42" s="73"/>
      <c r="Y42" s="73"/>
      <c r="Z42" s="73"/>
      <c r="AA42" s="73"/>
      <c r="AB42" s="24"/>
      <c r="AF42" s="81" t="s">
        <v>19</v>
      </c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</row>
    <row r="43" spans="1:95" ht="13.5" customHeight="1" x14ac:dyDescent="0.2">
      <c r="A43" s="23"/>
      <c r="B43" s="3"/>
      <c r="C43" s="3"/>
      <c r="D43" s="3" t="s">
        <v>64</v>
      </c>
      <c r="E43" s="3"/>
      <c r="F43" s="3"/>
      <c r="G43" s="3"/>
      <c r="H43" s="26"/>
      <c r="I43" s="3"/>
      <c r="J43" s="3"/>
      <c r="K43" s="3"/>
      <c r="L43" s="3"/>
      <c r="M43" s="3"/>
      <c r="N43" s="3"/>
      <c r="O43" s="11">
        <f>BI43</f>
        <v>669</v>
      </c>
      <c r="P43" s="11">
        <f>BL43</f>
        <v>691</v>
      </c>
      <c r="Q43" s="11">
        <f>BO43</f>
        <v>782</v>
      </c>
      <c r="R43" s="11">
        <f>BR43</f>
        <v>870</v>
      </c>
      <c r="S43" s="11">
        <f>BU43</f>
        <v>836</v>
      </c>
      <c r="T43" s="11">
        <f>BX43</f>
        <v>877</v>
      </c>
      <c r="U43" s="11">
        <f>CA43</f>
        <v>929</v>
      </c>
      <c r="V43" s="11">
        <f>CD43</f>
        <v>1007</v>
      </c>
      <c r="W43" s="11">
        <f>CG43</f>
        <v>1033</v>
      </c>
      <c r="X43" s="11">
        <f>CJ43</f>
        <v>1099</v>
      </c>
      <c r="Y43" s="11">
        <f>CM43</f>
        <v>1138</v>
      </c>
      <c r="Z43" s="3"/>
      <c r="AA43" s="3"/>
      <c r="AB43" s="24"/>
      <c r="AD43" s="3" t="s">
        <v>64</v>
      </c>
      <c r="AF43" s="20"/>
      <c r="AG43" s="20"/>
      <c r="AH43" s="20"/>
      <c r="AI43" s="20"/>
      <c r="AJ43" s="20"/>
      <c r="AK43" s="20"/>
      <c r="AL43" s="20"/>
      <c r="AM43" s="20"/>
      <c r="AN43" s="20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41">
        <v>669</v>
      </c>
      <c r="BJ43" s="41"/>
      <c r="BK43" s="41"/>
      <c r="BL43" s="41">
        <v>691</v>
      </c>
      <c r="BM43" s="41"/>
      <c r="BN43" s="41"/>
      <c r="BO43" s="41">
        <v>782</v>
      </c>
      <c r="BP43" s="41"/>
      <c r="BQ43" s="41"/>
      <c r="BR43" s="41">
        <v>870</v>
      </c>
      <c r="BS43" s="41"/>
      <c r="BT43" s="41"/>
      <c r="BU43" s="41">
        <v>836</v>
      </c>
      <c r="BV43" s="41"/>
      <c r="BW43" s="41"/>
      <c r="BX43" s="41">
        <v>877</v>
      </c>
      <c r="BY43" s="39"/>
      <c r="BZ43" s="39"/>
      <c r="CA43" s="39">
        <v>929</v>
      </c>
      <c r="CB43" s="3"/>
      <c r="CC43" s="3"/>
      <c r="CD43" s="39">
        <v>1007</v>
      </c>
      <c r="CE43" s="3"/>
      <c r="CF43" s="3"/>
      <c r="CG43" s="39">
        <v>1033</v>
      </c>
      <c r="CJ43" s="39">
        <v>1099</v>
      </c>
      <c r="CM43" s="39">
        <v>1138</v>
      </c>
    </row>
    <row r="44" spans="1:95" ht="13.5" customHeight="1" x14ac:dyDescent="0.2">
      <c r="A44" s="23"/>
      <c r="B44" s="3"/>
      <c r="C44" s="3"/>
      <c r="D44" s="15" t="s">
        <v>59</v>
      </c>
      <c r="E44" s="3" t="s">
        <v>63</v>
      </c>
      <c r="F44" s="3"/>
      <c r="G44" s="3"/>
      <c r="H44" s="26"/>
      <c r="I44" s="3"/>
      <c r="J44" s="3"/>
      <c r="K44" s="3"/>
      <c r="L44" s="3"/>
      <c r="M44" s="3"/>
      <c r="N44" s="3"/>
      <c r="O44" s="18">
        <f>IF(BI43&gt;0,(BI44/BI43),"")</f>
        <v>0</v>
      </c>
      <c r="P44" s="18">
        <f>IF(BL43&gt;0,(BL44/BL43),"")</f>
        <v>3.0390738060781478E-2</v>
      </c>
      <c r="Q44" s="18">
        <f>IF(BO43&gt;0,(BO44/BO43),"")</f>
        <v>3.3248081841432228E-2</v>
      </c>
      <c r="R44" s="18">
        <f>IF(BR43&gt;0,(BR44/BR43),"")</f>
        <v>2.9885057471264367E-2</v>
      </c>
      <c r="S44" s="18">
        <f>IF(BU43&gt;0,(BU44/BU43),"")</f>
        <v>2.3923444976076555E-2</v>
      </c>
      <c r="T44" s="18">
        <f>IF(BX43&gt;0,(BX44/BX43),"")</f>
        <v>2.8506271379703536E-2</v>
      </c>
      <c r="U44" s="18">
        <f>CA44/CA$43</f>
        <v>4.0904198062432721E-2</v>
      </c>
      <c r="V44" s="18">
        <f>CD44/CD$43</f>
        <v>3.8728897715988087E-2</v>
      </c>
      <c r="W44" s="18">
        <f>CG44/CG$43</f>
        <v>3.5818005808325268E-2</v>
      </c>
      <c r="X44" s="18">
        <f>CJ44/CJ$43</f>
        <v>2.8207461328480437E-2</v>
      </c>
      <c r="Y44" s="18">
        <f>CM44/CM$43</f>
        <v>3.3391915641476276E-2</v>
      </c>
      <c r="Z44" s="3"/>
      <c r="AA44" s="3"/>
      <c r="AB44" s="24"/>
      <c r="AD44" s="15" t="s">
        <v>59</v>
      </c>
      <c r="AE44" s="3" t="s">
        <v>63</v>
      </c>
      <c r="AF44" s="20"/>
      <c r="AG44" s="20"/>
      <c r="AH44" s="20"/>
      <c r="AI44" s="20"/>
      <c r="AJ44" s="20"/>
      <c r="AK44" s="20"/>
      <c r="AL44" s="20"/>
      <c r="AM44" s="20"/>
      <c r="AN44" s="20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41">
        <v>0</v>
      </c>
      <c r="BJ44" s="41"/>
      <c r="BK44" s="41"/>
      <c r="BL44" s="41">
        <v>21</v>
      </c>
      <c r="BM44" s="41"/>
      <c r="BN44" s="41"/>
      <c r="BO44" s="41">
        <v>26</v>
      </c>
      <c r="BP44" s="41"/>
      <c r="BQ44" s="41"/>
      <c r="BR44" s="41">
        <v>26</v>
      </c>
      <c r="BS44" s="41"/>
      <c r="BT44" s="41"/>
      <c r="BU44" s="41">
        <v>20</v>
      </c>
      <c r="BV44" s="41"/>
      <c r="BW44" s="41"/>
      <c r="BX44" s="41">
        <v>25</v>
      </c>
      <c r="BY44" s="41"/>
      <c r="BZ44" s="41"/>
      <c r="CA44" s="41">
        <v>38</v>
      </c>
      <c r="CB44" s="3"/>
      <c r="CC44" s="3"/>
      <c r="CD44" s="41">
        <v>39</v>
      </c>
      <c r="CE44" s="3"/>
      <c r="CF44" s="3"/>
      <c r="CG44" s="41">
        <v>37</v>
      </c>
      <c r="CJ44" s="41">
        <v>31</v>
      </c>
      <c r="CM44" s="41">
        <v>38</v>
      </c>
    </row>
    <row r="45" spans="1:95" ht="13.5" customHeight="1" x14ac:dyDescent="0.2">
      <c r="A45" s="23"/>
      <c r="B45" s="3"/>
      <c r="C45" s="3"/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15">
        <f>IF(BI43&gt;0,(BI45/BI43),"")</f>
        <v>0.63228699551569512</v>
      </c>
      <c r="P45" s="15">
        <f>IF(BL43&gt;0,(BL45/BL43),"")</f>
        <v>0.6410998552821997</v>
      </c>
      <c r="Q45" s="15">
        <f>IF(BO43&gt;0,(BO45/BO43),"")</f>
        <v>0.65089514066496168</v>
      </c>
      <c r="R45" s="15">
        <f>IF(BR43&gt;0,(BR45/BR43),"")</f>
        <v>0.66321839080459766</v>
      </c>
      <c r="S45" s="15">
        <f>IF(BU43&gt;0,(BU45/BU43),"")</f>
        <v>0.68779904306220097</v>
      </c>
      <c r="T45" s="15">
        <f>IF(BX43&gt;0,(BX45/BX43),"")</f>
        <v>0.70011402508551879</v>
      </c>
      <c r="U45" s="15">
        <f>CA45/CA$43</f>
        <v>0.69321851453175454</v>
      </c>
      <c r="V45" s="15">
        <f>CD45/CD$43</f>
        <v>0.67130089374379343</v>
      </c>
      <c r="W45" s="15">
        <f>CG45/CG$43</f>
        <v>0.67086156824782184</v>
      </c>
      <c r="X45" s="15">
        <f>CJ45/CJ$43</f>
        <v>0.68243858052775253</v>
      </c>
      <c r="Y45" s="15">
        <f>CM45/CM$43</f>
        <v>0.67311072056239019</v>
      </c>
      <c r="Z45" s="3"/>
      <c r="AA45" s="3"/>
      <c r="AB45" s="24"/>
      <c r="AE45" s="35" t="s">
        <v>89</v>
      </c>
      <c r="AF45" s="3"/>
      <c r="AG45" s="3"/>
      <c r="AH45" s="3"/>
      <c r="AI45" s="3"/>
      <c r="AJ45" s="3"/>
      <c r="AK45" s="3"/>
      <c r="AL45" s="81"/>
      <c r="AM45" s="81"/>
      <c r="AN45" s="8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41">
        <f>BI17+BI44</f>
        <v>423</v>
      </c>
      <c r="BJ45" s="41"/>
      <c r="BK45" s="41"/>
      <c r="BL45" s="41">
        <f>BL17+BL44</f>
        <v>443</v>
      </c>
      <c r="BM45" s="41"/>
      <c r="BN45" s="41"/>
      <c r="BO45" s="41">
        <f>BO17+BO44</f>
        <v>509</v>
      </c>
      <c r="BP45" s="41"/>
      <c r="BQ45" s="41"/>
      <c r="BR45" s="41">
        <f>BR17+BR44</f>
        <v>577</v>
      </c>
      <c r="BS45" s="41"/>
      <c r="BT45" s="41"/>
      <c r="BU45" s="41">
        <f>BU17+BU44</f>
        <v>575</v>
      </c>
      <c r="BV45" s="41"/>
      <c r="BW45" s="41"/>
      <c r="BX45" s="41">
        <f>BX17+BX44</f>
        <v>614</v>
      </c>
      <c r="BY45" s="41"/>
      <c r="BZ45" s="41"/>
      <c r="CA45" s="41">
        <f>CA17+CA44</f>
        <v>644</v>
      </c>
      <c r="CB45" s="3"/>
      <c r="CC45" s="3"/>
      <c r="CD45" s="41">
        <f>CD17+CD44</f>
        <v>676</v>
      </c>
      <c r="CE45" s="3"/>
      <c r="CF45" s="3"/>
      <c r="CG45" s="41">
        <f>CG17+CG44</f>
        <v>693</v>
      </c>
      <c r="CJ45" s="41">
        <f>CJ17+CJ44</f>
        <v>750</v>
      </c>
      <c r="CM45" s="41">
        <f>CM17+CM44</f>
        <v>766</v>
      </c>
    </row>
    <row r="46" spans="1:95" ht="13.5" customHeight="1" x14ac:dyDescent="0.2">
      <c r="A46" s="23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24"/>
      <c r="AF46" s="3"/>
      <c r="AG46" s="3"/>
      <c r="AH46" s="3"/>
      <c r="AI46" s="3"/>
      <c r="AJ46" s="3"/>
      <c r="AK46" s="3"/>
      <c r="AL46" s="15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</row>
    <row r="47" spans="1:95" ht="13.5" customHeight="1" x14ac:dyDescent="0.2">
      <c r="A47" s="2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24"/>
      <c r="AF47" s="3"/>
      <c r="AG47" s="3"/>
      <c r="AH47" s="3"/>
      <c r="AI47" s="3"/>
      <c r="AJ47" s="3"/>
      <c r="AK47" s="3"/>
      <c r="AL47" s="15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</row>
    <row r="48" spans="1:95" ht="13.5" customHeight="1" x14ac:dyDescent="0.25">
      <c r="A48" s="23"/>
      <c r="B48" s="91" t="s">
        <v>66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84"/>
      <c r="U48" s="84"/>
      <c r="V48" s="84"/>
      <c r="W48" s="3"/>
      <c r="X48" s="3"/>
      <c r="Y48" s="3"/>
      <c r="Z48" s="3"/>
      <c r="AA48" s="3"/>
      <c r="AB48" s="24"/>
      <c r="AF48" s="3"/>
      <c r="AG48" s="3"/>
      <c r="AH48" s="3"/>
      <c r="AI48" s="3"/>
      <c r="AJ48" s="3"/>
      <c r="AK48" s="3"/>
      <c r="AL48" s="15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</row>
    <row r="49" spans="1:40" ht="13.5" hidden="1" customHeight="1" x14ac:dyDescent="0.2">
      <c r="A49" s="23"/>
      <c r="B49" s="3" t="s">
        <v>68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24"/>
      <c r="AL49" s="21"/>
      <c r="AM49" s="35"/>
      <c r="AN49" s="3"/>
    </row>
    <row r="50" spans="1:40" ht="13.5" customHeight="1" x14ac:dyDescent="0.25">
      <c r="A50" s="27"/>
      <c r="B50" s="92" t="s">
        <v>67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3"/>
      <c r="U50" s="93"/>
      <c r="V50" s="93"/>
      <c r="W50" s="31"/>
      <c r="X50" s="31"/>
      <c r="Y50" s="31"/>
      <c r="Z50" s="31"/>
      <c r="AA50" s="31" t="s">
        <v>109</v>
      </c>
      <c r="AB50" s="28"/>
      <c r="AL50" s="21"/>
      <c r="AM50" s="35"/>
      <c r="AN50" s="3"/>
    </row>
    <row r="51" spans="1:40" ht="13.5" customHeight="1" x14ac:dyDescent="0.2">
      <c r="B51" s="3"/>
      <c r="C51" s="3"/>
      <c r="D51" s="3"/>
      <c r="E51" s="3"/>
      <c r="F51" s="58"/>
      <c r="G51" s="58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F51" s="59"/>
      <c r="AG51" s="59"/>
      <c r="AH51" s="59"/>
      <c r="AI51" s="59"/>
      <c r="AJ51" s="59"/>
      <c r="AK51" s="59"/>
      <c r="AL51" s="59"/>
      <c r="AM51" s="59"/>
    </row>
  </sheetData>
  <mergeCells count="71">
    <mergeCell ref="CE37:CG37"/>
    <mergeCell ref="CE38:CG38"/>
    <mergeCell ref="AR7:AT7"/>
    <mergeCell ref="AX7:AZ7"/>
    <mergeCell ref="AU8:AW8"/>
    <mergeCell ref="AX8:AZ8"/>
    <mergeCell ref="CE7:CG7"/>
    <mergeCell ref="CE8:CG8"/>
    <mergeCell ref="BJ38:BL38"/>
    <mergeCell ref="BM38:BO38"/>
    <mergeCell ref="BP38:BR38"/>
    <mergeCell ref="BJ37:BL37"/>
    <mergeCell ref="BM37:BO37"/>
    <mergeCell ref="BP37:BR37"/>
    <mergeCell ref="BY7:CA7"/>
    <mergeCell ref="CB7:CD7"/>
    <mergeCell ref="CN7:CP7"/>
    <mergeCell ref="CN8:CP8"/>
    <mergeCell ref="CK37:CM37"/>
    <mergeCell ref="CK38:CM38"/>
    <mergeCell ref="CK7:CM7"/>
    <mergeCell ref="CK8:CM8"/>
    <mergeCell ref="BD7:BF7"/>
    <mergeCell ref="BJ8:BL8"/>
    <mergeCell ref="BM8:BO8"/>
    <mergeCell ref="BA8:BC8"/>
    <mergeCell ref="BD8:BF8"/>
    <mergeCell ref="BM7:BO7"/>
    <mergeCell ref="BG7:BI7"/>
    <mergeCell ref="A2:AB2"/>
    <mergeCell ref="AO8:AQ8"/>
    <mergeCell ref="AF8:AH8"/>
    <mergeCell ref="AF7:AH7"/>
    <mergeCell ref="BA7:BC7"/>
    <mergeCell ref="CH8:CJ8"/>
    <mergeCell ref="BY8:CA8"/>
    <mergeCell ref="CB8:CD8"/>
    <mergeCell ref="BV8:BX8"/>
    <mergeCell ref="CH7:CJ7"/>
    <mergeCell ref="B50:V50"/>
    <mergeCell ref="AF12:CS12"/>
    <mergeCell ref="AF18:CS18"/>
    <mergeCell ref="AF42:CM42"/>
    <mergeCell ref="AI7:AK7"/>
    <mergeCell ref="AL7:AN7"/>
    <mergeCell ref="AO7:AQ7"/>
    <mergeCell ref="AI8:AK8"/>
    <mergeCell ref="CB37:CD37"/>
    <mergeCell ref="CB38:CD38"/>
    <mergeCell ref="BY38:CA38"/>
    <mergeCell ref="BY37:CA37"/>
    <mergeCell ref="BV7:BX7"/>
    <mergeCell ref="BV37:BX37"/>
    <mergeCell ref="BV38:BX38"/>
    <mergeCell ref="AL45:AN45"/>
    <mergeCell ref="BS37:BU37"/>
    <mergeCell ref="BJ7:BL7"/>
    <mergeCell ref="CQ7:CS7"/>
    <mergeCell ref="CQ8:CS8"/>
    <mergeCell ref="B48:V48"/>
    <mergeCell ref="BS38:BU38"/>
    <mergeCell ref="BS7:BU7"/>
    <mergeCell ref="BG38:BI38"/>
    <mergeCell ref="BG8:BI8"/>
    <mergeCell ref="AL8:AN8"/>
    <mergeCell ref="AR8:AT8"/>
    <mergeCell ref="BS8:BU8"/>
    <mergeCell ref="BP8:BR8"/>
    <mergeCell ref="BG37:BI37"/>
    <mergeCell ref="AU7:AW7"/>
    <mergeCell ref="BP7:BR7"/>
  </mergeCells>
  <hyperlinks>
    <hyperlink ref="B50:Q50" r:id="rId1" display="Source: IPEDS Graduation Rates 200 Survey (GR200)"/>
    <hyperlink ref="B48:P48" r:id="rId2" display="Source: IPEDS Graduation Rate Survey (GRS)"/>
  </hyperlinks>
  <printOptions horizontalCentered="1"/>
  <pageMargins left="0.7" right="0.45" top="0.5" bottom="0.5" header="0.3" footer="0.3"/>
  <pageSetup scale="93" orientation="portrait" r:id="rId3"/>
  <ignoredErrors>
    <ignoredError sqref="AF17:CD17 AF23:CD23 AF21:BD21 BF21:BJ21 AF20:BK20 BM20:BU20 BL21:BU21 BX21 AF19:BU19 BX19 BX20 AF22:BU22 BX22 CA19 CA20 CA21 CA22 CD19 CD20 CD21 CD22 CE17:CF17 CH17:CI17 CK17:CM17 CN17:CO17 CQ17:CR17" formulaRange="1"/>
    <ignoredError sqref="BE21 BK21" formula="1" formulaRange="1"/>
    <ignoredError sqref="BL20 BW21 CI21" formula="1"/>
    <ignoredError sqref="W20:W22 X26 X28:X35 X16:X17 X20:X23 V44:V45 AA15:AA16 AA20:AA3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I50"/>
  <sheetViews>
    <sheetView workbookViewId="0"/>
  </sheetViews>
  <sheetFormatPr defaultRowHeight="13.5" customHeight="1" x14ac:dyDescent="0.2"/>
  <cols>
    <col min="1" max="3" width="2.7109375" style="1" customWidth="1"/>
    <col min="4" max="4" width="8.7109375" style="1" customWidth="1"/>
    <col min="5" max="5" width="16.7109375" style="1" customWidth="1"/>
    <col min="6" max="21" width="10.7109375" style="1" hidden="1" customWidth="1"/>
    <col min="22" max="27" width="10.7109375" style="1" customWidth="1"/>
    <col min="28" max="28" width="2.7109375" style="1" customWidth="1"/>
    <col min="29" max="29" width="9.140625" style="1"/>
    <col min="30" max="30" width="9.140625" style="1" customWidth="1"/>
    <col min="31" max="31" width="16.7109375" style="1" customWidth="1"/>
    <col min="32" max="79" width="7.140625" style="1" hidden="1" customWidth="1"/>
    <col min="80" max="97" width="7.140625" style="1" customWidth="1"/>
    <col min="98" max="229" width="9.140625" style="1"/>
    <col min="230" max="230" width="2.7109375" style="1" customWidth="1"/>
    <col min="231" max="231" width="10.42578125" style="1" customWidth="1"/>
    <col min="232" max="232" width="0" style="1" hidden="1" customWidth="1"/>
    <col min="233" max="233" width="13.42578125" style="1" customWidth="1"/>
    <col min="234" max="269" width="0" style="1" hidden="1" customWidth="1"/>
    <col min="270" max="284" width="6.7109375" style="1" customWidth="1"/>
    <col min="285" max="285" width="9.140625" style="1"/>
    <col min="286" max="286" width="10.42578125" style="1" customWidth="1"/>
    <col min="287" max="287" width="14.5703125" style="1" customWidth="1"/>
    <col min="288" max="323" width="0" style="1" hidden="1" customWidth="1"/>
    <col min="324" max="338" width="6.7109375" style="1" customWidth="1"/>
    <col min="339" max="485" width="9.140625" style="1"/>
    <col min="486" max="486" width="2.7109375" style="1" customWidth="1"/>
    <col min="487" max="487" width="10.42578125" style="1" customWidth="1"/>
    <col min="488" max="488" width="0" style="1" hidden="1" customWidth="1"/>
    <col min="489" max="489" width="13.42578125" style="1" customWidth="1"/>
    <col min="490" max="525" width="0" style="1" hidden="1" customWidth="1"/>
    <col min="526" max="540" width="6.7109375" style="1" customWidth="1"/>
    <col min="541" max="541" width="9.140625" style="1"/>
    <col min="542" max="542" width="10.42578125" style="1" customWidth="1"/>
    <col min="543" max="543" width="14.5703125" style="1" customWidth="1"/>
    <col min="544" max="579" width="0" style="1" hidden="1" customWidth="1"/>
    <col min="580" max="594" width="6.7109375" style="1" customWidth="1"/>
    <col min="595" max="741" width="9.140625" style="1"/>
    <col min="742" max="742" width="2.7109375" style="1" customWidth="1"/>
    <col min="743" max="743" width="10.42578125" style="1" customWidth="1"/>
    <col min="744" max="744" width="0" style="1" hidden="1" customWidth="1"/>
    <col min="745" max="745" width="13.42578125" style="1" customWidth="1"/>
    <col min="746" max="781" width="0" style="1" hidden="1" customWidth="1"/>
    <col min="782" max="796" width="6.7109375" style="1" customWidth="1"/>
    <col min="797" max="797" width="9.140625" style="1"/>
    <col min="798" max="798" width="10.42578125" style="1" customWidth="1"/>
    <col min="799" max="799" width="14.5703125" style="1" customWidth="1"/>
    <col min="800" max="835" width="0" style="1" hidden="1" customWidth="1"/>
    <col min="836" max="850" width="6.7109375" style="1" customWidth="1"/>
    <col min="851" max="997" width="9.140625" style="1"/>
    <col min="998" max="998" width="2.7109375" style="1" customWidth="1"/>
    <col min="999" max="999" width="10.42578125" style="1" customWidth="1"/>
    <col min="1000" max="1000" width="0" style="1" hidden="1" customWidth="1"/>
    <col min="1001" max="1001" width="13.42578125" style="1" customWidth="1"/>
    <col min="1002" max="1037" width="0" style="1" hidden="1" customWidth="1"/>
    <col min="1038" max="1052" width="6.7109375" style="1" customWidth="1"/>
    <col min="1053" max="1053" width="9.140625" style="1"/>
    <col min="1054" max="1054" width="10.42578125" style="1" customWidth="1"/>
    <col min="1055" max="1055" width="14.5703125" style="1" customWidth="1"/>
    <col min="1056" max="1091" width="0" style="1" hidden="1" customWidth="1"/>
    <col min="1092" max="1106" width="6.7109375" style="1" customWidth="1"/>
    <col min="1107" max="1253" width="9.140625" style="1"/>
    <col min="1254" max="1254" width="2.7109375" style="1" customWidth="1"/>
    <col min="1255" max="1255" width="10.42578125" style="1" customWidth="1"/>
    <col min="1256" max="1256" width="0" style="1" hidden="1" customWidth="1"/>
    <col min="1257" max="1257" width="13.42578125" style="1" customWidth="1"/>
    <col min="1258" max="1293" width="0" style="1" hidden="1" customWidth="1"/>
    <col min="1294" max="1308" width="6.7109375" style="1" customWidth="1"/>
    <col min="1309" max="1309" width="9.140625" style="1"/>
    <col min="1310" max="1310" width="10.42578125" style="1" customWidth="1"/>
    <col min="1311" max="1311" width="14.5703125" style="1" customWidth="1"/>
    <col min="1312" max="1347" width="0" style="1" hidden="1" customWidth="1"/>
    <col min="1348" max="1362" width="6.7109375" style="1" customWidth="1"/>
    <col min="1363" max="1509" width="9.140625" style="1"/>
    <col min="1510" max="1510" width="2.7109375" style="1" customWidth="1"/>
    <col min="1511" max="1511" width="10.42578125" style="1" customWidth="1"/>
    <col min="1512" max="1512" width="0" style="1" hidden="1" customWidth="1"/>
    <col min="1513" max="1513" width="13.42578125" style="1" customWidth="1"/>
    <col min="1514" max="1549" width="0" style="1" hidden="1" customWidth="1"/>
    <col min="1550" max="1564" width="6.7109375" style="1" customWidth="1"/>
    <col min="1565" max="1565" width="9.140625" style="1"/>
    <col min="1566" max="1566" width="10.42578125" style="1" customWidth="1"/>
    <col min="1567" max="1567" width="14.5703125" style="1" customWidth="1"/>
    <col min="1568" max="1603" width="0" style="1" hidden="1" customWidth="1"/>
    <col min="1604" max="1618" width="6.7109375" style="1" customWidth="1"/>
    <col min="1619" max="1765" width="9.140625" style="1"/>
    <col min="1766" max="1766" width="2.7109375" style="1" customWidth="1"/>
    <col min="1767" max="1767" width="10.42578125" style="1" customWidth="1"/>
    <col min="1768" max="1768" width="0" style="1" hidden="1" customWidth="1"/>
    <col min="1769" max="1769" width="13.42578125" style="1" customWidth="1"/>
    <col min="1770" max="1805" width="0" style="1" hidden="1" customWidth="1"/>
    <col min="1806" max="1820" width="6.7109375" style="1" customWidth="1"/>
    <col min="1821" max="1821" width="9.140625" style="1"/>
    <col min="1822" max="1822" width="10.42578125" style="1" customWidth="1"/>
    <col min="1823" max="1823" width="14.5703125" style="1" customWidth="1"/>
    <col min="1824" max="1859" width="0" style="1" hidden="1" customWidth="1"/>
    <col min="1860" max="1874" width="6.7109375" style="1" customWidth="1"/>
    <col min="1875" max="2021" width="9.140625" style="1"/>
    <col min="2022" max="2022" width="2.7109375" style="1" customWidth="1"/>
    <col min="2023" max="2023" width="10.42578125" style="1" customWidth="1"/>
    <col min="2024" max="2024" width="0" style="1" hidden="1" customWidth="1"/>
    <col min="2025" max="2025" width="13.42578125" style="1" customWidth="1"/>
    <col min="2026" max="2061" width="0" style="1" hidden="1" customWidth="1"/>
    <col min="2062" max="2076" width="6.7109375" style="1" customWidth="1"/>
    <col min="2077" max="2077" width="9.140625" style="1"/>
    <col min="2078" max="2078" width="10.42578125" style="1" customWidth="1"/>
    <col min="2079" max="2079" width="14.5703125" style="1" customWidth="1"/>
    <col min="2080" max="2115" width="0" style="1" hidden="1" customWidth="1"/>
    <col min="2116" max="2130" width="6.7109375" style="1" customWidth="1"/>
    <col min="2131" max="2277" width="9.140625" style="1"/>
    <col min="2278" max="2278" width="2.7109375" style="1" customWidth="1"/>
    <col min="2279" max="2279" width="10.42578125" style="1" customWidth="1"/>
    <col min="2280" max="2280" width="0" style="1" hidden="1" customWidth="1"/>
    <col min="2281" max="2281" width="13.42578125" style="1" customWidth="1"/>
    <col min="2282" max="2317" width="0" style="1" hidden="1" customWidth="1"/>
    <col min="2318" max="2332" width="6.7109375" style="1" customWidth="1"/>
    <col min="2333" max="2333" width="9.140625" style="1"/>
    <col min="2334" max="2334" width="10.42578125" style="1" customWidth="1"/>
    <col min="2335" max="2335" width="14.5703125" style="1" customWidth="1"/>
    <col min="2336" max="2371" width="0" style="1" hidden="1" customWidth="1"/>
    <col min="2372" max="2386" width="6.7109375" style="1" customWidth="1"/>
    <col min="2387" max="2533" width="9.140625" style="1"/>
    <col min="2534" max="2534" width="2.7109375" style="1" customWidth="1"/>
    <col min="2535" max="2535" width="10.42578125" style="1" customWidth="1"/>
    <col min="2536" max="2536" width="0" style="1" hidden="1" customWidth="1"/>
    <col min="2537" max="2537" width="13.42578125" style="1" customWidth="1"/>
    <col min="2538" max="2573" width="0" style="1" hidden="1" customWidth="1"/>
    <col min="2574" max="2588" width="6.7109375" style="1" customWidth="1"/>
    <col min="2589" max="2589" width="9.140625" style="1"/>
    <col min="2590" max="2590" width="10.42578125" style="1" customWidth="1"/>
    <col min="2591" max="2591" width="14.5703125" style="1" customWidth="1"/>
    <col min="2592" max="2627" width="0" style="1" hidden="1" customWidth="1"/>
    <col min="2628" max="2642" width="6.7109375" style="1" customWidth="1"/>
    <col min="2643" max="2789" width="9.140625" style="1"/>
    <col min="2790" max="2790" width="2.7109375" style="1" customWidth="1"/>
    <col min="2791" max="2791" width="10.42578125" style="1" customWidth="1"/>
    <col min="2792" max="2792" width="0" style="1" hidden="1" customWidth="1"/>
    <col min="2793" max="2793" width="13.42578125" style="1" customWidth="1"/>
    <col min="2794" max="2829" width="0" style="1" hidden="1" customWidth="1"/>
    <col min="2830" max="2844" width="6.7109375" style="1" customWidth="1"/>
    <col min="2845" max="2845" width="9.140625" style="1"/>
    <col min="2846" max="2846" width="10.42578125" style="1" customWidth="1"/>
    <col min="2847" max="2847" width="14.5703125" style="1" customWidth="1"/>
    <col min="2848" max="2883" width="0" style="1" hidden="1" customWidth="1"/>
    <col min="2884" max="2898" width="6.7109375" style="1" customWidth="1"/>
    <col min="2899" max="3045" width="9.140625" style="1"/>
    <col min="3046" max="3046" width="2.7109375" style="1" customWidth="1"/>
    <col min="3047" max="3047" width="10.42578125" style="1" customWidth="1"/>
    <col min="3048" max="3048" width="0" style="1" hidden="1" customWidth="1"/>
    <col min="3049" max="3049" width="13.42578125" style="1" customWidth="1"/>
    <col min="3050" max="3085" width="0" style="1" hidden="1" customWidth="1"/>
    <col min="3086" max="3100" width="6.7109375" style="1" customWidth="1"/>
    <col min="3101" max="3101" width="9.140625" style="1"/>
    <col min="3102" max="3102" width="10.42578125" style="1" customWidth="1"/>
    <col min="3103" max="3103" width="14.5703125" style="1" customWidth="1"/>
    <col min="3104" max="3139" width="0" style="1" hidden="1" customWidth="1"/>
    <col min="3140" max="3154" width="6.7109375" style="1" customWidth="1"/>
    <col min="3155" max="3301" width="9.140625" style="1"/>
    <col min="3302" max="3302" width="2.7109375" style="1" customWidth="1"/>
    <col min="3303" max="3303" width="10.42578125" style="1" customWidth="1"/>
    <col min="3304" max="3304" width="0" style="1" hidden="1" customWidth="1"/>
    <col min="3305" max="3305" width="13.42578125" style="1" customWidth="1"/>
    <col min="3306" max="3341" width="0" style="1" hidden="1" customWidth="1"/>
    <col min="3342" max="3356" width="6.7109375" style="1" customWidth="1"/>
    <col min="3357" max="3357" width="9.140625" style="1"/>
    <col min="3358" max="3358" width="10.42578125" style="1" customWidth="1"/>
    <col min="3359" max="3359" width="14.5703125" style="1" customWidth="1"/>
    <col min="3360" max="3395" width="0" style="1" hidden="1" customWidth="1"/>
    <col min="3396" max="3410" width="6.7109375" style="1" customWidth="1"/>
    <col min="3411" max="3557" width="9.140625" style="1"/>
    <col min="3558" max="3558" width="2.7109375" style="1" customWidth="1"/>
    <col min="3559" max="3559" width="10.42578125" style="1" customWidth="1"/>
    <col min="3560" max="3560" width="0" style="1" hidden="1" customWidth="1"/>
    <col min="3561" max="3561" width="13.42578125" style="1" customWidth="1"/>
    <col min="3562" max="3597" width="0" style="1" hidden="1" customWidth="1"/>
    <col min="3598" max="3612" width="6.7109375" style="1" customWidth="1"/>
    <col min="3613" max="3613" width="9.140625" style="1"/>
    <col min="3614" max="3614" width="10.42578125" style="1" customWidth="1"/>
    <col min="3615" max="3615" width="14.5703125" style="1" customWidth="1"/>
    <col min="3616" max="3651" width="0" style="1" hidden="1" customWidth="1"/>
    <col min="3652" max="3666" width="6.7109375" style="1" customWidth="1"/>
    <col min="3667" max="3813" width="9.140625" style="1"/>
    <col min="3814" max="3814" width="2.7109375" style="1" customWidth="1"/>
    <col min="3815" max="3815" width="10.42578125" style="1" customWidth="1"/>
    <col min="3816" max="3816" width="0" style="1" hidden="1" customWidth="1"/>
    <col min="3817" max="3817" width="13.42578125" style="1" customWidth="1"/>
    <col min="3818" max="3853" width="0" style="1" hidden="1" customWidth="1"/>
    <col min="3854" max="3868" width="6.7109375" style="1" customWidth="1"/>
    <col min="3869" max="3869" width="9.140625" style="1"/>
    <col min="3870" max="3870" width="10.42578125" style="1" customWidth="1"/>
    <col min="3871" max="3871" width="14.5703125" style="1" customWidth="1"/>
    <col min="3872" max="3907" width="0" style="1" hidden="1" customWidth="1"/>
    <col min="3908" max="3922" width="6.7109375" style="1" customWidth="1"/>
    <col min="3923" max="4069" width="9.140625" style="1"/>
    <col min="4070" max="4070" width="2.7109375" style="1" customWidth="1"/>
    <col min="4071" max="4071" width="10.42578125" style="1" customWidth="1"/>
    <col min="4072" max="4072" width="0" style="1" hidden="1" customWidth="1"/>
    <col min="4073" max="4073" width="13.42578125" style="1" customWidth="1"/>
    <col min="4074" max="4109" width="0" style="1" hidden="1" customWidth="1"/>
    <col min="4110" max="4124" width="6.7109375" style="1" customWidth="1"/>
    <col min="4125" max="4125" width="9.140625" style="1"/>
    <col min="4126" max="4126" width="10.42578125" style="1" customWidth="1"/>
    <col min="4127" max="4127" width="14.5703125" style="1" customWidth="1"/>
    <col min="4128" max="4163" width="0" style="1" hidden="1" customWidth="1"/>
    <col min="4164" max="4178" width="6.7109375" style="1" customWidth="1"/>
    <col min="4179" max="4325" width="9.140625" style="1"/>
    <col min="4326" max="4326" width="2.7109375" style="1" customWidth="1"/>
    <col min="4327" max="4327" width="10.42578125" style="1" customWidth="1"/>
    <col min="4328" max="4328" width="0" style="1" hidden="1" customWidth="1"/>
    <col min="4329" max="4329" width="13.42578125" style="1" customWidth="1"/>
    <col min="4330" max="4365" width="0" style="1" hidden="1" customWidth="1"/>
    <col min="4366" max="4380" width="6.7109375" style="1" customWidth="1"/>
    <col min="4381" max="4381" width="9.140625" style="1"/>
    <col min="4382" max="4382" width="10.42578125" style="1" customWidth="1"/>
    <col min="4383" max="4383" width="14.5703125" style="1" customWidth="1"/>
    <col min="4384" max="4419" width="0" style="1" hidden="1" customWidth="1"/>
    <col min="4420" max="4434" width="6.7109375" style="1" customWidth="1"/>
    <col min="4435" max="4581" width="9.140625" style="1"/>
    <col min="4582" max="4582" width="2.7109375" style="1" customWidth="1"/>
    <col min="4583" max="4583" width="10.42578125" style="1" customWidth="1"/>
    <col min="4584" max="4584" width="0" style="1" hidden="1" customWidth="1"/>
    <col min="4585" max="4585" width="13.42578125" style="1" customWidth="1"/>
    <col min="4586" max="4621" width="0" style="1" hidden="1" customWidth="1"/>
    <col min="4622" max="4636" width="6.7109375" style="1" customWidth="1"/>
    <col min="4637" max="4637" width="9.140625" style="1"/>
    <col min="4638" max="4638" width="10.42578125" style="1" customWidth="1"/>
    <col min="4639" max="4639" width="14.5703125" style="1" customWidth="1"/>
    <col min="4640" max="4675" width="0" style="1" hidden="1" customWidth="1"/>
    <col min="4676" max="4690" width="6.7109375" style="1" customWidth="1"/>
    <col min="4691" max="4837" width="9.140625" style="1"/>
    <col min="4838" max="4838" width="2.7109375" style="1" customWidth="1"/>
    <col min="4839" max="4839" width="10.42578125" style="1" customWidth="1"/>
    <col min="4840" max="4840" width="0" style="1" hidden="1" customWidth="1"/>
    <col min="4841" max="4841" width="13.42578125" style="1" customWidth="1"/>
    <col min="4842" max="4877" width="0" style="1" hidden="1" customWidth="1"/>
    <col min="4878" max="4892" width="6.7109375" style="1" customWidth="1"/>
    <col min="4893" max="4893" width="9.140625" style="1"/>
    <col min="4894" max="4894" width="10.42578125" style="1" customWidth="1"/>
    <col min="4895" max="4895" width="14.5703125" style="1" customWidth="1"/>
    <col min="4896" max="4931" width="0" style="1" hidden="1" customWidth="1"/>
    <col min="4932" max="4946" width="6.7109375" style="1" customWidth="1"/>
    <col min="4947" max="5093" width="9.140625" style="1"/>
    <col min="5094" max="5094" width="2.7109375" style="1" customWidth="1"/>
    <col min="5095" max="5095" width="10.42578125" style="1" customWidth="1"/>
    <col min="5096" max="5096" width="0" style="1" hidden="1" customWidth="1"/>
    <col min="5097" max="5097" width="13.42578125" style="1" customWidth="1"/>
    <col min="5098" max="5133" width="0" style="1" hidden="1" customWidth="1"/>
    <col min="5134" max="5148" width="6.7109375" style="1" customWidth="1"/>
    <col min="5149" max="5149" width="9.140625" style="1"/>
    <col min="5150" max="5150" width="10.42578125" style="1" customWidth="1"/>
    <col min="5151" max="5151" width="14.5703125" style="1" customWidth="1"/>
    <col min="5152" max="5187" width="0" style="1" hidden="1" customWidth="1"/>
    <col min="5188" max="5202" width="6.7109375" style="1" customWidth="1"/>
    <col min="5203" max="5349" width="9.140625" style="1"/>
    <col min="5350" max="5350" width="2.7109375" style="1" customWidth="1"/>
    <col min="5351" max="5351" width="10.42578125" style="1" customWidth="1"/>
    <col min="5352" max="5352" width="0" style="1" hidden="1" customWidth="1"/>
    <col min="5353" max="5353" width="13.42578125" style="1" customWidth="1"/>
    <col min="5354" max="5389" width="0" style="1" hidden="1" customWidth="1"/>
    <col min="5390" max="5404" width="6.7109375" style="1" customWidth="1"/>
    <col min="5405" max="5405" width="9.140625" style="1"/>
    <col min="5406" max="5406" width="10.42578125" style="1" customWidth="1"/>
    <col min="5407" max="5407" width="14.5703125" style="1" customWidth="1"/>
    <col min="5408" max="5443" width="0" style="1" hidden="1" customWidth="1"/>
    <col min="5444" max="5458" width="6.7109375" style="1" customWidth="1"/>
    <col min="5459" max="5605" width="9.140625" style="1"/>
    <col min="5606" max="5606" width="2.7109375" style="1" customWidth="1"/>
    <col min="5607" max="5607" width="10.42578125" style="1" customWidth="1"/>
    <col min="5608" max="5608" width="0" style="1" hidden="1" customWidth="1"/>
    <col min="5609" max="5609" width="13.42578125" style="1" customWidth="1"/>
    <col min="5610" max="5645" width="0" style="1" hidden="1" customWidth="1"/>
    <col min="5646" max="5660" width="6.7109375" style="1" customWidth="1"/>
    <col min="5661" max="5661" width="9.140625" style="1"/>
    <col min="5662" max="5662" width="10.42578125" style="1" customWidth="1"/>
    <col min="5663" max="5663" width="14.5703125" style="1" customWidth="1"/>
    <col min="5664" max="5699" width="0" style="1" hidden="1" customWidth="1"/>
    <col min="5700" max="5714" width="6.7109375" style="1" customWidth="1"/>
    <col min="5715" max="5861" width="9.140625" style="1"/>
    <col min="5862" max="5862" width="2.7109375" style="1" customWidth="1"/>
    <col min="5863" max="5863" width="10.42578125" style="1" customWidth="1"/>
    <col min="5864" max="5864" width="0" style="1" hidden="1" customWidth="1"/>
    <col min="5865" max="5865" width="13.42578125" style="1" customWidth="1"/>
    <col min="5866" max="5901" width="0" style="1" hidden="1" customWidth="1"/>
    <col min="5902" max="5916" width="6.7109375" style="1" customWidth="1"/>
    <col min="5917" max="5917" width="9.140625" style="1"/>
    <col min="5918" max="5918" width="10.42578125" style="1" customWidth="1"/>
    <col min="5919" max="5919" width="14.5703125" style="1" customWidth="1"/>
    <col min="5920" max="5955" width="0" style="1" hidden="1" customWidth="1"/>
    <col min="5956" max="5970" width="6.7109375" style="1" customWidth="1"/>
    <col min="5971" max="6117" width="9.140625" style="1"/>
    <col min="6118" max="6118" width="2.7109375" style="1" customWidth="1"/>
    <col min="6119" max="6119" width="10.42578125" style="1" customWidth="1"/>
    <col min="6120" max="6120" width="0" style="1" hidden="1" customWidth="1"/>
    <col min="6121" max="6121" width="13.42578125" style="1" customWidth="1"/>
    <col min="6122" max="6157" width="0" style="1" hidden="1" customWidth="1"/>
    <col min="6158" max="6172" width="6.7109375" style="1" customWidth="1"/>
    <col min="6173" max="6173" width="9.140625" style="1"/>
    <col min="6174" max="6174" width="10.42578125" style="1" customWidth="1"/>
    <col min="6175" max="6175" width="14.5703125" style="1" customWidth="1"/>
    <col min="6176" max="6211" width="0" style="1" hidden="1" customWidth="1"/>
    <col min="6212" max="6226" width="6.7109375" style="1" customWidth="1"/>
    <col min="6227" max="6373" width="9.140625" style="1"/>
    <col min="6374" max="6374" width="2.7109375" style="1" customWidth="1"/>
    <col min="6375" max="6375" width="10.42578125" style="1" customWidth="1"/>
    <col min="6376" max="6376" width="0" style="1" hidden="1" customWidth="1"/>
    <col min="6377" max="6377" width="13.42578125" style="1" customWidth="1"/>
    <col min="6378" max="6413" width="0" style="1" hidden="1" customWidth="1"/>
    <col min="6414" max="6428" width="6.7109375" style="1" customWidth="1"/>
    <col min="6429" max="6429" width="9.140625" style="1"/>
    <col min="6430" max="6430" width="10.42578125" style="1" customWidth="1"/>
    <col min="6431" max="6431" width="14.5703125" style="1" customWidth="1"/>
    <col min="6432" max="6467" width="0" style="1" hidden="1" customWidth="1"/>
    <col min="6468" max="6482" width="6.7109375" style="1" customWidth="1"/>
    <col min="6483" max="6629" width="9.140625" style="1"/>
    <col min="6630" max="6630" width="2.7109375" style="1" customWidth="1"/>
    <col min="6631" max="6631" width="10.42578125" style="1" customWidth="1"/>
    <col min="6632" max="6632" width="0" style="1" hidden="1" customWidth="1"/>
    <col min="6633" max="6633" width="13.42578125" style="1" customWidth="1"/>
    <col min="6634" max="6669" width="0" style="1" hidden="1" customWidth="1"/>
    <col min="6670" max="6684" width="6.7109375" style="1" customWidth="1"/>
    <col min="6685" max="6685" width="9.140625" style="1"/>
    <col min="6686" max="6686" width="10.42578125" style="1" customWidth="1"/>
    <col min="6687" max="6687" width="14.5703125" style="1" customWidth="1"/>
    <col min="6688" max="6723" width="0" style="1" hidden="1" customWidth="1"/>
    <col min="6724" max="6738" width="6.7109375" style="1" customWidth="1"/>
    <col min="6739" max="6885" width="9.140625" style="1"/>
    <col min="6886" max="6886" width="2.7109375" style="1" customWidth="1"/>
    <col min="6887" max="6887" width="10.42578125" style="1" customWidth="1"/>
    <col min="6888" max="6888" width="0" style="1" hidden="1" customWidth="1"/>
    <col min="6889" max="6889" width="13.42578125" style="1" customWidth="1"/>
    <col min="6890" max="6925" width="0" style="1" hidden="1" customWidth="1"/>
    <col min="6926" max="6940" width="6.7109375" style="1" customWidth="1"/>
    <col min="6941" max="6941" width="9.140625" style="1"/>
    <col min="6942" max="6942" width="10.42578125" style="1" customWidth="1"/>
    <col min="6943" max="6943" width="14.5703125" style="1" customWidth="1"/>
    <col min="6944" max="6979" width="0" style="1" hidden="1" customWidth="1"/>
    <col min="6980" max="6994" width="6.7109375" style="1" customWidth="1"/>
    <col min="6995" max="7141" width="9.140625" style="1"/>
    <col min="7142" max="7142" width="2.7109375" style="1" customWidth="1"/>
    <col min="7143" max="7143" width="10.42578125" style="1" customWidth="1"/>
    <col min="7144" max="7144" width="0" style="1" hidden="1" customWidth="1"/>
    <col min="7145" max="7145" width="13.42578125" style="1" customWidth="1"/>
    <col min="7146" max="7181" width="0" style="1" hidden="1" customWidth="1"/>
    <col min="7182" max="7196" width="6.7109375" style="1" customWidth="1"/>
    <col min="7197" max="7197" width="9.140625" style="1"/>
    <col min="7198" max="7198" width="10.42578125" style="1" customWidth="1"/>
    <col min="7199" max="7199" width="14.5703125" style="1" customWidth="1"/>
    <col min="7200" max="7235" width="0" style="1" hidden="1" customWidth="1"/>
    <col min="7236" max="7250" width="6.7109375" style="1" customWidth="1"/>
    <col min="7251" max="7397" width="9.140625" style="1"/>
    <col min="7398" max="7398" width="2.7109375" style="1" customWidth="1"/>
    <col min="7399" max="7399" width="10.42578125" style="1" customWidth="1"/>
    <col min="7400" max="7400" width="0" style="1" hidden="1" customWidth="1"/>
    <col min="7401" max="7401" width="13.42578125" style="1" customWidth="1"/>
    <col min="7402" max="7437" width="0" style="1" hidden="1" customWidth="1"/>
    <col min="7438" max="7452" width="6.7109375" style="1" customWidth="1"/>
    <col min="7453" max="7453" width="9.140625" style="1"/>
    <col min="7454" max="7454" width="10.42578125" style="1" customWidth="1"/>
    <col min="7455" max="7455" width="14.5703125" style="1" customWidth="1"/>
    <col min="7456" max="7491" width="0" style="1" hidden="1" customWidth="1"/>
    <col min="7492" max="7506" width="6.7109375" style="1" customWidth="1"/>
    <col min="7507" max="7653" width="9.140625" style="1"/>
    <col min="7654" max="7654" width="2.7109375" style="1" customWidth="1"/>
    <col min="7655" max="7655" width="10.42578125" style="1" customWidth="1"/>
    <col min="7656" max="7656" width="0" style="1" hidden="1" customWidth="1"/>
    <col min="7657" max="7657" width="13.42578125" style="1" customWidth="1"/>
    <col min="7658" max="7693" width="0" style="1" hidden="1" customWidth="1"/>
    <col min="7694" max="7708" width="6.7109375" style="1" customWidth="1"/>
    <col min="7709" max="7709" width="9.140625" style="1"/>
    <col min="7710" max="7710" width="10.42578125" style="1" customWidth="1"/>
    <col min="7711" max="7711" width="14.5703125" style="1" customWidth="1"/>
    <col min="7712" max="7747" width="0" style="1" hidden="1" customWidth="1"/>
    <col min="7748" max="7762" width="6.7109375" style="1" customWidth="1"/>
    <col min="7763" max="7909" width="9.140625" style="1"/>
    <col min="7910" max="7910" width="2.7109375" style="1" customWidth="1"/>
    <col min="7911" max="7911" width="10.42578125" style="1" customWidth="1"/>
    <col min="7912" max="7912" width="0" style="1" hidden="1" customWidth="1"/>
    <col min="7913" max="7913" width="13.42578125" style="1" customWidth="1"/>
    <col min="7914" max="7949" width="0" style="1" hidden="1" customWidth="1"/>
    <col min="7950" max="7964" width="6.7109375" style="1" customWidth="1"/>
    <col min="7965" max="7965" width="9.140625" style="1"/>
    <col min="7966" max="7966" width="10.42578125" style="1" customWidth="1"/>
    <col min="7967" max="7967" width="14.5703125" style="1" customWidth="1"/>
    <col min="7968" max="8003" width="0" style="1" hidden="1" customWidth="1"/>
    <col min="8004" max="8018" width="6.7109375" style="1" customWidth="1"/>
    <col min="8019" max="8165" width="9.140625" style="1"/>
    <col min="8166" max="8166" width="2.7109375" style="1" customWidth="1"/>
    <col min="8167" max="8167" width="10.42578125" style="1" customWidth="1"/>
    <col min="8168" max="8168" width="0" style="1" hidden="1" customWidth="1"/>
    <col min="8169" max="8169" width="13.42578125" style="1" customWidth="1"/>
    <col min="8170" max="8205" width="0" style="1" hidden="1" customWidth="1"/>
    <col min="8206" max="8220" width="6.7109375" style="1" customWidth="1"/>
    <col min="8221" max="8221" width="9.140625" style="1"/>
    <col min="8222" max="8222" width="10.42578125" style="1" customWidth="1"/>
    <col min="8223" max="8223" width="14.5703125" style="1" customWidth="1"/>
    <col min="8224" max="8259" width="0" style="1" hidden="1" customWidth="1"/>
    <col min="8260" max="8274" width="6.7109375" style="1" customWidth="1"/>
    <col min="8275" max="8421" width="9.140625" style="1"/>
    <col min="8422" max="8422" width="2.7109375" style="1" customWidth="1"/>
    <col min="8423" max="8423" width="10.42578125" style="1" customWidth="1"/>
    <col min="8424" max="8424" width="0" style="1" hidden="1" customWidth="1"/>
    <col min="8425" max="8425" width="13.42578125" style="1" customWidth="1"/>
    <col min="8426" max="8461" width="0" style="1" hidden="1" customWidth="1"/>
    <col min="8462" max="8476" width="6.7109375" style="1" customWidth="1"/>
    <col min="8477" max="8477" width="9.140625" style="1"/>
    <col min="8478" max="8478" width="10.42578125" style="1" customWidth="1"/>
    <col min="8479" max="8479" width="14.5703125" style="1" customWidth="1"/>
    <col min="8480" max="8515" width="0" style="1" hidden="1" customWidth="1"/>
    <col min="8516" max="8530" width="6.7109375" style="1" customWidth="1"/>
    <col min="8531" max="8677" width="9.140625" style="1"/>
    <col min="8678" max="8678" width="2.7109375" style="1" customWidth="1"/>
    <col min="8679" max="8679" width="10.42578125" style="1" customWidth="1"/>
    <col min="8680" max="8680" width="0" style="1" hidden="1" customWidth="1"/>
    <col min="8681" max="8681" width="13.42578125" style="1" customWidth="1"/>
    <col min="8682" max="8717" width="0" style="1" hidden="1" customWidth="1"/>
    <col min="8718" max="8732" width="6.7109375" style="1" customWidth="1"/>
    <col min="8733" max="8733" width="9.140625" style="1"/>
    <col min="8734" max="8734" width="10.42578125" style="1" customWidth="1"/>
    <col min="8735" max="8735" width="14.5703125" style="1" customWidth="1"/>
    <col min="8736" max="8771" width="0" style="1" hidden="1" customWidth="1"/>
    <col min="8772" max="8786" width="6.7109375" style="1" customWidth="1"/>
    <col min="8787" max="8933" width="9.140625" style="1"/>
    <col min="8934" max="8934" width="2.7109375" style="1" customWidth="1"/>
    <col min="8935" max="8935" width="10.42578125" style="1" customWidth="1"/>
    <col min="8936" max="8936" width="0" style="1" hidden="1" customWidth="1"/>
    <col min="8937" max="8937" width="13.42578125" style="1" customWidth="1"/>
    <col min="8938" max="8973" width="0" style="1" hidden="1" customWidth="1"/>
    <col min="8974" max="8988" width="6.7109375" style="1" customWidth="1"/>
    <col min="8989" max="8989" width="9.140625" style="1"/>
    <col min="8990" max="8990" width="10.42578125" style="1" customWidth="1"/>
    <col min="8991" max="8991" width="14.5703125" style="1" customWidth="1"/>
    <col min="8992" max="9027" width="0" style="1" hidden="1" customWidth="1"/>
    <col min="9028" max="9042" width="6.7109375" style="1" customWidth="1"/>
    <col min="9043" max="9189" width="9.140625" style="1"/>
    <col min="9190" max="9190" width="2.7109375" style="1" customWidth="1"/>
    <col min="9191" max="9191" width="10.42578125" style="1" customWidth="1"/>
    <col min="9192" max="9192" width="0" style="1" hidden="1" customWidth="1"/>
    <col min="9193" max="9193" width="13.42578125" style="1" customWidth="1"/>
    <col min="9194" max="9229" width="0" style="1" hidden="1" customWidth="1"/>
    <col min="9230" max="9244" width="6.7109375" style="1" customWidth="1"/>
    <col min="9245" max="9245" width="9.140625" style="1"/>
    <col min="9246" max="9246" width="10.42578125" style="1" customWidth="1"/>
    <col min="9247" max="9247" width="14.5703125" style="1" customWidth="1"/>
    <col min="9248" max="9283" width="0" style="1" hidden="1" customWidth="1"/>
    <col min="9284" max="9298" width="6.7109375" style="1" customWidth="1"/>
    <col min="9299" max="9445" width="9.140625" style="1"/>
    <col min="9446" max="9446" width="2.7109375" style="1" customWidth="1"/>
    <col min="9447" max="9447" width="10.42578125" style="1" customWidth="1"/>
    <col min="9448" max="9448" width="0" style="1" hidden="1" customWidth="1"/>
    <col min="9449" max="9449" width="13.42578125" style="1" customWidth="1"/>
    <col min="9450" max="9485" width="0" style="1" hidden="1" customWidth="1"/>
    <col min="9486" max="9500" width="6.7109375" style="1" customWidth="1"/>
    <col min="9501" max="9501" width="9.140625" style="1"/>
    <col min="9502" max="9502" width="10.42578125" style="1" customWidth="1"/>
    <col min="9503" max="9503" width="14.5703125" style="1" customWidth="1"/>
    <col min="9504" max="9539" width="0" style="1" hidden="1" customWidth="1"/>
    <col min="9540" max="9554" width="6.7109375" style="1" customWidth="1"/>
    <col min="9555" max="9701" width="9.140625" style="1"/>
    <col min="9702" max="9702" width="2.7109375" style="1" customWidth="1"/>
    <col min="9703" max="9703" width="10.42578125" style="1" customWidth="1"/>
    <col min="9704" max="9704" width="0" style="1" hidden="1" customWidth="1"/>
    <col min="9705" max="9705" width="13.42578125" style="1" customWidth="1"/>
    <col min="9706" max="9741" width="0" style="1" hidden="1" customWidth="1"/>
    <col min="9742" max="9756" width="6.7109375" style="1" customWidth="1"/>
    <col min="9757" max="9757" width="9.140625" style="1"/>
    <col min="9758" max="9758" width="10.42578125" style="1" customWidth="1"/>
    <col min="9759" max="9759" width="14.5703125" style="1" customWidth="1"/>
    <col min="9760" max="9795" width="0" style="1" hidden="1" customWidth="1"/>
    <col min="9796" max="9810" width="6.7109375" style="1" customWidth="1"/>
    <col min="9811" max="9957" width="9.140625" style="1"/>
    <col min="9958" max="9958" width="2.7109375" style="1" customWidth="1"/>
    <col min="9959" max="9959" width="10.42578125" style="1" customWidth="1"/>
    <col min="9960" max="9960" width="0" style="1" hidden="1" customWidth="1"/>
    <col min="9961" max="9961" width="13.42578125" style="1" customWidth="1"/>
    <col min="9962" max="9997" width="0" style="1" hidden="1" customWidth="1"/>
    <col min="9998" max="10012" width="6.7109375" style="1" customWidth="1"/>
    <col min="10013" max="10013" width="9.140625" style="1"/>
    <col min="10014" max="10014" width="10.42578125" style="1" customWidth="1"/>
    <col min="10015" max="10015" width="14.5703125" style="1" customWidth="1"/>
    <col min="10016" max="10051" width="0" style="1" hidden="1" customWidth="1"/>
    <col min="10052" max="10066" width="6.7109375" style="1" customWidth="1"/>
    <col min="10067" max="10213" width="9.140625" style="1"/>
    <col min="10214" max="10214" width="2.7109375" style="1" customWidth="1"/>
    <col min="10215" max="10215" width="10.42578125" style="1" customWidth="1"/>
    <col min="10216" max="10216" width="0" style="1" hidden="1" customWidth="1"/>
    <col min="10217" max="10217" width="13.42578125" style="1" customWidth="1"/>
    <col min="10218" max="10253" width="0" style="1" hidden="1" customWidth="1"/>
    <col min="10254" max="10268" width="6.7109375" style="1" customWidth="1"/>
    <col min="10269" max="10269" width="9.140625" style="1"/>
    <col min="10270" max="10270" width="10.42578125" style="1" customWidth="1"/>
    <col min="10271" max="10271" width="14.5703125" style="1" customWidth="1"/>
    <col min="10272" max="10307" width="0" style="1" hidden="1" customWidth="1"/>
    <col min="10308" max="10322" width="6.7109375" style="1" customWidth="1"/>
    <col min="10323" max="10469" width="9.140625" style="1"/>
    <col min="10470" max="10470" width="2.7109375" style="1" customWidth="1"/>
    <col min="10471" max="10471" width="10.42578125" style="1" customWidth="1"/>
    <col min="10472" max="10472" width="0" style="1" hidden="1" customWidth="1"/>
    <col min="10473" max="10473" width="13.42578125" style="1" customWidth="1"/>
    <col min="10474" max="10509" width="0" style="1" hidden="1" customWidth="1"/>
    <col min="10510" max="10524" width="6.7109375" style="1" customWidth="1"/>
    <col min="10525" max="10525" width="9.140625" style="1"/>
    <col min="10526" max="10526" width="10.42578125" style="1" customWidth="1"/>
    <col min="10527" max="10527" width="14.5703125" style="1" customWidth="1"/>
    <col min="10528" max="10563" width="0" style="1" hidden="1" customWidth="1"/>
    <col min="10564" max="10578" width="6.7109375" style="1" customWidth="1"/>
    <col min="10579" max="10725" width="9.140625" style="1"/>
    <col min="10726" max="10726" width="2.7109375" style="1" customWidth="1"/>
    <col min="10727" max="10727" width="10.42578125" style="1" customWidth="1"/>
    <col min="10728" max="10728" width="0" style="1" hidden="1" customWidth="1"/>
    <col min="10729" max="10729" width="13.42578125" style="1" customWidth="1"/>
    <col min="10730" max="10765" width="0" style="1" hidden="1" customWidth="1"/>
    <col min="10766" max="10780" width="6.7109375" style="1" customWidth="1"/>
    <col min="10781" max="10781" width="9.140625" style="1"/>
    <col min="10782" max="10782" width="10.42578125" style="1" customWidth="1"/>
    <col min="10783" max="10783" width="14.5703125" style="1" customWidth="1"/>
    <col min="10784" max="10819" width="0" style="1" hidden="1" customWidth="1"/>
    <col min="10820" max="10834" width="6.7109375" style="1" customWidth="1"/>
    <col min="10835" max="10981" width="9.140625" style="1"/>
    <col min="10982" max="10982" width="2.7109375" style="1" customWidth="1"/>
    <col min="10983" max="10983" width="10.42578125" style="1" customWidth="1"/>
    <col min="10984" max="10984" width="0" style="1" hidden="1" customWidth="1"/>
    <col min="10985" max="10985" width="13.42578125" style="1" customWidth="1"/>
    <col min="10986" max="11021" width="0" style="1" hidden="1" customWidth="1"/>
    <col min="11022" max="11036" width="6.7109375" style="1" customWidth="1"/>
    <col min="11037" max="11037" width="9.140625" style="1"/>
    <col min="11038" max="11038" width="10.42578125" style="1" customWidth="1"/>
    <col min="11039" max="11039" width="14.5703125" style="1" customWidth="1"/>
    <col min="11040" max="11075" width="0" style="1" hidden="1" customWidth="1"/>
    <col min="11076" max="11090" width="6.7109375" style="1" customWidth="1"/>
    <col min="11091" max="11237" width="9.140625" style="1"/>
    <col min="11238" max="11238" width="2.7109375" style="1" customWidth="1"/>
    <col min="11239" max="11239" width="10.42578125" style="1" customWidth="1"/>
    <col min="11240" max="11240" width="0" style="1" hidden="1" customWidth="1"/>
    <col min="11241" max="11241" width="13.42578125" style="1" customWidth="1"/>
    <col min="11242" max="11277" width="0" style="1" hidden="1" customWidth="1"/>
    <col min="11278" max="11292" width="6.7109375" style="1" customWidth="1"/>
    <col min="11293" max="11293" width="9.140625" style="1"/>
    <col min="11294" max="11294" width="10.42578125" style="1" customWidth="1"/>
    <col min="11295" max="11295" width="14.5703125" style="1" customWidth="1"/>
    <col min="11296" max="11331" width="0" style="1" hidden="1" customWidth="1"/>
    <col min="11332" max="11346" width="6.7109375" style="1" customWidth="1"/>
    <col min="11347" max="11493" width="9.140625" style="1"/>
    <col min="11494" max="11494" width="2.7109375" style="1" customWidth="1"/>
    <col min="11495" max="11495" width="10.42578125" style="1" customWidth="1"/>
    <col min="11496" max="11496" width="0" style="1" hidden="1" customWidth="1"/>
    <col min="11497" max="11497" width="13.42578125" style="1" customWidth="1"/>
    <col min="11498" max="11533" width="0" style="1" hidden="1" customWidth="1"/>
    <col min="11534" max="11548" width="6.7109375" style="1" customWidth="1"/>
    <col min="11549" max="11549" width="9.140625" style="1"/>
    <col min="11550" max="11550" width="10.42578125" style="1" customWidth="1"/>
    <col min="11551" max="11551" width="14.5703125" style="1" customWidth="1"/>
    <col min="11552" max="11587" width="0" style="1" hidden="1" customWidth="1"/>
    <col min="11588" max="11602" width="6.7109375" style="1" customWidth="1"/>
    <col min="11603" max="11749" width="9.140625" style="1"/>
    <col min="11750" max="11750" width="2.7109375" style="1" customWidth="1"/>
    <col min="11751" max="11751" width="10.42578125" style="1" customWidth="1"/>
    <col min="11752" max="11752" width="0" style="1" hidden="1" customWidth="1"/>
    <col min="11753" max="11753" width="13.42578125" style="1" customWidth="1"/>
    <col min="11754" max="11789" width="0" style="1" hidden="1" customWidth="1"/>
    <col min="11790" max="11804" width="6.7109375" style="1" customWidth="1"/>
    <col min="11805" max="11805" width="9.140625" style="1"/>
    <col min="11806" max="11806" width="10.42578125" style="1" customWidth="1"/>
    <col min="11807" max="11807" width="14.5703125" style="1" customWidth="1"/>
    <col min="11808" max="11843" width="0" style="1" hidden="1" customWidth="1"/>
    <col min="11844" max="11858" width="6.7109375" style="1" customWidth="1"/>
    <col min="11859" max="12005" width="9.140625" style="1"/>
    <col min="12006" max="12006" width="2.7109375" style="1" customWidth="1"/>
    <col min="12007" max="12007" width="10.42578125" style="1" customWidth="1"/>
    <col min="12008" max="12008" width="0" style="1" hidden="1" customWidth="1"/>
    <col min="12009" max="12009" width="13.42578125" style="1" customWidth="1"/>
    <col min="12010" max="12045" width="0" style="1" hidden="1" customWidth="1"/>
    <col min="12046" max="12060" width="6.7109375" style="1" customWidth="1"/>
    <col min="12061" max="12061" width="9.140625" style="1"/>
    <col min="12062" max="12062" width="10.42578125" style="1" customWidth="1"/>
    <col min="12063" max="12063" width="14.5703125" style="1" customWidth="1"/>
    <col min="12064" max="12099" width="0" style="1" hidden="1" customWidth="1"/>
    <col min="12100" max="12114" width="6.7109375" style="1" customWidth="1"/>
    <col min="12115" max="12261" width="9.140625" style="1"/>
    <col min="12262" max="12262" width="2.7109375" style="1" customWidth="1"/>
    <col min="12263" max="12263" width="10.42578125" style="1" customWidth="1"/>
    <col min="12264" max="12264" width="0" style="1" hidden="1" customWidth="1"/>
    <col min="12265" max="12265" width="13.42578125" style="1" customWidth="1"/>
    <col min="12266" max="12301" width="0" style="1" hidden="1" customWidth="1"/>
    <col min="12302" max="12316" width="6.7109375" style="1" customWidth="1"/>
    <col min="12317" max="12317" width="9.140625" style="1"/>
    <col min="12318" max="12318" width="10.42578125" style="1" customWidth="1"/>
    <col min="12319" max="12319" width="14.5703125" style="1" customWidth="1"/>
    <col min="12320" max="12355" width="0" style="1" hidden="1" customWidth="1"/>
    <col min="12356" max="12370" width="6.7109375" style="1" customWidth="1"/>
    <col min="12371" max="12517" width="9.140625" style="1"/>
    <col min="12518" max="12518" width="2.7109375" style="1" customWidth="1"/>
    <col min="12519" max="12519" width="10.42578125" style="1" customWidth="1"/>
    <col min="12520" max="12520" width="0" style="1" hidden="1" customWidth="1"/>
    <col min="12521" max="12521" width="13.42578125" style="1" customWidth="1"/>
    <col min="12522" max="12557" width="0" style="1" hidden="1" customWidth="1"/>
    <col min="12558" max="12572" width="6.7109375" style="1" customWidth="1"/>
    <col min="12573" max="12573" width="9.140625" style="1"/>
    <col min="12574" max="12574" width="10.42578125" style="1" customWidth="1"/>
    <col min="12575" max="12575" width="14.5703125" style="1" customWidth="1"/>
    <col min="12576" max="12611" width="0" style="1" hidden="1" customWidth="1"/>
    <col min="12612" max="12626" width="6.7109375" style="1" customWidth="1"/>
    <col min="12627" max="12773" width="9.140625" style="1"/>
    <col min="12774" max="12774" width="2.7109375" style="1" customWidth="1"/>
    <col min="12775" max="12775" width="10.42578125" style="1" customWidth="1"/>
    <col min="12776" max="12776" width="0" style="1" hidden="1" customWidth="1"/>
    <col min="12777" max="12777" width="13.42578125" style="1" customWidth="1"/>
    <col min="12778" max="12813" width="0" style="1" hidden="1" customWidth="1"/>
    <col min="12814" max="12828" width="6.7109375" style="1" customWidth="1"/>
    <col min="12829" max="12829" width="9.140625" style="1"/>
    <col min="12830" max="12830" width="10.42578125" style="1" customWidth="1"/>
    <col min="12831" max="12831" width="14.5703125" style="1" customWidth="1"/>
    <col min="12832" max="12867" width="0" style="1" hidden="1" customWidth="1"/>
    <col min="12868" max="12882" width="6.7109375" style="1" customWidth="1"/>
    <col min="12883" max="13029" width="9.140625" style="1"/>
    <col min="13030" max="13030" width="2.7109375" style="1" customWidth="1"/>
    <col min="13031" max="13031" width="10.42578125" style="1" customWidth="1"/>
    <col min="13032" max="13032" width="0" style="1" hidden="1" customWidth="1"/>
    <col min="13033" max="13033" width="13.42578125" style="1" customWidth="1"/>
    <col min="13034" max="13069" width="0" style="1" hidden="1" customWidth="1"/>
    <col min="13070" max="13084" width="6.7109375" style="1" customWidth="1"/>
    <col min="13085" max="13085" width="9.140625" style="1"/>
    <col min="13086" max="13086" width="10.42578125" style="1" customWidth="1"/>
    <col min="13087" max="13087" width="14.5703125" style="1" customWidth="1"/>
    <col min="13088" max="13123" width="0" style="1" hidden="1" customWidth="1"/>
    <col min="13124" max="13138" width="6.7109375" style="1" customWidth="1"/>
    <col min="13139" max="13285" width="9.140625" style="1"/>
    <col min="13286" max="13286" width="2.7109375" style="1" customWidth="1"/>
    <col min="13287" max="13287" width="10.42578125" style="1" customWidth="1"/>
    <col min="13288" max="13288" width="0" style="1" hidden="1" customWidth="1"/>
    <col min="13289" max="13289" width="13.42578125" style="1" customWidth="1"/>
    <col min="13290" max="13325" width="0" style="1" hidden="1" customWidth="1"/>
    <col min="13326" max="13340" width="6.7109375" style="1" customWidth="1"/>
    <col min="13341" max="13341" width="9.140625" style="1"/>
    <col min="13342" max="13342" width="10.42578125" style="1" customWidth="1"/>
    <col min="13343" max="13343" width="14.5703125" style="1" customWidth="1"/>
    <col min="13344" max="13379" width="0" style="1" hidden="1" customWidth="1"/>
    <col min="13380" max="13394" width="6.7109375" style="1" customWidth="1"/>
    <col min="13395" max="13541" width="9.140625" style="1"/>
    <col min="13542" max="13542" width="2.7109375" style="1" customWidth="1"/>
    <col min="13543" max="13543" width="10.42578125" style="1" customWidth="1"/>
    <col min="13544" max="13544" width="0" style="1" hidden="1" customWidth="1"/>
    <col min="13545" max="13545" width="13.42578125" style="1" customWidth="1"/>
    <col min="13546" max="13581" width="0" style="1" hidden="1" customWidth="1"/>
    <col min="13582" max="13596" width="6.7109375" style="1" customWidth="1"/>
    <col min="13597" max="13597" width="9.140625" style="1"/>
    <col min="13598" max="13598" width="10.42578125" style="1" customWidth="1"/>
    <col min="13599" max="13599" width="14.5703125" style="1" customWidth="1"/>
    <col min="13600" max="13635" width="0" style="1" hidden="1" customWidth="1"/>
    <col min="13636" max="13650" width="6.7109375" style="1" customWidth="1"/>
    <col min="13651" max="13797" width="9.140625" style="1"/>
    <col min="13798" max="13798" width="2.7109375" style="1" customWidth="1"/>
    <col min="13799" max="13799" width="10.42578125" style="1" customWidth="1"/>
    <col min="13800" max="13800" width="0" style="1" hidden="1" customWidth="1"/>
    <col min="13801" max="13801" width="13.42578125" style="1" customWidth="1"/>
    <col min="13802" max="13837" width="0" style="1" hidden="1" customWidth="1"/>
    <col min="13838" max="13852" width="6.7109375" style="1" customWidth="1"/>
    <col min="13853" max="13853" width="9.140625" style="1"/>
    <col min="13854" max="13854" width="10.42578125" style="1" customWidth="1"/>
    <col min="13855" max="13855" width="14.5703125" style="1" customWidth="1"/>
    <col min="13856" max="13891" width="0" style="1" hidden="1" customWidth="1"/>
    <col min="13892" max="13906" width="6.7109375" style="1" customWidth="1"/>
    <col min="13907" max="14053" width="9.140625" style="1"/>
    <col min="14054" max="14054" width="2.7109375" style="1" customWidth="1"/>
    <col min="14055" max="14055" width="10.42578125" style="1" customWidth="1"/>
    <col min="14056" max="14056" width="0" style="1" hidden="1" customWidth="1"/>
    <col min="14057" max="14057" width="13.42578125" style="1" customWidth="1"/>
    <col min="14058" max="14093" width="0" style="1" hidden="1" customWidth="1"/>
    <col min="14094" max="14108" width="6.7109375" style="1" customWidth="1"/>
    <col min="14109" max="14109" width="9.140625" style="1"/>
    <col min="14110" max="14110" width="10.42578125" style="1" customWidth="1"/>
    <col min="14111" max="14111" width="14.5703125" style="1" customWidth="1"/>
    <col min="14112" max="14147" width="0" style="1" hidden="1" customWidth="1"/>
    <col min="14148" max="14162" width="6.7109375" style="1" customWidth="1"/>
    <col min="14163" max="14309" width="9.140625" style="1"/>
    <col min="14310" max="14310" width="2.7109375" style="1" customWidth="1"/>
    <col min="14311" max="14311" width="10.42578125" style="1" customWidth="1"/>
    <col min="14312" max="14312" width="0" style="1" hidden="1" customWidth="1"/>
    <col min="14313" max="14313" width="13.42578125" style="1" customWidth="1"/>
    <col min="14314" max="14349" width="0" style="1" hidden="1" customWidth="1"/>
    <col min="14350" max="14364" width="6.7109375" style="1" customWidth="1"/>
    <col min="14365" max="14365" width="9.140625" style="1"/>
    <col min="14366" max="14366" width="10.42578125" style="1" customWidth="1"/>
    <col min="14367" max="14367" width="14.5703125" style="1" customWidth="1"/>
    <col min="14368" max="14403" width="0" style="1" hidden="1" customWidth="1"/>
    <col min="14404" max="14418" width="6.7109375" style="1" customWidth="1"/>
    <col min="14419" max="14565" width="9.140625" style="1"/>
    <col min="14566" max="14566" width="2.7109375" style="1" customWidth="1"/>
    <col min="14567" max="14567" width="10.42578125" style="1" customWidth="1"/>
    <col min="14568" max="14568" width="0" style="1" hidden="1" customWidth="1"/>
    <col min="14569" max="14569" width="13.42578125" style="1" customWidth="1"/>
    <col min="14570" max="14605" width="0" style="1" hidden="1" customWidth="1"/>
    <col min="14606" max="14620" width="6.7109375" style="1" customWidth="1"/>
    <col min="14621" max="14621" width="9.140625" style="1"/>
    <col min="14622" max="14622" width="10.42578125" style="1" customWidth="1"/>
    <col min="14623" max="14623" width="14.5703125" style="1" customWidth="1"/>
    <col min="14624" max="14659" width="0" style="1" hidden="1" customWidth="1"/>
    <col min="14660" max="14674" width="6.7109375" style="1" customWidth="1"/>
    <col min="14675" max="14821" width="9.140625" style="1"/>
    <col min="14822" max="14822" width="2.7109375" style="1" customWidth="1"/>
    <col min="14823" max="14823" width="10.42578125" style="1" customWidth="1"/>
    <col min="14824" max="14824" width="0" style="1" hidden="1" customWidth="1"/>
    <col min="14825" max="14825" width="13.42578125" style="1" customWidth="1"/>
    <col min="14826" max="14861" width="0" style="1" hidden="1" customWidth="1"/>
    <col min="14862" max="14876" width="6.7109375" style="1" customWidth="1"/>
    <col min="14877" max="14877" width="9.140625" style="1"/>
    <col min="14878" max="14878" width="10.42578125" style="1" customWidth="1"/>
    <col min="14879" max="14879" width="14.5703125" style="1" customWidth="1"/>
    <col min="14880" max="14915" width="0" style="1" hidden="1" customWidth="1"/>
    <col min="14916" max="14930" width="6.7109375" style="1" customWidth="1"/>
    <col min="14931" max="15077" width="9.140625" style="1"/>
    <col min="15078" max="15078" width="2.7109375" style="1" customWidth="1"/>
    <col min="15079" max="15079" width="10.42578125" style="1" customWidth="1"/>
    <col min="15080" max="15080" width="0" style="1" hidden="1" customWidth="1"/>
    <col min="15081" max="15081" width="13.42578125" style="1" customWidth="1"/>
    <col min="15082" max="15117" width="0" style="1" hidden="1" customWidth="1"/>
    <col min="15118" max="15132" width="6.7109375" style="1" customWidth="1"/>
    <col min="15133" max="15133" width="9.140625" style="1"/>
    <col min="15134" max="15134" width="10.42578125" style="1" customWidth="1"/>
    <col min="15135" max="15135" width="14.5703125" style="1" customWidth="1"/>
    <col min="15136" max="15171" width="0" style="1" hidden="1" customWidth="1"/>
    <col min="15172" max="15186" width="6.7109375" style="1" customWidth="1"/>
    <col min="15187" max="15333" width="9.140625" style="1"/>
    <col min="15334" max="15334" width="2.7109375" style="1" customWidth="1"/>
    <col min="15335" max="15335" width="10.42578125" style="1" customWidth="1"/>
    <col min="15336" max="15336" width="0" style="1" hidden="1" customWidth="1"/>
    <col min="15337" max="15337" width="13.42578125" style="1" customWidth="1"/>
    <col min="15338" max="15373" width="0" style="1" hidden="1" customWidth="1"/>
    <col min="15374" max="15388" width="6.7109375" style="1" customWidth="1"/>
    <col min="15389" max="15389" width="9.140625" style="1"/>
    <col min="15390" max="15390" width="10.42578125" style="1" customWidth="1"/>
    <col min="15391" max="15391" width="14.5703125" style="1" customWidth="1"/>
    <col min="15392" max="15427" width="0" style="1" hidden="1" customWidth="1"/>
    <col min="15428" max="15442" width="6.7109375" style="1" customWidth="1"/>
    <col min="15443" max="15589" width="9.140625" style="1"/>
    <col min="15590" max="15590" width="2.7109375" style="1" customWidth="1"/>
    <col min="15591" max="15591" width="10.42578125" style="1" customWidth="1"/>
    <col min="15592" max="15592" width="0" style="1" hidden="1" customWidth="1"/>
    <col min="15593" max="15593" width="13.42578125" style="1" customWidth="1"/>
    <col min="15594" max="15629" width="0" style="1" hidden="1" customWidth="1"/>
    <col min="15630" max="15644" width="6.7109375" style="1" customWidth="1"/>
    <col min="15645" max="15645" width="9.140625" style="1"/>
    <col min="15646" max="15646" width="10.42578125" style="1" customWidth="1"/>
    <col min="15647" max="15647" width="14.5703125" style="1" customWidth="1"/>
    <col min="15648" max="15683" width="0" style="1" hidden="1" customWidth="1"/>
    <col min="15684" max="15698" width="6.7109375" style="1" customWidth="1"/>
    <col min="15699" max="15845" width="9.140625" style="1"/>
    <col min="15846" max="15846" width="2.7109375" style="1" customWidth="1"/>
    <col min="15847" max="15847" width="10.42578125" style="1" customWidth="1"/>
    <col min="15848" max="15848" width="0" style="1" hidden="1" customWidth="1"/>
    <col min="15849" max="15849" width="13.42578125" style="1" customWidth="1"/>
    <col min="15850" max="15885" width="0" style="1" hidden="1" customWidth="1"/>
    <col min="15886" max="15900" width="6.7109375" style="1" customWidth="1"/>
    <col min="15901" max="15901" width="9.140625" style="1"/>
    <col min="15902" max="15902" width="10.42578125" style="1" customWidth="1"/>
    <col min="15903" max="15903" width="14.5703125" style="1" customWidth="1"/>
    <col min="15904" max="15939" width="0" style="1" hidden="1" customWidth="1"/>
    <col min="15940" max="15954" width="6.7109375" style="1" customWidth="1"/>
    <col min="15955" max="16101" width="9.140625" style="1"/>
    <col min="16102" max="16102" width="2.7109375" style="1" customWidth="1"/>
    <col min="16103" max="16103" width="10.42578125" style="1" customWidth="1"/>
    <col min="16104" max="16104" width="0" style="1" hidden="1" customWidth="1"/>
    <col min="16105" max="16105" width="13.42578125" style="1" customWidth="1"/>
    <col min="16106" max="16141" width="0" style="1" hidden="1" customWidth="1"/>
    <col min="16142" max="16156" width="6.7109375" style="1" customWidth="1"/>
    <col min="16157" max="16157" width="9.140625" style="1"/>
    <col min="16158" max="16158" width="10.42578125" style="1" customWidth="1"/>
    <col min="16159" max="16159" width="14.5703125" style="1" customWidth="1"/>
    <col min="16160" max="16195" width="0" style="1" hidden="1" customWidth="1"/>
    <col min="16196" max="16210" width="6.7109375" style="1" customWidth="1"/>
    <col min="16211" max="16384" width="9.140625" style="1"/>
  </cols>
  <sheetData>
    <row r="2" spans="1:113" ht="15" customHeight="1" x14ac:dyDescent="0.25">
      <c r="A2" s="98" t="s">
        <v>20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2"/>
    </row>
    <row r="3" spans="1:113" ht="13.5" customHeight="1" x14ac:dyDescent="0.2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24"/>
    </row>
    <row r="4" spans="1:113" ht="15" customHeight="1" x14ac:dyDescent="0.25">
      <c r="A4" s="23"/>
      <c r="B4" s="29" t="s">
        <v>22</v>
      </c>
      <c r="C4" s="29"/>
      <c r="D4" s="29"/>
      <c r="E4" s="2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24"/>
    </row>
    <row r="5" spans="1:113" ht="15" customHeight="1" x14ac:dyDescent="0.25">
      <c r="A5" s="23"/>
      <c r="B5" s="65" t="s">
        <v>86</v>
      </c>
      <c r="C5" s="65"/>
      <c r="D5" s="65"/>
      <c r="E5" s="65"/>
      <c r="F5" s="3"/>
      <c r="G5" s="3"/>
      <c r="H5" s="3"/>
      <c r="I5" s="3"/>
      <c r="J5" s="3"/>
      <c r="K5" s="3"/>
      <c r="L5" s="4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24"/>
      <c r="AD5" s="40" t="s">
        <v>87</v>
      </c>
    </row>
    <row r="6" spans="1:113" ht="13.5" customHeight="1" thickBot="1" x14ac:dyDescent="0.25">
      <c r="A6" s="2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24"/>
      <c r="AD6" s="40" t="s">
        <v>58</v>
      </c>
    </row>
    <row r="7" spans="1:113" ht="13.5" customHeight="1" thickTop="1" x14ac:dyDescent="0.2">
      <c r="A7" s="23"/>
      <c r="B7" s="4"/>
      <c r="C7" s="4"/>
      <c r="D7" s="4"/>
      <c r="E7" s="4"/>
      <c r="F7" s="34" t="s">
        <v>74</v>
      </c>
      <c r="G7" s="35" t="s">
        <v>75</v>
      </c>
      <c r="H7" s="35" t="s">
        <v>76</v>
      </c>
      <c r="I7" s="35" t="s">
        <v>77</v>
      </c>
      <c r="J7" s="35" t="s">
        <v>78</v>
      </c>
      <c r="K7" s="35" t="s">
        <v>79</v>
      </c>
      <c r="L7" s="35" t="s">
        <v>73</v>
      </c>
      <c r="M7" s="35" t="s">
        <v>72</v>
      </c>
      <c r="N7" s="34" t="s">
        <v>71</v>
      </c>
      <c r="O7" s="35" t="s">
        <v>70</v>
      </c>
      <c r="P7" s="35" t="s">
        <v>69</v>
      </c>
      <c r="Q7" s="35" t="s">
        <v>40</v>
      </c>
      <c r="R7" s="35" t="s">
        <v>39</v>
      </c>
      <c r="S7" s="35" t="s">
        <v>38</v>
      </c>
      <c r="T7" s="35" t="s">
        <v>37</v>
      </c>
      <c r="U7" s="35" t="s">
        <v>36</v>
      </c>
      <c r="V7" s="35" t="s">
        <v>34</v>
      </c>
      <c r="W7" s="35" t="s">
        <v>33</v>
      </c>
      <c r="X7" s="35" t="s">
        <v>32</v>
      </c>
      <c r="Y7" s="35" t="s">
        <v>31</v>
      </c>
      <c r="Z7" s="35" t="s">
        <v>30</v>
      </c>
      <c r="AA7" s="35" t="s">
        <v>29</v>
      </c>
      <c r="AB7" s="48"/>
      <c r="AF7" s="81" t="s">
        <v>41</v>
      </c>
      <c r="AG7" s="81"/>
      <c r="AH7" s="81"/>
      <c r="AI7" s="81" t="s">
        <v>42</v>
      </c>
      <c r="AJ7" s="81"/>
      <c r="AK7" s="81"/>
      <c r="AL7" s="81" t="s">
        <v>43</v>
      </c>
      <c r="AM7" s="81"/>
      <c r="AN7" s="81"/>
      <c r="AO7" s="81" t="s">
        <v>44</v>
      </c>
      <c r="AP7" s="81"/>
      <c r="AQ7" s="81"/>
      <c r="AR7" s="81" t="s">
        <v>45</v>
      </c>
      <c r="AS7" s="81"/>
      <c r="AT7" s="81"/>
      <c r="AU7" s="81" t="s">
        <v>46</v>
      </c>
      <c r="AV7" s="81"/>
      <c r="AW7" s="81"/>
      <c r="AX7" s="81" t="s">
        <v>47</v>
      </c>
      <c r="AY7" s="81"/>
      <c r="AZ7" s="81"/>
      <c r="BA7" s="81" t="s">
        <v>48</v>
      </c>
      <c r="BB7" s="81"/>
      <c r="BC7" s="81"/>
      <c r="BD7" s="81" t="s">
        <v>49</v>
      </c>
      <c r="BE7" s="81"/>
      <c r="BF7" s="81"/>
      <c r="BG7" s="81" t="s">
        <v>50</v>
      </c>
      <c r="BH7" s="81"/>
      <c r="BI7" s="81"/>
      <c r="BJ7" s="81" t="s">
        <v>51</v>
      </c>
      <c r="BK7" s="81"/>
      <c r="BL7" s="81"/>
      <c r="BM7" s="81" t="s">
        <v>52</v>
      </c>
      <c r="BN7" s="81"/>
      <c r="BO7" s="81"/>
      <c r="BP7" s="81" t="s">
        <v>53</v>
      </c>
      <c r="BQ7" s="81"/>
      <c r="BR7" s="81"/>
      <c r="BS7" s="81" t="s">
        <v>54</v>
      </c>
      <c r="BT7" s="81"/>
      <c r="BU7" s="81"/>
      <c r="BV7" s="81" t="s">
        <v>55</v>
      </c>
      <c r="BW7" s="81"/>
      <c r="BX7" s="81"/>
      <c r="BY7" s="81" t="s">
        <v>56</v>
      </c>
      <c r="BZ7" s="81"/>
      <c r="CA7" s="81"/>
      <c r="CB7" s="81" t="s">
        <v>27</v>
      </c>
      <c r="CC7" s="81"/>
      <c r="CD7" s="81"/>
      <c r="CE7" s="81" t="s">
        <v>91</v>
      </c>
      <c r="CF7" s="81"/>
      <c r="CG7" s="81"/>
      <c r="CH7" s="81" t="s">
        <v>98</v>
      </c>
      <c r="CI7" s="81"/>
      <c r="CJ7" s="81"/>
      <c r="CK7" s="81" t="s">
        <v>102</v>
      </c>
      <c r="CL7" s="81"/>
      <c r="CM7" s="81"/>
      <c r="CN7" s="81" t="s">
        <v>105</v>
      </c>
      <c r="CO7" s="81"/>
      <c r="CP7" s="81"/>
      <c r="CQ7" s="81" t="s">
        <v>107</v>
      </c>
      <c r="CR7" s="81"/>
      <c r="CS7" s="81"/>
    </row>
    <row r="8" spans="1:113" ht="13.5" customHeight="1" x14ac:dyDescent="0.2">
      <c r="A8" s="23"/>
      <c r="B8" s="4"/>
      <c r="C8" s="4"/>
      <c r="D8" s="4"/>
      <c r="E8" s="4"/>
      <c r="F8" s="35" t="s">
        <v>35</v>
      </c>
      <c r="G8" s="35" t="s">
        <v>35</v>
      </c>
      <c r="H8" s="35" t="s">
        <v>35</v>
      </c>
      <c r="I8" s="35" t="s">
        <v>35</v>
      </c>
      <c r="J8" s="35" t="s">
        <v>35</v>
      </c>
      <c r="K8" s="35" t="s">
        <v>35</v>
      </c>
      <c r="L8" s="35" t="s">
        <v>35</v>
      </c>
      <c r="M8" s="35" t="s">
        <v>35</v>
      </c>
      <c r="N8" s="35" t="s">
        <v>35</v>
      </c>
      <c r="O8" s="35" t="s">
        <v>35</v>
      </c>
      <c r="P8" s="35" t="s">
        <v>35</v>
      </c>
      <c r="Q8" s="35" t="s">
        <v>35</v>
      </c>
      <c r="R8" s="35" t="s">
        <v>35</v>
      </c>
      <c r="S8" s="35" t="s">
        <v>35</v>
      </c>
      <c r="T8" s="35" t="s">
        <v>35</v>
      </c>
      <c r="U8" s="35" t="s">
        <v>35</v>
      </c>
      <c r="V8" s="35" t="s">
        <v>35</v>
      </c>
      <c r="W8" s="35" t="s">
        <v>35</v>
      </c>
      <c r="X8" s="35" t="s">
        <v>35</v>
      </c>
      <c r="Y8" s="35" t="s">
        <v>35</v>
      </c>
      <c r="Z8" s="35" t="s">
        <v>35</v>
      </c>
      <c r="AA8" s="35" t="s">
        <v>35</v>
      </c>
      <c r="AB8" s="48"/>
      <c r="AC8" s="3"/>
      <c r="AD8" s="3"/>
      <c r="AE8" s="3"/>
      <c r="AF8" s="81" t="s">
        <v>1</v>
      </c>
      <c r="AG8" s="81"/>
      <c r="AH8" s="81"/>
      <c r="AI8" s="81" t="s">
        <v>2</v>
      </c>
      <c r="AJ8" s="81"/>
      <c r="AK8" s="81"/>
      <c r="AL8" s="81" t="s">
        <v>3</v>
      </c>
      <c r="AM8" s="81"/>
      <c r="AN8" s="81"/>
      <c r="AO8" s="81" t="s">
        <v>4</v>
      </c>
      <c r="AP8" s="81"/>
      <c r="AQ8" s="81"/>
      <c r="AR8" s="81" t="s">
        <v>5</v>
      </c>
      <c r="AS8" s="81"/>
      <c r="AT8" s="81"/>
      <c r="AU8" s="81" t="s">
        <v>6</v>
      </c>
      <c r="AV8" s="81"/>
      <c r="AW8" s="81"/>
      <c r="AX8" s="81" t="s">
        <v>7</v>
      </c>
      <c r="AY8" s="81"/>
      <c r="AZ8" s="81"/>
      <c r="BA8" s="81" t="s">
        <v>8</v>
      </c>
      <c r="BB8" s="81"/>
      <c r="BC8" s="81"/>
      <c r="BD8" s="81" t="s">
        <v>9</v>
      </c>
      <c r="BE8" s="81"/>
      <c r="BF8" s="81"/>
      <c r="BG8" s="81" t="s">
        <v>10</v>
      </c>
      <c r="BH8" s="81"/>
      <c r="BI8" s="81"/>
      <c r="BJ8" s="81" t="s">
        <v>11</v>
      </c>
      <c r="BK8" s="81"/>
      <c r="BL8" s="81"/>
      <c r="BM8" s="81" t="s">
        <v>12</v>
      </c>
      <c r="BN8" s="81"/>
      <c r="BO8" s="81"/>
      <c r="BP8" s="81" t="s">
        <v>13</v>
      </c>
      <c r="BQ8" s="81"/>
      <c r="BR8" s="81"/>
      <c r="BS8" s="81" t="s">
        <v>14</v>
      </c>
      <c r="BT8" s="81"/>
      <c r="BU8" s="81"/>
      <c r="BV8" s="81" t="s">
        <v>15</v>
      </c>
      <c r="BW8" s="81"/>
      <c r="BX8" s="81"/>
      <c r="BY8" s="81" t="s">
        <v>16</v>
      </c>
      <c r="BZ8" s="81"/>
      <c r="CA8" s="81"/>
      <c r="CB8" s="81" t="s">
        <v>17</v>
      </c>
      <c r="CC8" s="81"/>
      <c r="CD8" s="81"/>
      <c r="CE8" s="81" t="s">
        <v>92</v>
      </c>
      <c r="CF8" s="81"/>
      <c r="CG8" s="81"/>
      <c r="CH8" s="81" t="s">
        <v>99</v>
      </c>
      <c r="CI8" s="81"/>
      <c r="CJ8" s="81"/>
      <c r="CK8" s="81" t="s">
        <v>101</v>
      </c>
      <c r="CL8" s="81"/>
      <c r="CM8" s="81"/>
      <c r="CN8" s="81" t="s">
        <v>104</v>
      </c>
      <c r="CO8" s="81"/>
      <c r="CP8" s="81"/>
      <c r="CQ8" s="81" t="s">
        <v>108</v>
      </c>
      <c r="CR8" s="81"/>
      <c r="CS8" s="81"/>
    </row>
    <row r="9" spans="1:113" ht="13.5" customHeight="1" x14ac:dyDescent="0.2">
      <c r="A9" s="23"/>
      <c r="B9" s="6"/>
      <c r="C9" s="6"/>
      <c r="D9" s="6"/>
      <c r="E9" s="6"/>
      <c r="F9" s="31" t="s">
        <v>73</v>
      </c>
      <c r="G9" s="31" t="s">
        <v>72</v>
      </c>
      <c r="H9" s="31" t="s">
        <v>71</v>
      </c>
      <c r="I9" s="31" t="s">
        <v>70</v>
      </c>
      <c r="J9" s="31" t="s">
        <v>69</v>
      </c>
      <c r="K9" s="31" t="s">
        <v>40</v>
      </c>
      <c r="L9" s="31" t="s">
        <v>39</v>
      </c>
      <c r="M9" s="31" t="s">
        <v>38</v>
      </c>
      <c r="N9" s="31" t="s">
        <v>37</v>
      </c>
      <c r="O9" s="31" t="s">
        <v>36</v>
      </c>
      <c r="P9" s="31" t="s">
        <v>34</v>
      </c>
      <c r="Q9" s="31" t="s">
        <v>33</v>
      </c>
      <c r="R9" s="31" t="s">
        <v>32</v>
      </c>
      <c r="S9" s="31" t="s">
        <v>31</v>
      </c>
      <c r="T9" s="31" t="s">
        <v>30</v>
      </c>
      <c r="U9" s="31" t="s">
        <v>29</v>
      </c>
      <c r="V9" s="31" t="s">
        <v>28</v>
      </c>
      <c r="W9" s="31" t="s">
        <v>90</v>
      </c>
      <c r="X9" s="31" t="s">
        <v>97</v>
      </c>
      <c r="Y9" s="31" t="s">
        <v>100</v>
      </c>
      <c r="Z9" s="31" t="s">
        <v>103</v>
      </c>
      <c r="AA9" s="31" t="s">
        <v>106</v>
      </c>
      <c r="AB9" s="49"/>
      <c r="AC9" s="7"/>
      <c r="AD9" s="7"/>
      <c r="AE9" s="7"/>
      <c r="AF9" s="35" t="s">
        <v>25</v>
      </c>
      <c r="AG9" s="35" t="s">
        <v>26</v>
      </c>
      <c r="AH9" s="35" t="s">
        <v>18</v>
      </c>
      <c r="AI9" s="35" t="s">
        <v>25</v>
      </c>
      <c r="AJ9" s="35" t="s">
        <v>26</v>
      </c>
      <c r="AK9" s="35" t="s">
        <v>18</v>
      </c>
      <c r="AL9" s="35" t="s">
        <v>25</v>
      </c>
      <c r="AM9" s="35" t="s">
        <v>26</v>
      </c>
      <c r="AN9" s="35" t="s">
        <v>18</v>
      </c>
      <c r="AO9" s="35" t="s">
        <v>25</v>
      </c>
      <c r="AP9" s="35" t="s">
        <v>26</v>
      </c>
      <c r="AQ9" s="35" t="s">
        <v>18</v>
      </c>
      <c r="AR9" s="35" t="s">
        <v>25</v>
      </c>
      <c r="AS9" s="35" t="s">
        <v>26</v>
      </c>
      <c r="AT9" s="35" t="s">
        <v>18</v>
      </c>
      <c r="AU9" s="35" t="s">
        <v>25</v>
      </c>
      <c r="AV9" s="35" t="s">
        <v>26</v>
      </c>
      <c r="AW9" s="35" t="s">
        <v>18</v>
      </c>
      <c r="AX9" s="35" t="s">
        <v>25</v>
      </c>
      <c r="AY9" s="35" t="s">
        <v>26</v>
      </c>
      <c r="AZ9" s="35" t="s">
        <v>18</v>
      </c>
      <c r="BA9" s="35" t="s">
        <v>25</v>
      </c>
      <c r="BB9" s="35" t="s">
        <v>26</v>
      </c>
      <c r="BC9" s="35" t="s">
        <v>18</v>
      </c>
      <c r="BD9" s="35" t="s">
        <v>25</v>
      </c>
      <c r="BE9" s="35" t="s">
        <v>26</v>
      </c>
      <c r="BF9" s="35" t="s">
        <v>18</v>
      </c>
      <c r="BG9" s="35" t="s">
        <v>25</v>
      </c>
      <c r="BH9" s="35" t="s">
        <v>26</v>
      </c>
      <c r="BI9" s="35" t="s">
        <v>18</v>
      </c>
      <c r="BJ9" s="35" t="s">
        <v>25</v>
      </c>
      <c r="BK9" s="35" t="s">
        <v>26</v>
      </c>
      <c r="BL9" s="35" t="s">
        <v>18</v>
      </c>
      <c r="BM9" s="35" t="s">
        <v>25</v>
      </c>
      <c r="BN9" s="35" t="s">
        <v>26</v>
      </c>
      <c r="BO9" s="35" t="s">
        <v>18</v>
      </c>
      <c r="BP9" s="35" t="s">
        <v>25</v>
      </c>
      <c r="BQ9" s="35" t="s">
        <v>26</v>
      </c>
      <c r="BR9" s="35" t="s">
        <v>18</v>
      </c>
      <c r="BS9" s="35" t="s">
        <v>25</v>
      </c>
      <c r="BT9" s="35" t="s">
        <v>26</v>
      </c>
      <c r="BU9" s="35" t="s">
        <v>18</v>
      </c>
      <c r="BV9" s="35" t="s">
        <v>25</v>
      </c>
      <c r="BW9" s="35" t="s">
        <v>26</v>
      </c>
      <c r="BX9" s="35" t="s">
        <v>18</v>
      </c>
      <c r="BY9" s="35" t="s">
        <v>25</v>
      </c>
      <c r="BZ9" s="35" t="s">
        <v>26</v>
      </c>
      <c r="CA9" s="35" t="s">
        <v>18</v>
      </c>
      <c r="CB9" s="35" t="s">
        <v>25</v>
      </c>
      <c r="CC9" s="35" t="s">
        <v>26</v>
      </c>
      <c r="CD9" s="35" t="s">
        <v>18</v>
      </c>
      <c r="CE9" s="35" t="s">
        <v>25</v>
      </c>
      <c r="CF9" s="35" t="s">
        <v>26</v>
      </c>
      <c r="CG9" s="35" t="s">
        <v>18</v>
      </c>
      <c r="CH9" s="35" t="s">
        <v>25</v>
      </c>
      <c r="CI9" s="35" t="s">
        <v>26</v>
      </c>
      <c r="CJ9" s="35" t="s">
        <v>18</v>
      </c>
      <c r="CK9" s="35" t="s">
        <v>25</v>
      </c>
      <c r="CL9" s="35" t="s">
        <v>26</v>
      </c>
      <c r="CM9" s="35" t="s">
        <v>18</v>
      </c>
      <c r="CN9" s="35" t="s">
        <v>25</v>
      </c>
      <c r="CO9" s="35" t="s">
        <v>26</v>
      </c>
      <c r="CP9" s="35" t="s">
        <v>18</v>
      </c>
      <c r="CQ9" s="35" t="s">
        <v>25</v>
      </c>
      <c r="CR9" s="35" t="s">
        <v>26</v>
      </c>
      <c r="CS9" s="35" t="s">
        <v>18</v>
      </c>
    </row>
    <row r="10" spans="1:113" ht="13.5" customHeight="1" x14ac:dyDescent="0.2">
      <c r="A10" s="23"/>
      <c r="B10" s="4"/>
      <c r="C10" s="4"/>
      <c r="D10" s="4"/>
      <c r="E10" s="4"/>
      <c r="F10" s="69"/>
      <c r="G10" s="69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49"/>
      <c r="AC10" s="7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</row>
    <row r="11" spans="1:113" ht="13.5" customHeight="1" x14ac:dyDescent="0.2">
      <c r="A11" s="23"/>
      <c r="B11" s="75" t="s">
        <v>24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24"/>
      <c r="AF11" s="63"/>
      <c r="AG11" s="63"/>
      <c r="AH11" s="63"/>
      <c r="AI11" s="63"/>
      <c r="AJ11" s="63"/>
      <c r="AK11" s="63"/>
      <c r="AL11" s="63"/>
      <c r="AM11" s="63"/>
    </row>
    <row r="12" spans="1:113" ht="13.5" customHeight="1" x14ac:dyDescent="0.25">
      <c r="A12" s="23"/>
      <c r="B12" s="3"/>
      <c r="C12" s="4" t="s">
        <v>19</v>
      </c>
      <c r="D12" s="3"/>
      <c r="E12" s="38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37"/>
      <c r="X12" s="37"/>
      <c r="Y12" s="37"/>
      <c r="Z12" s="37"/>
      <c r="AA12" s="37"/>
      <c r="AB12" s="48"/>
      <c r="AF12" s="96" t="s">
        <v>19</v>
      </c>
      <c r="AG12" s="96"/>
      <c r="AH12" s="96"/>
      <c r="AI12" s="96"/>
      <c r="AJ12" s="96"/>
      <c r="AK12" s="96"/>
      <c r="AL12" s="96"/>
      <c r="AM12" s="96"/>
      <c r="AN12" s="96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</row>
    <row r="13" spans="1:113" ht="13.5" customHeight="1" x14ac:dyDescent="0.2">
      <c r="A13" s="23"/>
      <c r="D13" s="3" t="s">
        <v>65</v>
      </c>
      <c r="E13" s="3"/>
      <c r="F13" s="11">
        <f>AH13</f>
        <v>637</v>
      </c>
      <c r="G13" s="11">
        <f>AK13</f>
        <v>474</v>
      </c>
      <c r="H13" s="11">
        <f>AN13</f>
        <v>458</v>
      </c>
      <c r="I13" s="11">
        <f>AQ13</f>
        <v>528</v>
      </c>
      <c r="J13" s="11">
        <f>AT13</f>
        <v>552</v>
      </c>
      <c r="K13" s="11">
        <f>AW13</f>
        <v>632</v>
      </c>
      <c r="L13" s="11">
        <f>AZ13</f>
        <v>458</v>
      </c>
      <c r="M13" s="11">
        <f>BC13</f>
        <v>529</v>
      </c>
      <c r="N13" s="11">
        <f>BF13</f>
        <v>539</v>
      </c>
      <c r="O13" s="11">
        <f>BI13</f>
        <v>498</v>
      </c>
      <c r="P13" s="11">
        <f>BL13</f>
        <v>516</v>
      </c>
      <c r="Q13" s="11">
        <f>BO13</f>
        <v>426</v>
      </c>
      <c r="R13" s="11">
        <f>BR13</f>
        <v>464</v>
      </c>
      <c r="S13" s="11">
        <f>BU13</f>
        <v>398</v>
      </c>
      <c r="T13" s="11">
        <f>BX13</f>
        <v>497</v>
      </c>
      <c r="U13" s="11">
        <f>CA13</f>
        <v>476</v>
      </c>
      <c r="V13" s="11">
        <f t="shared" ref="V13" si="0">CD13</f>
        <v>462</v>
      </c>
      <c r="W13" s="11">
        <f>CG13</f>
        <v>437</v>
      </c>
      <c r="X13" s="11">
        <f>CJ13</f>
        <v>494</v>
      </c>
      <c r="Y13" s="11">
        <f>CM13</f>
        <v>479</v>
      </c>
      <c r="Z13" s="11">
        <f>CP13</f>
        <v>478</v>
      </c>
      <c r="AA13" s="11">
        <f>CS13</f>
        <v>530</v>
      </c>
      <c r="AB13" s="12"/>
      <c r="AD13" s="3" t="s">
        <v>65</v>
      </c>
      <c r="AE13" s="3"/>
      <c r="AF13" s="39">
        <v>296</v>
      </c>
      <c r="AG13" s="39">
        <v>341</v>
      </c>
      <c r="AH13" s="39">
        <f>AF13+AG13</f>
        <v>637</v>
      </c>
      <c r="AI13" s="39">
        <v>250</v>
      </c>
      <c r="AJ13" s="39">
        <v>224</v>
      </c>
      <c r="AK13" s="39">
        <f>AI13+AJ13</f>
        <v>474</v>
      </c>
      <c r="AL13" s="39">
        <v>227</v>
      </c>
      <c r="AM13" s="39">
        <v>231</v>
      </c>
      <c r="AN13" s="39">
        <f>AL13+AM13</f>
        <v>458</v>
      </c>
      <c r="AO13" s="39">
        <v>229</v>
      </c>
      <c r="AP13" s="39">
        <v>299</v>
      </c>
      <c r="AQ13" s="39">
        <f>AO13+AP13</f>
        <v>528</v>
      </c>
      <c r="AR13" s="39">
        <v>237</v>
      </c>
      <c r="AS13" s="39">
        <v>315</v>
      </c>
      <c r="AT13" s="39">
        <f>AR13+AS13</f>
        <v>552</v>
      </c>
      <c r="AU13" s="39">
        <v>281</v>
      </c>
      <c r="AV13" s="39">
        <v>351</v>
      </c>
      <c r="AW13" s="39">
        <f>AU13+AV13</f>
        <v>632</v>
      </c>
      <c r="AX13" s="39">
        <v>216</v>
      </c>
      <c r="AY13" s="39">
        <v>242</v>
      </c>
      <c r="AZ13" s="39">
        <f>AX13+AY13</f>
        <v>458</v>
      </c>
      <c r="BA13" s="39">
        <v>254</v>
      </c>
      <c r="BB13" s="39">
        <v>275</v>
      </c>
      <c r="BC13" s="39">
        <f>BA13+BB13</f>
        <v>529</v>
      </c>
      <c r="BD13" s="39">
        <v>265</v>
      </c>
      <c r="BE13" s="39">
        <v>274</v>
      </c>
      <c r="BF13" s="39">
        <f>BD13+BE13</f>
        <v>539</v>
      </c>
      <c r="BG13" s="39">
        <v>219</v>
      </c>
      <c r="BH13" s="39">
        <v>279</v>
      </c>
      <c r="BI13" s="39">
        <f>BG13+BH13</f>
        <v>498</v>
      </c>
      <c r="BJ13" s="39">
        <v>203</v>
      </c>
      <c r="BK13" s="39">
        <v>313</v>
      </c>
      <c r="BL13" s="39">
        <f>BJ13+BK13</f>
        <v>516</v>
      </c>
      <c r="BM13" s="39">
        <v>192</v>
      </c>
      <c r="BN13" s="39">
        <v>234</v>
      </c>
      <c r="BO13" s="39">
        <f>BM13+BN13</f>
        <v>426</v>
      </c>
      <c r="BP13" s="39">
        <v>184</v>
      </c>
      <c r="BQ13" s="39">
        <v>280</v>
      </c>
      <c r="BR13" s="39">
        <f>BP13+BQ13</f>
        <v>464</v>
      </c>
      <c r="BS13" s="39">
        <v>163</v>
      </c>
      <c r="BT13" s="39">
        <v>235</v>
      </c>
      <c r="BU13" s="39">
        <f>BS13+BT13</f>
        <v>398</v>
      </c>
      <c r="BV13" s="39">
        <v>209</v>
      </c>
      <c r="BW13" s="39">
        <v>288</v>
      </c>
      <c r="BX13" s="39">
        <f>BV13+BW13</f>
        <v>497</v>
      </c>
      <c r="BY13" s="39">
        <v>203</v>
      </c>
      <c r="BZ13" s="39">
        <v>273</v>
      </c>
      <c r="CA13" s="39">
        <f>BY13+BZ13</f>
        <v>476</v>
      </c>
      <c r="CB13" s="39">
        <v>182</v>
      </c>
      <c r="CC13" s="39">
        <v>280</v>
      </c>
      <c r="CD13" s="39">
        <f>CB13+CC13</f>
        <v>462</v>
      </c>
      <c r="CE13" s="39">
        <v>193</v>
      </c>
      <c r="CF13" s="39">
        <v>244</v>
      </c>
      <c r="CG13" s="39">
        <f>CE13+CF13</f>
        <v>437</v>
      </c>
      <c r="CH13" s="39">
        <v>199</v>
      </c>
      <c r="CI13" s="39">
        <v>295</v>
      </c>
      <c r="CJ13" s="39">
        <f>CH13+CI13</f>
        <v>494</v>
      </c>
      <c r="CK13" s="39">
        <v>197</v>
      </c>
      <c r="CL13" s="39">
        <v>282</v>
      </c>
      <c r="CM13" s="39">
        <f>CK13+CL13</f>
        <v>479</v>
      </c>
      <c r="CN13" s="39">
        <v>209</v>
      </c>
      <c r="CO13" s="39">
        <v>269</v>
      </c>
      <c r="CP13" s="39">
        <f>CN13+CO13</f>
        <v>478</v>
      </c>
      <c r="CQ13" s="39">
        <v>217</v>
      </c>
      <c r="CR13" s="39">
        <v>313</v>
      </c>
      <c r="CS13" s="39">
        <f>CQ13+CR13</f>
        <v>530</v>
      </c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</row>
    <row r="14" spans="1:113" ht="13.5" customHeight="1" x14ac:dyDescent="0.2">
      <c r="A14" s="23"/>
      <c r="D14" s="15" t="s">
        <v>59</v>
      </c>
      <c r="E14" s="3" t="s">
        <v>60</v>
      </c>
      <c r="F14" s="15">
        <f>IF(AH13&gt;0,(AH14/AH13),"")</f>
        <v>0.11145996860282574</v>
      </c>
      <c r="G14" s="15">
        <f>IF(AK13&gt;0,(AK14/AK13),"")</f>
        <v>0.10337552742616034</v>
      </c>
      <c r="H14" s="15">
        <f>IF(AN13&gt;0,(AN14/AN13),"")</f>
        <v>0.11353711790393013</v>
      </c>
      <c r="I14" s="15">
        <f>IF(AQ13&gt;0,(AQ14/AQ13),"")</f>
        <v>0.13825757575757575</v>
      </c>
      <c r="J14" s="15">
        <f>IF(AT13&gt;0,(AT14/AT13),"")</f>
        <v>0.1539855072463768</v>
      </c>
      <c r="K14" s="15">
        <f>IF(AW13&gt;0,(AW14/AW13),"")</f>
        <v>0.12341772151898735</v>
      </c>
      <c r="L14" s="15">
        <f>IF(AZ13&gt;0,(AZ14/AZ13),"")</f>
        <v>0.13100436681222707</v>
      </c>
      <c r="M14" s="15">
        <f>IF(BC13&gt;0,(BC14/BC13),"")</f>
        <v>0.21361058601134217</v>
      </c>
      <c r="N14" s="15">
        <f>IF(BF13&gt;0,(BF14/BF13),"")</f>
        <v>0.22634508348794063</v>
      </c>
      <c r="O14" s="15">
        <f>IF(BI13&gt;0,(BI14/BI13),"")</f>
        <v>0.20080321285140562</v>
      </c>
      <c r="P14" s="15">
        <f>IF(BL13&gt;0,(BL14/BL13),"")</f>
        <v>0.18410852713178294</v>
      </c>
      <c r="Q14" s="15">
        <f>IF(BO13&gt;0,(BO14/BO13),"")</f>
        <v>0.22535211267605634</v>
      </c>
      <c r="R14" s="15">
        <f>IF(BR13&gt;0,(BR14/BR13),"")</f>
        <v>0.20905172413793102</v>
      </c>
      <c r="S14" s="15">
        <f>IF(BU13&gt;0,(BU14/BU13),"")</f>
        <v>0.20603015075376885</v>
      </c>
      <c r="T14" s="15">
        <f>IF(BX13&gt;0,(BX14/BX13),"")</f>
        <v>0.24949698189134809</v>
      </c>
      <c r="U14" s="15">
        <f>IF(CA13&gt;0,(CA14/CA13),"")</f>
        <v>0.22268907563025211</v>
      </c>
      <c r="V14" s="15">
        <f t="shared" ref="V14" si="1">IF(CD13&gt;0,(CD14/CD13),"")</f>
        <v>0.20346320346320346</v>
      </c>
      <c r="W14" s="15">
        <f>CG14/CG$13</f>
        <v>0.21052631578947367</v>
      </c>
      <c r="X14" s="15">
        <f>CJ14/CJ$13</f>
        <v>0.22064777327935223</v>
      </c>
      <c r="Y14" s="15">
        <f>CM14/CM$13</f>
        <v>0.29436325678496866</v>
      </c>
      <c r="Z14" s="15">
        <f t="shared" ref="Z14:Z17" si="2">CP14/CP$13</f>
        <v>0.32217573221757323</v>
      </c>
      <c r="AA14" s="15">
        <f>CS14/CS$13</f>
        <v>0.31698113207547168</v>
      </c>
      <c r="AB14" s="50"/>
      <c r="AD14" s="15" t="s">
        <v>59</v>
      </c>
      <c r="AE14" s="3" t="s">
        <v>60</v>
      </c>
      <c r="AF14" s="39">
        <v>27</v>
      </c>
      <c r="AG14" s="39">
        <v>44</v>
      </c>
      <c r="AH14" s="39">
        <f t="shared" ref="AH14:AH16" si="3">AF14+AG14</f>
        <v>71</v>
      </c>
      <c r="AI14" s="39">
        <v>18</v>
      </c>
      <c r="AJ14" s="39">
        <v>31</v>
      </c>
      <c r="AK14" s="39">
        <f t="shared" ref="AK14:AK16" si="4">AI14+AJ14</f>
        <v>49</v>
      </c>
      <c r="AL14" s="39">
        <v>17</v>
      </c>
      <c r="AM14" s="39">
        <v>35</v>
      </c>
      <c r="AN14" s="39">
        <f t="shared" ref="AN14:AN16" si="5">AL14+AM14</f>
        <v>52</v>
      </c>
      <c r="AO14" s="39">
        <v>19</v>
      </c>
      <c r="AP14" s="39">
        <v>54</v>
      </c>
      <c r="AQ14" s="39">
        <f t="shared" ref="AQ14:AQ16" si="6">AO14+AP14</f>
        <v>73</v>
      </c>
      <c r="AR14" s="39">
        <v>31</v>
      </c>
      <c r="AS14" s="39">
        <v>54</v>
      </c>
      <c r="AT14" s="39">
        <f t="shared" ref="AT14:AT16" si="7">AR14+AS14</f>
        <v>85</v>
      </c>
      <c r="AU14" s="39">
        <v>20</v>
      </c>
      <c r="AV14" s="39">
        <v>58</v>
      </c>
      <c r="AW14" s="39">
        <f t="shared" ref="AW14:AW16" si="8">AU14+AV14</f>
        <v>78</v>
      </c>
      <c r="AX14" s="39">
        <v>12</v>
      </c>
      <c r="AY14" s="39">
        <v>48</v>
      </c>
      <c r="AZ14" s="39">
        <f t="shared" ref="AZ14:AZ16" si="9">AX14+AY14</f>
        <v>60</v>
      </c>
      <c r="BA14" s="39">
        <v>46</v>
      </c>
      <c r="BB14" s="39">
        <v>67</v>
      </c>
      <c r="BC14" s="39">
        <f t="shared" ref="BC14:BC16" si="10">BA14+BB14</f>
        <v>113</v>
      </c>
      <c r="BD14" s="39">
        <v>43</v>
      </c>
      <c r="BE14" s="39">
        <v>79</v>
      </c>
      <c r="BF14" s="39">
        <f t="shared" ref="BF14:BF16" si="11">BD14+BE14</f>
        <v>122</v>
      </c>
      <c r="BG14" s="39">
        <v>35</v>
      </c>
      <c r="BH14" s="39">
        <v>65</v>
      </c>
      <c r="BI14" s="39">
        <f t="shared" ref="BI14:BI16" si="12">BG14+BH14</f>
        <v>100</v>
      </c>
      <c r="BJ14" s="39">
        <v>24</v>
      </c>
      <c r="BK14" s="39">
        <v>71</v>
      </c>
      <c r="BL14" s="39">
        <f t="shared" ref="BL14:BL16" si="13">BJ14+BK14</f>
        <v>95</v>
      </c>
      <c r="BM14" s="39">
        <v>29</v>
      </c>
      <c r="BN14" s="39">
        <v>67</v>
      </c>
      <c r="BO14" s="39">
        <f t="shared" ref="BO14:BO16" si="14">BM14+BN14</f>
        <v>96</v>
      </c>
      <c r="BP14" s="39">
        <v>26</v>
      </c>
      <c r="BQ14" s="39">
        <v>71</v>
      </c>
      <c r="BR14" s="39">
        <f t="shared" ref="BR14:BR16" si="15">BP14+BQ14</f>
        <v>97</v>
      </c>
      <c r="BS14" s="39">
        <v>25</v>
      </c>
      <c r="BT14" s="39">
        <v>57</v>
      </c>
      <c r="BU14" s="39">
        <f t="shared" ref="BU14:BU16" si="16">BS14+BT14</f>
        <v>82</v>
      </c>
      <c r="BV14" s="39">
        <v>41</v>
      </c>
      <c r="BW14" s="39">
        <v>83</v>
      </c>
      <c r="BX14" s="39">
        <f t="shared" ref="BX14:BX16" si="17">BV14+BW14</f>
        <v>124</v>
      </c>
      <c r="BY14" s="39">
        <v>33</v>
      </c>
      <c r="BZ14" s="39">
        <v>73</v>
      </c>
      <c r="CA14" s="39">
        <f t="shared" ref="CA14:CA16" si="18">BY14+BZ14</f>
        <v>106</v>
      </c>
      <c r="CB14" s="39">
        <v>25</v>
      </c>
      <c r="CC14" s="39">
        <v>69</v>
      </c>
      <c r="CD14" s="39">
        <f t="shared" ref="CD14:CD16" si="19">CB14+CC14</f>
        <v>94</v>
      </c>
      <c r="CE14" s="39">
        <v>34</v>
      </c>
      <c r="CF14" s="39">
        <v>58</v>
      </c>
      <c r="CG14" s="39">
        <f t="shared" ref="CG14:CG16" si="20">CE14+CF14</f>
        <v>92</v>
      </c>
      <c r="CH14" s="39">
        <v>34</v>
      </c>
      <c r="CI14" s="39">
        <v>75</v>
      </c>
      <c r="CJ14" s="39">
        <f t="shared" ref="CJ14:CJ16" si="21">CH14+CI14</f>
        <v>109</v>
      </c>
      <c r="CK14" s="39">
        <v>51</v>
      </c>
      <c r="CL14" s="39">
        <v>90</v>
      </c>
      <c r="CM14" s="39">
        <f t="shared" ref="CM14:CM16" si="22">CK14+CL14</f>
        <v>141</v>
      </c>
      <c r="CN14" s="39">
        <v>56</v>
      </c>
      <c r="CO14" s="39">
        <v>98</v>
      </c>
      <c r="CP14" s="39">
        <f t="shared" ref="CP14:CP16" si="23">CN14+CO14</f>
        <v>154</v>
      </c>
      <c r="CQ14" s="39">
        <v>61</v>
      </c>
      <c r="CR14" s="39">
        <v>107</v>
      </c>
      <c r="CS14" s="39">
        <f t="shared" ref="CS14:CS16" si="24">CQ14+CR14</f>
        <v>168</v>
      </c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</row>
    <row r="15" spans="1:113" ht="13.5" customHeight="1" x14ac:dyDescent="0.2">
      <c r="A15" s="23"/>
      <c r="D15" s="3"/>
      <c r="E15" s="3" t="s">
        <v>61</v>
      </c>
      <c r="F15" s="15">
        <f>IF(AH13&gt;0,(AH15/AH13),"")</f>
        <v>0.1664050235478807</v>
      </c>
      <c r="G15" s="15">
        <f>IF(AK13&gt;0,(AK15/AK13),"")</f>
        <v>0.15189873417721519</v>
      </c>
      <c r="H15" s="15">
        <f>IF(AN13&gt;0,(AN15/AN13),"")</f>
        <v>0.15720524017467249</v>
      </c>
      <c r="I15" s="15">
        <f>IF(AQ13&gt;0,(AQ15/AQ13),"")</f>
        <v>0.16666666666666666</v>
      </c>
      <c r="J15" s="15">
        <f>IF(AT13&gt;0,(AT15/AT13),"")</f>
        <v>0.13224637681159421</v>
      </c>
      <c r="K15" s="15">
        <f>IF(AW13&gt;0,(AW15/AW13),"")</f>
        <v>0.16139240506329114</v>
      </c>
      <c r="L15" s="15">
        <f>IF(AZ13&gt;0,(AZ15/AZ13),"")</f>
        <v>0.18122270742358079</v>
      </c>
      <c r="M15" s="15">
        <f>IF(BC13&gt;0,(BC15/BC13),"")</f>
        <v>0.17391304347826086</v>
      </c>
      <c r="N15" s="15">
        <f>IF(BF13&gt;0,(BF15/BF13),"")</f>
        <v>0.14471243042671614</v>
      </c>
      <c r="O15" s="15">
        <f>IF(BI13&gt;0,(BI15/BI13),"")</f>
        <v>0.15662650602409639</v>
      </c>
      <c r="P15" s="15">
        <f>IF(BL13&gt;0,(BL15/BL13),"")</f>
        <v>0.17635658914728683</v>
      </c>
      <c r="Q15" s="15">
        <f>IF(BO13&gt;0,(BO15/BO13),"")</f>
        <v>0.15962441314553991</v>
      </c>
      <c r="R15" s="15">
        <f>IF(BR13&gt;0,(BR15/BR13),"")</f>
        <v>0.14655172413793102</v>
      </c>
      <c r="S15" s="15">
        <f>IF(BU13&gt;0,(BU15/BU13),"")</f>
        <v>0.17336683417085427</v>
      </c>
      <c r="T15" s="15">
        <f>IF(BX13&gt;0,(BX15/BX13),"")</f>
        <v>0.19718309859154928</v>
      </c>
      <c r="U15" s="15">
        <f>IF(CA13&gt;0,(CA15/CA13),"")</f>
        <v>0.19747899159663865</v>
      </c>
      <c r="V15" s="15">
        <f t="shared" ref="V15" si="25">IF(CD13&gt;0,(CD15/CD13),"")</f>
        <v>0.18398268398268397</v>
      </c>
      <c r="W15" s="15">
        <f t="shared" ref="W15:W17" si="26">CG15/CG$13</f>
        <v>0.14187643020594964</v>
      </c>
      <c r="X15" s="15">
        <f>CJ15/CJ$13</f>
        <v>0.1417004048582996</v>
      </c>
      <c r="Y15" s="15">
        <f>CM15/CM$13</f>
        <v>0.18162839248434237</v>
      </c>
      <c r="Z15" s="15">
        <f t="shared" si="2"/>
        <v>0.1903765690376569</v>
      </c>
      <c r="AA15" s="15">
        <f t="shared" ref="AA15:AA17" si="27">CS15/CS$13</f>
        <v>0.16037735849056603</v>
      </c>
      <c r="AB15" s="50"/>
      <c r="AD15" s="3"/>
      <c r="AE15" s="3" t="s">
        <v>61</v>
      </c>
      <c r="AF15" s="39">
        <v>40</v>
      </c>
      <c r="AG15" s="39">
        <v>66</v>
      </c>
      <c r="AH15" s="39">
        <f t="shared" si="3"/>
        <v>106</v>
      </c>
      <c r="AI15" s="39">
        <v>39</v>
      </c>
      <c r="AJ15" s="39">
        <v>33</v>
      </c>
      <c r="AK15" s="39">
        <f t="shared" si="4"/>
        <v>72</v>
      </c>
      <c r="AL15" s="39">
        <v>34</v>
      </c>
      <c r="AM15" s="39">
        <v>38</v>
      </c>
      <c r="AN15" s="39">
        <f t="shared" si="5"/>
        <v>72</v>
      </c>
      <c r="AO15" s="39">
        <v>39</v>
      </c>
      <c r="AP15" s="39">
        <v>49</v>
      </c>
      <c r="AQ15" s="39">
        <f t="shared" si="6"/>
        <v>88</v>
      </c>
      <c r="AR15" s="39">
        <v>29</v>
      </c>
      <c r="AS15" s="39">
        <v>44</v>
      </c>
      <c r="AT15" s="39">
        <f t="shared" si="7"/>
        <v>73</v>
      </c>
      <c r="AU15" s="39">
        <v>47</v>
      </c>
      <c r="AV15" s="39">
        <v>55</v>
      </c>
      <c r="AW15" s="39">
        <f t="shared" si="8"/>
        <v>102</v>
      </c>
      <c r="AX15" s="39">
        <v>35</v>
      </c>
      <c r="AY15" s="39">
        <v>48</v>
      </c>
      <c r="AZ15" s="39">
        <f t="shared" si="9"/>
        <v>83</v>
      </c>
      <c r="BA15" s="39">
        <v>47</v>
      </c>
      <c r="BB15" s="39">
        <v>45</v>
      </c>
      <c r="BC15" s="39">
        <f t="shared" si="10"/>
        <v>92</v>
      </c>
      <c r="BD15" s="39">
        <v>39</v>
      </c>
      <c r="BE15" s="39">
        <v>39</v>
      </c>
      <c r="BF15" s="39">
        <f t="shared" si="11"/>
        <v>78</v>
      </c>
      <c r="BG15" s="39">
        <v>35</v>
      </c>
      <c r="BH15" s="39">
        <v>43</v>
      </c>
      <c r="BI15" s="39">
        <f t="shared" si="12"/>
        <v>78</v>
      </c>
      <c r="BJ15" s="39">
        <v>33</v>
      </c>
      <c r="BK15" s="39">
        <v>58</v>
      </c>
      <c r="BL15" s="39">
        <f t="shared" si="13"/>
        <v>91</v>
      </c>
      <c r="BM15" s="39">
        <v>30</v>
      </c>
      <c r="BN15" s="39">
        <v>38</v>
      </c>
      <c r="BO15" s="39">
        <f t="shared" si="14"/>
        <v>68</v>
      </c>
      <c r="BP15" s="39">
        <v>31</v>
      </c>
      <c r="BQ15" s="39">
        <v>37</v>
      </c>
      <c r="BR15" s="39">
        <f t="shared" si="15"/>
        <v>68</v>
      </c>
      <c r="BS15" s="39">
        <v>28</v>
      </c>
      <c r="BT15" s="39">
        <v>41</v>
      </c>
      <c r="BU15" s="39">
        <f t="shared" si="16"/>
        <v>69</v>
      </c>
      <c r="BV15" s="39">
        <v>46</v>
      </c>
      <c r="BW15" s="39">
        <v>52</v>
      </c>
      <c r="BX15" s="39">
        <f t="shared" si="17"/>
        <v>98</v>
      </c>
      <c r="BY15" s="39">
        <v>40</v>
      </c>
      <c r="BZ15" s="39">
        <v>54</v>
      </c>
      <c r="CA15" s="39">
        <f t="shared" si="18"/>
        <v>94</v>
      </c>
      <c r="CB15" s="39">
        <v>37</v>
      </c>
      <c r="CC15" s="39">
        <v>48</v>
      </c>
      <c r="CD15" s="39">
        <f t="shared" si="19"/>
        <v>85</v>
      </c>
      <c r="CE15" s="39">
        <v>24</v>
      </c>
      <c r="CF15" s="39">
        <v>38</v>
      </c>
      <c r="CG15" s="39">
        <f t="shared" si="20"/>
        <v>62</v>
      </c>
      <c r="CH15" s="39">
        <v>32</v>
      </c>
      <c r="CI15" s="39">
        <v>38</v>
      </c>
      <c r="CJ15" s="39">
        <f t="shared" si="21"/>
        <v>70</v>
      </c>
      <c r="CK15" s="39">
        <v>38</v>
      </c>
      <c r="CL15" s="39">
        <v>49</v>
      </c>
      <c r="CM15" s="39">
        <f t="shared" si="22"/>
        <v>87</v>
      </c>
      <c r="CN15" s="39">
        <v>41</v>
      </c>
      <c r="CO15" s="39">
        <v>50</v>
      </c>
      <c r="CP15" s="39">
        <f t="shared" si="23"/>
        <v>91</v>
      </c>
      <c r="CQ15" s="39">
        <v>40</v>
      </c>
      <c r="CR15" s="39">
        <v>45</v>
      </c>
      <c r="CS15" s="39">
        <f t="shared" si="24"/>
        <v>85</v>
      </c>
    </row>
    <row r="16" spans="1:113" ht="13.5" customHeight="1" x14ac:dyDescent="0.2">
      <c r="A16" s="23"/>
      <c r="D16" s="3"/>
      <c r="E16" s="3" t="s">
        <v>62</v>
      </c>
      <c r="F16" s="18">
        <f>IF(AH13&gt;0,(AH16/AH13),"")</f>
        <v>5.9654631083202514E-2</v>
      </c>
      <c r="G16" s="18">
        <f>IF(AK13&gt;0,(AK16/AK13),"")</f>
        <v>5.6962025316455694E-2</v>
      </c>
      <c r="H16" s="18">
        <f>IF(AN13&gt;0,(AN16/AN13),"")</f>
        <v>5.0218340611353711E-2</v>
      </c>
      <c r="I16" s="18">
        <f>IF(AQ13&gt;0,(AQ16/AQ13),"")</f>
        <v>6.4393939393939392E-2</v>
      </c>
      <c r="J16" s="18">
        <f>IF(AT13&gt;0,(AT16/AT13),"")</f>
        <v>5.434782608695652E-2</v>
      </c>
      <c r="K16" s="18">
        <f>IF(AW13&gt;0,(AW16/AW13),"")</f>
        <v>7.5949367088607597E-2</v>
      </c>
      <c r="L16" s="18">
        <f>IF(AZ13&gt;0,(AZ16/AZ13),"")</f>
        <v>7.2052401746724892E-2</v>
      </c>
      <c r="M16" s="18">
        <f>IF(BC13&gt;0,(BC16/BC13),"")</f>
        <v>6.2381852551984876E-2</v>
      </c>
      <c r="N16" s="18">
        <f>IF(BF13&gt;0,(BF16/BF13),"")</f>
        <v>5.7513914656771803E-2</v>
      </c>
      <c r="O16" s="18">
        <f>IF(BI13&gt;0,(BI16/BI13),"")</f>
        <v>6.6265060240963861E-2</v>
      </c>
      <c r="P16" s="18">
        <f>IF(BL13&gt;0,(BL16/BL13),"")</f>
        <v>7.170542635658915E-2</v>
      </c>
      <c r="Q16" s="18">
        <f>IF(BO13&gt;0,(BO16/BO13),"")</f>
        <v>7.746478873239436E-2</v>
      </c>
      <c r="R16" s="18">
        <f>IF(BR13&gt;0,(BR16/BR13),"")</f>
        <v>5.6034482758620691E-2</v>
      </c>
      <c r="S16" s="18">
        <f>IF(BU13&gt;0,(BU16/BU13),"")</f>
        <v>5.0251256281407038E-2</v>
      </c>
      <c r="T16" s="18">
        <f>IF(BX13&gt;0,(BX16/BX13),"")</f>
        <v>5.8350100603621731E-2</v>
      </c>
      <c r="U16" s="18">
        <f>IF(CA13&gt;0,(CA16/CA13),"")</f>
        <v>4.6218487394957986E-2</v>
      </c>
      <c r="V16" s="18">
        <f>IF(CD13&gt;0,(CD16/CD13),"")</f>
        <v>6.9264069264069264E-2</v>
      </c>
      <c r="W16" s="18">
        <f t="shared" si="26"/>
        <v>6.4073226544622428E-2</v>
      </c>
      <c r="X16" s="18">
        <f>CJ16/CJ$13</f>
        <v>4.8582995951417005E-2</v>
      </c>
      <c r="Y16" s="18">
        <f>CM16/CM$13</f>
        <v>5.6367432150313153E-2</v>
      </c>
      <c r="Z16" s="18">
        <f t="shared" si="2"/>
        <v>4.3933054393305436E-2</v>
      </c>
      <c r="AA16" s="18">
        <f t="shared" si="27"/>
        <v>4.3396226415094337E-2</v>
      </c>
      <c r="AB16" s="50"/>
      <c r="AD16" s="3"/>
      <c r="AE16" s="3" t="s">
        <v>62</v>
      </c>
      <c r="AF16" s="41">
        <v>23</v>
      </c>
      <c r="AG16" s="41">
        <v>15</v>
      </c>
      <c r="AH16" s="41">
        <f t="shared" si="3"/>
        <v>38</v>
      </c>
      <c r="AI16" s="41">
        <v>16</v>
      </c>
      <c r="AJ16" s="41">
        <v>11</v>
      </c>
      <c r="AK16" s="41">
        <f t="shared" si="4"/>
        <v>27</v>
      </c>
      <c r="AL16" s="41">
        <v>15</v>
      </c>
      <c r="AM16" s="41">
        <v>8</v>
      </c>
      <c r="AN16" s="41">
        <f t="shared" si="5"/>
        <v>23</v>
      </c>
      <c r="AO16" s="41">
        <v>15</v>
      </c>
      <c r="AP16" s="41">
        <v>19</v>
      </c>
      <c r="AQ16" s="41">
        <f t="shared" si="6"/>
        <v>34</v>
      </c>
      <c r="AR16" s="41">
        <v>10</v>
      </c>
      <c r="AS16" s="41">
        <v>20</v>
      </c>
      <c r="AT16" s="41">
        <f t="shared" si="7"/>
        <v>30</v>
      </c>
      <c r="AU16" s="41">
        <v>20</v>
      </c>
      <c r="AV16" s="41">
        <v>28</v>
      </c>
      <c r="AW16" s="41">
        <f t="shared" si="8"/>
        <v>48</v>
      </c>
      <c r="AX16" s="41">
        <v>14</v>
      </c>
      <c r="AY16" s="41">
        <v>19</v>
      </c>
      <c r="AZ16" s="41">
        <f t="shared" si="9"/>
        <v>33</v>
      </c>
      <c r="BA16" s="41">
        <v>19</v>
      </c>
      <c r="BB16" s="41">
        <v>14</v>
      </c>
      <c r="BC16" s="41">
        <f t="shared" si="10"/>
        <v>33</v>
      </c>
      <c r="BD16" s="41">
        <v>14</v>
      </c>
      <c r="BE16" s="41">
        <v>17</v>
      </c>
      <c r="BF16" s="41">
        <f t="shared" si="11"/>
        <v>31</v>
      </c>
      <c r="BG16" s="41">
        <v>14</v>
      </c>
      <c r="BH16" s="41">
        <v>19</v>
      </c>
      <c r="BI16" s="41">
        <f t="shared" si="12"/>
        <v>33</v>
      </c>
      <c r="BJ16" s="41">
        <v>19</v>
      </c>
      <c r="BK16" s="41">
        <v>18</v>
      </c>
      <c r="BL16" s="41">
        <f t="shared" si="13"/>
        <v>37</v>
      </c>
      <c r="BM16" s="41">
        <v>21</v>
      </c>
      <c r="BN16" s="41">
        <v>12</v>
      </c>
      <c r="BO16" s="41">
        <f t="shared" si="14"/>
        <v>33</v>
      </c>
      <c r="BP16" s="41">
        <v>6</v>
      </c>
      <c r="BQ16" s="41">
        <v>20</v>
      </c>
      <c r="BR16" s="41">
        <f t="shared" si="15"/>
        <v>26</v>
      </c>
      <c r="BS16" s="41">
        <v>8</v>
      </c>
      <c r="BT16" s="41">
        <v>12</v>
      </c>
      <c r="BU16" s="41">
        <f t="shared" si="16"/>
        <v>20</v>
      </c>
      <c r="BV16" s="41">
        <v>10</v>
      </c>
      <c r="BW16" s="41">
        <v>19</v>
      </c>
      <c r="BX16" s="41">
        <f t="shared" si="17"/>
        <v>29</v>
      </c>
      <c r="BY16" s="41">
        <v>10</v>
      </c>
      <c r="BZ16" s="41">
        <v>12</v>
      </c>
      <c r="CA16" s="41">
        <f t="shared" si="18"/>
        <v>22</v>
      </c>
      <c r="CB16" s="41">
        <v>13</v>
      </c>
      <c r="CC16" s="41">
        <v>19</v>
      </c>
      <c r="CD16" s="41">
        <f t="shared" si="19"/>
        <v>32</v>
      </c>
      <c r="CE16" s="41">
        <v>13</v>
      </c>
      <c r="CF16" s="41">
        <v>15</v>
      </c>
      <c r="CG16" s="41">
        <f t="shared" si="20"/>
        <v>28</v>
      </c>
      <c r="CH16" s="41">
        <v>8</v>
      </c>
      <c r="CI16" s="41">
        <v>16</v>
      </c>
      <c r="CJ16" s="41">
        <f t="shared" si="21"/>
        <v>24</v>
      </c>
      <c r="CK16" s="41">
        <v>10</v>
      </c>
      <c r="CL16" s="41">
        <v>17</v>
      </c>
      <c r="CM16" s="39">
        <f t="shared" si="22"/>
        <v>27</v>
      </c>
      <c r="CN16" s="41">
        <v>7</v>
      </c>
      <c r="CO16" s="41">
        <v>14</v>
      </c>
      <c r="CP16" s="39">
        <f t="shared" si="23"/>
        <v>21</v>
      </c>
      <c r="CQ16" s="41">
        <v>12</v>
      </c>
      <c r="CR16" s="41">
        <v>11</v>
      </c>
      <c r="CS16" s="39">
        <f t="shared" si="24"/>
        <v>23</v>
      </c>
    </row>
    <row r="17" spans="1:97" ht="13.5" customHeight="1" x14ac:dyDescent="0.2">
      <c r="A17" s="23"/>
      <c r="D17" s="3"/>
      <c r="E17" s="3"/>
      <c r="F17" s="15">
        <f>IF(AH13&gt;0,(AH17/AH13),"")</f>
        <v>0.33751962323390894</v>
      </c>
      <c r="G17" s="15">
        <f>IF(AK13&gt;0,(AK17/AK13),"")</f>
        <v>0.31223628691983124</v>
      </c>
      <c r="H17" s="15">
        <f>IF(AN13&gt;0,(AN17/AN13),"")</f>
        <v>0.32096069868995636</v>
      </c>
      <c r="I17" s="15">
        <f>IF(AQ13&gt;0,(AQ17/AQ13),"")</f>
        <v>0.36931818181818182</v>
      </c>
      <c r="J17" s="15">
        <f>IF(AT13&gt;0,(AT17/AT13),"")</f>
        <v>0.34057971014492755</v>
      </c>
      <c r="K17" s="15">
        <f>IF(AW13&gt;0,(AW17/AW13),"")</f>
        <v>0.36075949367088606</v>
      </c>
      <c r="L17" s="15">
        <f>IF(AZ13&gt;0,(AZ17/AZ13),"")</f>
        <v>0.38427947598253276</v>
      </c>
      <c r="M17" s="15">
        <f>IF(BC13&gt;0,(BC17/BC13),"")</f>
        <v>0.44990548204158792</v>
      </c>
      <c r="N17" s="15">
        <f>IF(BF13&gt;0,(BF17/BF13),"")</f>
        <v>0.42857142857142855</v>
      </c>
      <c r="O17" s="15">
        <f>IF(BI13&gt;0,(BI17/BI13),"")</f>
        <v>0.42369477911646586</v>
      </c>
      <c r="P17" s="15">
        <f>IF(BL13&gt;0,(BL17/BL13),"")</f>
        <v>0.43217054263565891</v>
      </c>
      <c r="Q17" s="15">
        <f>IF(BO13&gt;0,(BO17/BO13),"")</f>
        <v>0.46244131455399062</v>
      </c>
      <c r="R17" s="15">
        <f>IF(BR13&gt;0,(BR17/BR13),"")</f>
        <v>0.41163793103448276</v>
      </c>
      <c r="S17" s="15">
        <f>IF(BU13&gt;0,(BU17/BU13),"")</f>
        <v>0.42964824120603012</v>
      </c>
      <c r="T17" s="15">
        <f>IF(BX13&gt;0,(BX17/BX13),"")</f>
        <v>0.50503018108651909</v>
      </c>
      <c r="U17" s="15">
        <f>IF(CA13&gt;0,(CA17/CA13),"")</f>
        <v>0.46638655462184875</v>
      </c>
      <c r="V17" s="15">
        <f t="shared" ref="V17" si="28">IF(CD13&gt;0,(CD17/CD13),"")</f>
        <v>0.45670995670995673</v>
      </c>
      <c r="W17" s="15">
        <f t="shared" si="26"/>
        <v>0.41647597254004576</v>
      </c>
      <c r="X17" s="15">
        <f>CJ17/CJ$13</f>
        <v>0.41093117408906882</v>
      </c>
      <c r="Y17" s="15">
        <f>CM17/CM$13</f>
        <v>0.53235908141962418</v>
      </c>
      <c r="Z17" s="15">
        <f t="shared" si="2"/>
        <v>0.55648535564853552</v>
      </c>
      <c r="AA17" s="15">
        <f t="shared" si="27"/>
        <v>0.52075471698113207</v>
      </c>
      <c r="AB17" s="51"/>
      <c r="AD17" s="3"/>
      <c r="AE17" s="35" t="s">
        <v>88</v>
      </c>
      <c r="AF17" s="41">
        <f t="shared" ref="AF17:CF17" si="29">SUM(AF14:AF16)</f>
        <v>90</v>
      </c>
      <c r="AG17" s="41">
        <f t="shared" si="29"/>
        <v>125</v>
      </c>
      <c r="AH17" s="41">
        <f t="shared" si="29"/>
        <v>215</v>
      </c>
      <c r="AI17" s="41">
        <f t="shared" si="29"/>
        <v>73</v>
      </c>
      <c r="AJ17" s="41">
        <f t="shared" si="29"/>
        <v>75</v>
      </c>
      <c r="AK17" s="41">
        <f t="shared" si="29"/>
        <v>148</v>
      </c>
      <c r="AL17" s="41">
        <f t="shared" si="29"/>
        <v>66</v>
      </c>
      <c r="AM17" s="41">
        <f t="shared" si="29"/>
        <v>81</v>
      </c>
      <c r="AN17" s="41">
        <f t="shared" si="29"/>
        <v>147</v>
      </c>
      <c r="AO17" s="41">
        <f t="shared" si="29"/>
        <v>73</v>
      </c>
      <c r="AP17" s="41">
        <f t="shared" si="29"/>
        <v>122</v>
      </c>
      <c r="AQ17" s="41">
        <f t="shared" si="29"/>
        <v>195</v>
      </c>
      <c r="AR17" s="41">
        <f t="shared" si="29"/>
        <v>70</v>
      </c>
      <c r="AS17" s="41">
        <f t="shared" si="29"/>
        <v>118</v>
      </c>
      <c r="AT17" s="41">
        <f t="shared" si="29"/>
        <v>188</v>
      </c>
      <c r="AU17" s="41">
        <f t="shared" si="29"/>
        <v>87</v>
      </c>
      <c r="AV17" s="41">
        <f t="shared" si="29"/>
        <v>141</v>
      </c>
      <c r="AW17" s="41">
        <f t="shared" si="29"/>
        <v>228</v>
      </c>
      <c r="AX17" s="41">
        <f t="shared" si="29"/>
        <v>61</v>
      </c>
      <c r="AY17" s="41">
        <f t="shared" si="29"/>
        <v>115</v>
      </c>
      <c r="AZ17" s="41">
        <f t="shared" si="29"/>
        <v>176</v>
      </c>
      <c r="BA17" s="41">
        <f t="shared" si="29"/>
        <v>112</v>
      </c>
      <c r="BB17" s="41">
        <f t="shared" si="29"/>
        <v>126</v>
      </c>
      <c r="BC17" s="41">
        <f t="shared" si="29"/>
        <v>238</v>
      </c>
      <c r="BD17" s="41">
        <f t="shared" si="29"/>
        <v>96</v>
      </c>
      <c r="BE17" s="41">
        <f t="shared" si="29"/>
        <v>135</v>
      </c>
      <c r="BF17" s="41">
        <f t="shared" si="29"/>
        <v>231</v>
      </c>
      <c r="BG17" s="41">
        <f t="shared" si="29"/>
        <v>84</v>
      </c>
      <c r="BH17" s="41">
        <f t="shared" si="29"/>
        <v>127</v>
      </c>
      <c r="BI17" s="41">
        <f t="shared" si="29"/>
        <v>211</v>
      </c>
      <c r="BJ17" s="41">
        <f t="shared" si="29"/>
        <v>76</v>
      </c>
      <c r="BK17" s="41">
        <f t="shared" si="29"/>
        <v>147</v>
      </c>
      <c r="BL17" s="41">
        <f t="shared" si="29"/>
        <v>223</v>
      </c>
      <c r="BM17" s="41">
        <f t="shared" si="29"/>
        <v>80</v>
      </c>
      <c r="BN17" s="41">
        <f t="shared" si="29"/>
        <v>117</v>
      </c>
      <c r="BO17" s="41">
        <f t="shared" si="29"/>
        <v>197</v>
      </c>
      <c r="BP17" s="41">
        <f t="shared" si="29"/>
        <v>63</v>
      </c>
      <c r="BQ17" s="41">
        <f t="shared" si="29"/>
        <v>128</v>
      </c>
      <c r="BR17" s="41">
        <f t="shared" si="29"/>
        <v>191</v>
      </c>
      <c r="BS17" s="41">
        <f t="shared" si="29"/>
        <v>61</v>
      </c>
      <c r="BT17" s="41">
        <f t="shared" si="29"/>
        <v>110</v>
      </c>
      <c r="BU17" s="41">
        <f t="shared" si="29"/>
        <v>171</v>
      </c>
      <c r="BV17" s="41">
        <f t="shared" si="29"/>
        <v>97</v>
      </c>
      <c r="BW17" s="41">
        <f t="shared" si="29"/>
        <v>154</v>
      </c>
      <c r="BX17" s="41">
        <f t="shared" si="29"/>
        <v>251</v>
      </c>
      <c r="BY17" s="41">
        <f t="shared" si="29"/>
        <v>83</v>
      </c>
      <c r="BZ17" s="41">
        <f t="shared" si="29"/>
        <v>139</v>
      </c>
      <c r="CA17" s="41">
        <f t="shared" si="29"/>
        <v>222</v>
      </c>
      <c r="CB17" s="41">
        <f t="shared" si="29"/>
        <v>75</v>
      </c>
      <c r="CC17" s="41">
        <f t="shared" si="29"/>
        <v>136</v>
      </c>
      <c r="CD17" s="41">
        <f t="shared" si="29"/>
        <v>211</v>
      </c>
      <c r="CE17" s="41">
        <f t="shared" si="29"/>
        <v>71</v>
      </c>
      <c r="CF17" s="41">
        <f t="shared" si="29"/>
        <v>111</v>
      </c>
      <c r="CG17" s="41">
        <f>SUM(CG14:CG16)</f>
        <v>182</v>
      </c>
      <c r="CH17" s="41">
        <f t="shared" ref="CH17:CI17" si="30">SUM(CH14:CH16)</f>
        <v>74</v>
      </c>
      <c r="CI17" s="41">
        <f t="shared" si="30"/>
        <v>129</v>
      </c>
      <c r="CJ17" s="41">
        <f>SUM(CJ14:CJ16)</f>
        <v>203</v>
      </c>
      <c r="CK17" s="41">
        <f>SUM(CK14:CK16)</f>
        <v>99</v>
      </c>
      <c r="CL17" s="41">
        <f t="shared" ref="CL17" si="31">SUM(CL14:CL16)</f>
        <v>156</v>
      </c>
      <c r="CM17" s="41">
        <f>SUM(CM14:CM16)</f>
        <v>255</v>
      </c>
      <c r="CN17" s="41">
        <f>SUM(CN14:CN16)</f>
        <v>104</v>
      </c>
      <c r="CO17" s="41">
        <f t="shared" ref="CO17" si="32">SUM(CO14:CO16)</f>
        <v>162</v>
      </c>
      <c r="CP17" s="41">
        <f>SUM(CP14:CP16)</f>
        <v>266</v>
      </c>
      <c r="CQ17" s="41">
        <f>SUM(CQ14:CQ16)</f>
        <v>113</v>
      </c>
      <c r="CR17" s="41">
        <f>SUM(CR14:CR16)</f>
        <v>163</v>
      </c>
      <c r="CS17" s="41">
        <f>SUM(CS14:CS16)</f>
        <v>276</v>
      </c>
    </row>
    <row r="18" spans="1:97" ht="13.5" customHeight="1" x14ac:dyDescent="0.25">
      <c r="A18" s="23"/>
      <c r="C18" s="4" t="s">
        <v>96</v>
      </c>
      <c r="D18" s="3"/>
      <c r="E18" s="38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37"/>
      <c r="X18" s="37"/>
      <c r="Y18" s="37"/>
      <c r="Z18" s="37"/>
      <c r="AA18" s="37"/>
      <c r="AB18" s="52"/>
      <c r="AD18" s="3"/>
      <c r="AE18" s="3"/>
      <c r="AF18" s="85" t="s">
        <v>96</v>
      </c>
      <c r="AG18" s="85"/>
      <c r="AH18" s="85"/>
      <c r="AI18" s="85"/>
      <c r="AJ18" s="85"/>
      <c r="AK18" s="85"/>
      <c r="AL18" s="85"/>
      <c r="AM18" s="85"/>
      <c r="AN18" s="85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</row>
    <row r="19" spans="1:97" ht="13.5" customHeight="1" x14ac:dyDescent="0.2">
      <c r="A19" s="23"/>
      <c r="D19" s="3" t="s">
        <v>65</v>
      </c>
      <c r="E19" s="4"/>
      <c r="F19" s="11">
        <f>AH19</f>
        <v>84</v>
      </c>
      <c r="G19" s="11">
        <f>AK19</f>
        <v>62</v>
      </c>
      <c r="H19" s="11">
        <f>AN19</f>
        <v>72</v>
      </c>
      <c r="I19" s="11">
        <f>AQ19</f>
        <v>52</v>
      </c>
      <c r="J19" s="11">
        <f>AT19</f>
        <v>83</v>
      </c>
      <c r="K19" s="11">
        <f>AW19</f>
        <v>97</v>
      </c>
      <c r="L19" s="11">
        <f>AZ19</f>
        <v>48</v>
      </c>
      <c r="M19" s="11">
        <f>BC19</f>
        <v>47</v>
      </c>
      <c r="N19" s="11">
        <f>BF19</f>
        <v>66</v>
      </c>
      <c r="O19" s="11">
        <f>BI19</f>
        <v>46</v>
      </c>
      <c r="P19" s="11">
        <f>BL19</f>
        <v>66</v>
      </c>
      <c r="Q19" s="11">
        <f>BO19</f>
        <v>47</v>
      </c>
      <c r="R19" s="11">
        <f>BR19</f>
        <v>59</v>
      </c>
      <c r="S19" s="11">
        <f>BU19</f>
        <v>70</v>
      </c>
      <c r="T19" s="11">
        <f>BX19</f>
        <v>88</v>
      </c>
      <c r="U19" s="11">
        <f>CA19</f>
        <v>99</v>
      </c>
      <c r="V19" s="11">
        <f t="shared" ref="V19" si="33">CD19</f>
        <v>101</v>
      </c>
      <c r="W19" s="11">
        <f>CG19</f>
        <v>88</v>
      </c>
      <c r="X19" s="11">
        <f>CJ19</f>
        <v>131</v>
      </c>
      <c r="Y19" s="11">
        <f>CM19</f>
        <v>100</v>
      </c>
      <c r="Z19" s="11">
        <f>CP19</f>
        <v>114</v>
      </c>
      <c r="AA19" s="11">
        <f>CS19</f>
        <v>109</v>
      </c>
      <c r="AB19" s="12"/>
      <c r="AC19" s="13"/>
      <c r="AD19" s="3" t="s">
        <v>65</v>
      </c>
      <c r="AE19" s="3"/>
      <c r="AF19" s="41">
        <v>28</v>
      </c>
      <c r="AG19" s="41">
        <v>56</v>
      </c>
      <c r="AH19" s="41">
        <f>AF19+AG19</f>
        <v>84</v>
      </c>
      <c r="AI19" s="41">
        <v>22</v>
      </c>
      <c r="AJ19" s="41">
        <v>40</v>
      </c>
      <c r="AK19" s="41">
        <f>AI19+AJ19</f>
        <v>62</v>
      </c>
      <c r="AL19" s="41">
        <v>25</v>
      </c>
      <c r="AM19" s="41">
        <v>47</v>
      </c>
      <c r="AN19" s="41">
        <f>AL19+AM19</f>
        <v>72</v>
      </c>
      <c r="AO19" s="41">
        <f>7+1+2</f>
        <v>10</v>
      </c>
      <c r="AP19" s="41">
        <f>39+1+2</f>
        <v>42</v>
      </c>
      <c r="AQ19" s="41">
        <f>AO19+AP19</f>
        <v>52</v>
      </c>
      <c r="AR19" s="41">
        <f>24+0+1</f>
        <v>25</v>
      </c>
      <c r="AS19" s="41">
        <f>55+1+2</f>
        <v>58</v>
      </c>
      <c r="AT19" s="41">
        <f>AR19+AS19</f>
        <v>83</v>
      </c>
      <c r="AU19" s="41">
        <f>27+2</f>
        <v>29</v>
      </c>
      <c r="AV19" s="41">
        <f>64+1+3</f>
        <v>68</v>
      </c>
      <c r="AW19" s="41">
        <f>AU19+AV19</f>
        <v>97</v>
      </c>
      <c r="AX19" s="41">
        <f>14+0+1</f>
        <v>15</v>
      </c>
      <c r="AY19" s="41">
        <f>28+0+5</f>
        <v>33</v>
      </c>
      <c r="AZ19" s="41">
        <f>AX19+AY19</f>
        <v>48</v>
      </c>
      <c r="BA19" s="41">
        <f>15+0+2</f>
        <v>17</v>
      </c>
      <c r="BB19" s="41">
        <f>27+0+3</f>
        <v>30</v>
      </c>
      <c r="BC19" s="41">
        <f>BA19+BB19</f>
        <v>47</v>
      </c>
      <c r="BD19" s="41">
        <f>19+0+0</f>
        <v>19</v>
      </c>
      <c r="BE19" s="41">
        <f>41+0+6</f>
        <v>47</v>
      </c>
      <c r="BF19" s="41">
        <f>BD19+BE19</f>
        <v>66</v>
      </c>
      <c r="BG19" s="41">
        <f>10+0+1</f>
        <v>11</v>
      </c>
      <c r="BH19" s="41">
        <f>25+6+4</f>
        <v>35</v>
      </c>
      <c r="BI19" s="41">
        <f>BG19+BH19</f>
        <v>46</v>
      </c>
      <c r="BJ19" s="41">
        <f>11+0+2</f>
        <v>13</v>
      </c>
      <c r="BK19" s="41">
        <f>49+1+3</f>
        <v>53</v>
      </c>
      <c r="BL19" s="41">
        <f>BJ19+BK19</f>
        <v>66</v>
      </c>
      <c r="BM19" s="41">
        <f>14+0+1</f>
        <v>15</v>
      </c>
      <c r="BN19" s="41">
        <f>32+0+0</f>
        <v>32</v>
      </c>
      <c r="BO19" s="41">
        <f>BM19+BN19</f>
        <v>47</v>
      </c>
      <c r="BP19" s="41">
        <f>18+1+1</f>
        <v>20</v>
      </c>
      <c r="BQ19" s="41">
        <f>35+0+4</f>
        <v>39</v>
      </c>
      <c r="BR19" s="41">
        <f>BP19+BQ19</f>
        <v>59</v>
      </c>
      <c r="BS19" s="41">
        <f>12+3+1</f>
        <v>16</v>
      </c>
      <c r="BT19" s="41">
        <f>50+3+1</f>
        <v>54</v>
      </c>
      <c r="BU19" s="41">
        <f>BS19+BT19</f>
        <v>70</v>
      </c>
      <c r="BV19" s="41">
        <f>18+7+0</f>
        <v>25</v>
      </c>
      <c r="BW19" s="41">
        <f>56+6+1</f>
        <v>63</v>
      </c>
      <c r="BX19" s="41">
        <f>BV19+BW19</f>
        <v>88</v>
      </c>
      <c r="BY19" s="41">
        <f>29+4+0</f>
        <v>33</v>
      </c>
      <c r="BZ19" s="41">
        <f>62+3+1</f>
        <v>66</v>
      </c>
      <c r="CA19" s="41">
        <f>BY19+BZ19</f>
        <v>99</v>
      </c>
      <c r="CB19" s="41">
        <f>20+1+1</f>
        <v>22</v>
      </c>
      <c r="CC19" s="41">
        <f>75+4+0</f>
        <v>79</v>
      </c>
      <c r="CD19" s="41">
        <f>CB19+CC19</f>
        <v>101</v>
      </c>
      <c r="CE19" s="41">
        <f>27+1+0</f>
        <v>28</v>
      </c>
      <c r="CF19" s="41">
        <f>57+2+1</f>
        <v>60</v>
      </c>
      <c r="CG19" s="41">
        <f>CE19+CF19</f>
        <v>88</v>
      </c>
      <c r="CH19" s="41">
        <f>35+3+1</f>
        <v>39</v>
      </c>
      <c r="CI19" s="41">
        <f>88+4+0</f>
        <v>92</v>
      </c>
      <c r="CJ19" s="41">
        <f>CH19+CI19</f>
        <v>131</v>
      </c>
      <c r="CK19" s="41">
        <f>23+5+0</f>
        <v>28</v>
      </c>
      <c r="CL19" s="41">
        <f>68+3+1</f>
        <v>72</v>
      </c>
      <c r="CM19" s="41">
        <f>CK19+CL19</f>
        <v>100</v>
      </c>
      <c r="CN19" s="41">
        <f>24+5+2</f>
        <v>31</v>
      </c>
      <c r="CO19" s="41">
        <f>71+8+4</f>
        <v>83</v>
      </c>
      <c r="CP19" s="41">
        <f>CN19+CO19</f>
        <v>114</v>
      </c>
      <c r="CQ19" s="41">
        <f>22+8+1</f>
        <v>31</v>
      </c>
      <c r="CR19" s="41">
        <f>69+5+4</f>
        <v>78</v>
      </c>
      <c r="CS19" s="41">
        <f>CQ19+CR19</f>
        <v>109</v>
      </c>
    </row>
    <row r="20" spans="1:97" ht="13.5" customHeight="1" x14ac:dyDescent="0.2">
      <c r="A20" s="23"/>
      <c r="D20" s="15" t="s">
        <v>59</v>
      </c>
      <c r="E20" s="3" t="s">
        <v>60</v>
      </c>
      <c r="F20" s="15">
        <f>IF(AH19&gt;0,(AH20/AH19),"")</f>
        <v>2.3809523809523808E-2</v>
      </c>
      <c r="G20" s="15">
        <f>IF(AK19&gt;0,(AK20/AK19),"")</f>
        <v>9.6774193548387094E-2</v>
      </c>
      <c r="H20" s="15">
        <f>IF(AN19&gt;0,(AN20/AN19),"")</f>
        <v>2.7777777777777776E-2</v>
      </c>
      <c r="I20" s="15">
        <f>IF(AQ19&gt;0,(AQ20/AQ19),"")</f>
        <v>3.8461538461538464E-2</v>
      </c>
      <c r="J20" s="15">
        <f>IF(AT19&gt;0,(AT20/AT19),"")</f>
        <v>6.0240963855421686E-2</v>
      </c>
      <c r="K20" s="15">
        <f>IF(AW19&gt;0,(AW20/AW19),"")</f>
        <v>2.0618556701030927E-2</v>
      </c>
      <c r="L20" s="15">
        <f>IF(AZ19&gt;0,(AZ20/AZ19),"")</f>
        <v>6.25E-2</v>
      </c>
      <c r="M20" s="15">
        <f>IF(BC19&gt;0,(BC20/BC19),"")</f>
        <v>0.10638297872340426</v>
      </c>
      <c r="N20" s="15">
        <f>IF(BF19&gt;0,(BF20/BF19),"")</f>
        <v>0.12121212121212122</v>
      </c>
      <c r="O20" s="15">
        <f>IF(BI19&gt;0,(BI20/BI19),"")</f>
        <v>0.10869565217391304</v>
      </c>
      <c r="P20" s="15">
        <f>IF(BL19&gt;0,(BL20/BL19),"")</f>
        <v>6.0606060606060608E-2</v>
      </c>
      <c r="Q20" s="15">
        <f>IF(BO19&gt;0,(BO20/BO19),"")</f>
        <v>8.5106382978723402E-2</v>
      </c>
      <c r="R20" s="15">
        <f>IF(BR19&gt;0,(BR20/BR19),"")</f>
        <v>0.11864406779661017</v>
      </c>
      <c r="S20" s="15">
        <f>IF(BU19&gt;0,(BU20/BU19),"")</f>
        <v>0.14285714285714285</v>
      </c>
      <c r="T20" s="15">
        <f>IF(BX19&gt;0,(BX20/BX19),"")</f>
        <v>0.11363636363636363</v>
      </c>
      <c r="U20" s="15">
        <f>IF(CA19&gt;0,(CA20/CA19),"")</f>
        <v>0.13131313131313133</v>
      </c>
      <c r="V20" s="15">
        <f t="shared" ref="V20" si="34">IF(CD19&gt;0,(CD20/CD19),"")</f>
        <v>0.11881188118811881</v>
      </c>
      <c r="W20" s="15">
        <f>CG20/CG$19</f>
        <v>4.5454545454545456E-2</v>
      </c>
      <c r="X20" s="15">
        <f>CJ20/CJ$19</f>
        <v>7.6335877862595422E-2</v>
      </c>
      <c r="Y20" s="15">
        <f>CM20/CM$19</f>
        <v>0.09</v>
      </c>
      <c r="Z20" s="15">
        <f t="shared" ref="Z20:Z23" si="35">CP20/CP$19</f>
        <v>0.21929824561403508</v>
      </c>
      <c r="AA20" s="15">
        <f>CS20/CS$19</f>
        <v>0.16513761467889909</v>
      </c>
      <c r="AB20" s="50"/>
      <c r="AD20" s="15" t="s">
        <v>59</v>
      </c>
      <c r="AE20" s="3" t="s">
        <v>60</v>
      </c>
      <c r="AF20" s="41">
        <v>0</v>
      </c>
      <c r="AG20" s="41">
        <v>2</v>
      </c>
      <c r="AH20" s="41">
        <f t="shared" ref="AH20:AH22" si="36">AF20+AG20</f>
        <v>2</v>
      </c>
      <c r="AI20" s="41">
        <v>2</v>
      </c>
      <c r="AJ20" s="41">
        <v>4</v>
      </c>
      <c r="AK20" s="41">
        <f t="shared" ref="AK20:AK22" si="37">AI20+AJ20</f>
        <v>6</v>
      </c>
      <c r="AL20" s="41">
        <v>0</v>
      </c>
      <c r="AM20" s="41">
        <v>2</v>
      </c>
      <c r="AN20" s="41">
        <f t="shared" ref="AN20:AN22" si="38">AL20+AM20</f>
        <v>2</v>
      </c>
      <c r="AO20" s="41">
        <f>0+0+0</f>
        <v>0</v>
      </c>
      <c r="AP20" s="41">
        <f>2+0+0</f>
        <v>2</v>
      </c>
      <c r="AQ20" s="41">
        <f t="shared" ref="AQ20:AQ22" si="39">AO20+AP20</f>
        <v>2</v>
      </c>
      <c r="AR20" s="41">
        <f>0+0+0</f>
        <v>0</v>
      </c>
      <c r="AS20" s="41">
        <f>5+0+0</f>
        <v>5</v>
      </c>
      <c r="AT20" s="41">
        <f t="shared" ref="AT20:AT22" si="40">AR20+AS20</f>
        <v>5</v>
      </c>
      <c r="AU20" s="41">
        <v>1</v>
      </c>
      <c r="AV20" s="41">
        <v>1</v>
      </c>
      <c r="AW20" s="41">
        <f t="shared" ref="AW20:AW22" si="41">AU20+AV20</f>
        <v>2</v>
      </c>
      <c r="AX20" s="41">
        <f>1+0+0</f>
        <v>1</v>
      </c>
      <c r="AY20" s="41">
        <f>2+0+0</f>
        <v>2</v>
      </c>
      <c r="AZ20" s="41">
        <f t="shared" ref="AZ20:AZ22" si="42">AX20+AY20</f>
        <v>3</v>
      </c>
      <c r="BA20" s="41">
        <f>1+0+0</f>
        <v>1</v>
      </c>
      <c r="BB20" s="41">
        <f>3+0+1</f>
        <v>4</v>
      </c>
      <c r="BC20" s="41">
        <f t="shared" ref="BC20:BC22" si="43">BA20+BB20</f>
        <v>5</v>
      </c>
      <c r="BD20" s="41">
        <f>0+0+0</f>
        <v>0</v>
      </c>
      <c r="BE20" s="41">
        <f>6+0+2</f>
        <v>8</v>
      </c>
      <c r="BF20" s="41">
        <f t="shared" ref="BF20:BF22" si="44">BD20+BE20</f>
        <v>8</v>
      </c>
      <c r="BG20" s="41">
        <f>0+0+0</f>
        <v>0</v>
      </c>
      <c r="BH20" s="41">
        <f>4+1+0</f>
        <v>5</v>
      </c>
      <c r="BI20" s="41">
        <f t="shared" ref="BI20:BI22" si="45">BG20+BH20</f>
        <v>5</v>
      </c>
      <c r="BJ20" s="41">
        <f>0+0+0</f>
        <v>0</v>
      </c>
      <c r="BK20" s="41">
        <f>4+0+0</f>
        <v>4</v>
      </c>
      <c r="BL20" s="41">
        <f t="shared" ref="BL20:BL22" si="46">BJ20+BK20</f>
        <v>4</v>
      </c>
      <c r="BM20" s="41">
        <f>1+0+0</f>
        <v>1</v>
      </c>
      <c r="BN20" s="41">
        <f>3+0+0</f>
        <v>3</v>
      </c>
      <c r="BO20" s="41">
        <f t="shared" ref="BO20:BO22" si="47">BM20+BN20</f>
        <v>4</v>
      </c>
      <c r="BP20" s="41">
        <f>2+0+0</f>
        <v>2</v>
      </c>
      <c r="BQ20" s="41">
        <f>5+0+0</f>
        <v>5</v>
      </c>
      <c r="BR20" s="41">
        <f t="shared" ref="BR20:BR22" si="48">BP20+BQ20</f>
        <v>7</v>
      </c>
      <c r="BS20" s="41">
        <f>0+0+0</f>
        <v>0</v>
      </c>
      <c r="BT20" s="41">
        <f>9+1+0</f>
        <v>10</v>
      </c>
      <c r="BU20" s="41">
        <f t="shared" ref="BU20:BU22" si="49">BS20+BT20</f>
        <v>10</v>
      </c>
      <c r="BV20" s="41">
        <f>1+1+0</f>
        <v>2</v>
      </c>
      <c r="BW20" s="41">
        <f>6+1+1</f>
        <v>8</v>
      </c>
      <c r="BX20" s="41">
        <f t="shared" ref="BX20:BX22" si="50">BV20+BW20</f>
        <v>10</v>
      </c>
      <c r="BY20" s="41">
        <f>2+0+0</f>
        <v>2</v>
      </c>
      <c r="BZ20" s="41">
        <f>9+1+1</f>
        <v>11</v>
      </c>
      <c r="CA20" s="41">
        <f t="shared" ref="CA20:CA22" si="51">BY20+BZ20</f>
        <v>13</v>
      </c>
      <c r="CB20" s="41">
        <f>2+0+0</f>
        <v>2</v>
      </c>
      <c r="CC20" s="41">
        <f>8+2+0</f>
        <v>10</v>
      </c>
      <c r="CD20" s="41">
        <f t="shared" ref="CD20:CD22" si="52">CB20+CC20</f>
        <v>12</v>
      </c>
      <c r="CE20" s="41">
        <f>1+0+0</f>
        <v>1</v>
      </c>
      <c r="CF20" s="41">
        <f>3+0+0</f>
        <v>3</v>
      </c>
      <c r="CG20" s="41">
        <f t="shared" ref="CG20" si="53">CE20+CF20</f>
        <v>4</v>
      </c>
      <c r="CH20" s="41">
        <f>5+0+0</f>
        <v>5</v>
      </c>
      <c r="CI20" s="41">
        <f>5+0+0</f>
        <v>5</v>
      </c>
      <c r="CJ20" s="41">
        <f>CH20+CI20</f>
        <v>10</v>
      </c>
      <c r="CK20" s="41">
        <f>1+0+0</f>
        <v>1</v>
      </c>
      <c r="CL20" s="41">
        <f>6+2+0</f>
        <v>8</v>
      </c>
      <c r="CM20" s="41">
        <f t="shared" ref="CM20" si="54">CK20+CL20</f>
        <v>9</v>
      </c>
      <c r="CN20" s="41">
        <f>2+2+1</f>
        <v>5</v>
      </c>
      <c r="CO20" s="41">
        <f>19+0+1</f>
        <v>20</v>
      </c>
      <c r="CP20" s="41">
        <f t="shared" ref="CP20" si="55">CN20+CO20</f>
        <v>25</v>
      </c>
      <c r="CQ20" s="41">
        <f>3+1+0</f>
        <v>4</v>
      </c>
      <c r="CR20" s="41">
        <f>12+0+2</f>
        <v>14</v>
      </c>
      <c r="CS20" s="41">
        <f t="shared" ref="CS20" si="56">CQ20+CR20</f>
        <v>18</v>
      </c>
    </row>
    <row r="21" spans="1:97" ht="13.5" customHeight="1" x14ac:dyDescent="0.2">
      <c r="A21" s="23"/>
      <c r="D21" s="3"/>
      <c r="E21" s="3" t="s">
        <v>61</v>
      </c>
      <c r="F21" s="15">
        <f>IF(AH19&gt;0,(AH21/AH19),"")</f>
        <v>0.19047619047619047</v>
      </c>
      <c r="G21" s="15">
        <f>IF(AK19&gt;0,(AK21/AK19),"")</f>
        <v>0.11290322580645161</v>
      </c>
      <c r="H21" s="15">
        <f>IF(AN19&gt;0,(AN21/AN19),"")</f>
        <v>8.3333333333333329E-2</v>
      </c>
      <c r="I21" s="15">
        <f>IF(AQ19&gt;0,(AQ21/AQ19),"")</f>
        <v>0.11538461538461539</v>
      </c>
      <c r="J21" s="15">
        <f>IF(AT19&gt;0,(AT21/AT19),"")</f>
        <v>0.10843373493975904</v>
      </c>
      <c r="K21" s="15">
        <f>IF(AW19&gt;0,(AW21/AW19),"")</f>
        <v>0.10309278350515463</v>
      </c>
      <c r="L21" s="15">
        <f>IF(AZ19&gt;0,(AZ21/AZ19),"")</f>
        <v>0.14583333333333334</v>
      </c>
      <c r="M21" s="15">
        <f>IF(BC19&gt;0,(BC21/BC19),"")</f>
        <v>0.21276595744680851</v>
      </c>
      <c r="N21" s="15">
        <f>IF(BF19&gt;0,(BF21/BF19),"")</f>
        <v>7.575757575757576E-2</v>
      </c>
      <c r="O21" s="15">
        <f>IF(BI19&gt;0,(BI21/BI19),"")</f>
        <v>0.19565217391304349</v>
      </c>
      <c r="P21" s="15">
        <f>IF(BL19&gt;0,(BL21/BL19),"")</f>
        <v>0.18181818181818182</v>
      </c>
      <c r="Q21" s="15">
        <f>IF(BO19&gt;0,(BO21/BO19),"")</f>
        <v>0.19148936170212766</v>
      </c>
      <c r="R21" s="15">
        <f>IF(BR19&gt;0,(BR21/BR19),"")</f>
        <v>0.10169491525423729</v>
      </c>
      <c r="S21" s="15">
        <f>IF(BU19&gt;0,(BU21/BU19),"")</f>
        <v>7.1428571428571425E-2</v>
      </c>
      <c r="T21" s="15">
        <f>IF(BX19&gt;0,(BX21/BX19),"")</f>
        <v>0.21590909090909091</v>
      </c>
      <c r="U21" s="15">
        <f>IF(CA19&gt;0,(CA21/CA19),"")</f>
        <v>0.19191919191919191</v>
      </c>
      <c r="V21" s="15">
        <f t="shared" ref="V21" si="57">IF(CD19&gt;0,(CD21/CD19),"")</f>
        <v>0.11881188118811881</v>
      </c>
      <c r="W21" s="15">
        <f>CG21/CG$19</f>
        <v>0.14772727272727273</v>
      </c>
      <c r="X21" s="15">
        <f>CJ21/CJ$19</f>
        <v>0.15267175572519084</v>
      </c>
      <c r="Y21" s="15">
        <f>CM21/CM$19</f>
        <v>0.21</v>
      </c>
      <c r="Z21" s="15">
        <f t="shared" si="35"/>
        <v>0.17543859649122806</v>
      </c>
      <c r="AA21" s="15">
        <f>CS21/CS$19</f>
        <v>0.13761467889908258</v>
      </c>
      <c r="AB21" s="50"/>
      <c r="AD21" s="3"/>
      <c r="AE21" s="3" t="s">
        <v>61</v>
      </c>
      <c r="AF21" s="41">
        <v>4</v>
      </c>
      <c r="AG21" s="41">
        <v>12</v>
      </c>
      <c r="AH21" s="41">
        <f t="shared" si="36"/>
        <v>16</v>
      </c>
      <c r="AI21" s="41">
        <v>6</v>
      </c>
      <c r="AJ21" s="41">
        <v>1</v>
      </c>
      <c r="AK21" s="41">
        <f t="shared" si="37"/>
        <v>7</v>
      </c>
      <c r="AL21" s="41">
        <v>2</v>
      </c>
      <c r="AM21" s="41">
        <v>4</v>
      </c>
      <c r="AN21" s="41">
        <f t="shared" si="38"/>
        <v>6</v>
      </c>
      <c r="AO21" s="41">
        <f>1+0+0</f>
        <v>1</v>
      </c>
      <c r="AP21" s="41">
        <f>5+0+0</f>
        <v>5</v>
      </c>
      <c r="AQ21" s="41">
        <f t="shared" si="39"/>
        <v>6</v>
      </c>
      <c r="AR21" s="41">
        <f>2+0+0</f>
        <v>2</v>
      </c>
      <c r="AS21" s="41">
        <f>6+1+0</f>
        <v>7</v>
      </c>
      <c r="AT21" s="41">
        <f t="shared" si="40"/>
        <v>9</v>
      </c>
      <c r="AU21" s="41">
        <f>3</f>
        <v>3</v>
      </c>
      <c r="AV21" s="41">
        <v>7</v>
      </c>
      <c r="AW21" s="41">
        <f t="shared" si="41"/>
        <v>10</v>
      </c>
      <c r="AX21" s="41">
        <f>0+0+0</f>
        <v>0</v>
      </c>
      <c r="AY21" s="41">
        <f>5+0+2</f>
        <v>7</v>
      </c>
      <c r="AZ21" s="41">
        <f t="shared" si="42"/>
        <v>7</v>
      </c>
      <c r="BA21" s="41">
        <f>2+0+1</f>
        <v>3</v>
      </c>
      <c r="BB21" s="41">
        <f>6+0+1</f>
        <v>7</v>
      </c>
      <c r="BC21" s="41">
        <f t="shared" si="43"/>
        <v>10</v>
      </c>
      <c r="BD21" s="41">
        <f>0+0+0</f>
        <v>0</v>
      </c>
      <c r="BE21" s="41">
        <f>4+0+1</f>
        <v>5</v>
      </c>
      <c r="BF21" s="41">
        <f t="shared" si="44"/>
        <v>5</v>
      </c>
      <c r="BG21" s="41">
        <f>2+0+0</f>
        <v>2</v>
      </c>
      <c r="BH21" s="41">
        <f>7+0+0</f>
        <v>7</v>
      </c>
      <c r="BI21" s="41">
        <f t="shared" si="45"/>
        <v>9</v>
      </c>
      <c r="BJ21" s="41">
        <f>0+0+0</f>
        <v>0</v>
      </c>
      <c r="BK21" s="41">
        <f>11+0+1</f>
        <v>12</v>
      </c>
      <c r="BL21" s="41">
        <f t="shared" si="46"/>
        <v>12</v>
      </c>
      <c r="BM21" s="41">
        <f>3+0+0</f>
        <v>3</v>
      </c>
      <c r="BN21" s="41">
        <f>6+0+0</f>
        <v>6</v>
      </c>
      <c r="BO21" s="41">
        <f t="shared" si="47"/>
        <v>9</v>
      </c>
      <c r="BP21" s="41">
        <f>2+0+1</f>
        <v>3</v>
      </c>
      <c r="BQ21" s="41">
        <f>2+0+1</f>
        <v>3</v>
      </c>
      <c r="BR21" s="41">
        <f t="shared" si="48"/>
        <v>6</v>
      </c>
      <c r="BS21" s="41">
        <f>0+0+0</f>
        <v>0</v>
      </c>
      <c r="BT21" s="41">
        <f>5+0+0</f>
        <v>5</v>
      </c>
      <c r="BU21" s="41">
        <f t="shared" si="49"/>
        <v>5</v>
      </c>
      <c r="BV21" s="41">
        <f>3+1+0</f>
        <v>4</v>
      </c>
      <c r="BW21" s="41">
        <f>12+3+0</f>
        <v>15</v>
      </c>
      <c r="BX21" s="41">
        <f t="shared" si="50"/>
        <v>19</v>
      </c>
      <c r="BY21" s="41">
        <f>5+2+0</f>
        <v>7</v>
      </c>
      <c r="BZ21" s="41">
        <f>11+1+0</f>
        <v>12</v>
      </c>
      <c r="CA21" s="41">
        <f t="shared" si="51"/>
        <v>19</v>
      </c>
      <c r="CB21" s="41">
        <f>0+0+1</f>
        <v>1</v>
      </c>
      <c r="CC21" s="41">
        <f>10+1+0</f>
        <v>11</v>
      </c>
      <c r="CD21" s="41">
        <f t="shared" si="52"/>
        <v>12</v>
      </c>
      <c r="CE21" s="41">
        <f>5+1+0</f>
        <v>6</v>
      </c>
      <c r="CF21" s="41">
        <f>6+1+0</f>
        <v>7</v>
      </c>
      <c r="CG21" s="41">
        <f>CE21+CF21</f>
        <v>13</v>
      </c>
      <c r="CH21" s="41">
        <f>6+0+0</f>
        <v>6</v>
      </c>
      <c r="CI21" s="41">
        <f>13+1+0</f>
        <v>14</v>
      </c>
      <c r="CJ21" s="41">
        <f>CH21+CI21</f>
        <v>20</v>
      </c>
      <c r="CK21" s="41">
        <f>7+1+0</f>
        <v>8</v>
      </c>
      <c r="CL21" s="41">
        <f>13+0+0</f>
        <v>13</v>
      </c>
      <c r="CM21" s="41">
        <f>CK21+CL21</f>
        <v>21</v>
      </c>
      <c r="CN21" s="41">
        <f>4+0+0</f>
        <v>4</v>
      </c>
      <c r="CO21" s="41">
        <f>12+2+2</f>
        <v>16</v>
      </c>
      <c r="CP21" s="41">
        <f>CN21+CO21</f>
        <v>20</v>
      </c>
      <c r="CQ21" s="41">
        <f>5+1+0</f>
        <v>6</v>
      </c>
      <c r="CR21" s="41">
        <f>7+1+1</f>
        <v>9</v>
      </c>
      <c r="CS21" s="41">
        <f>CQ21+CR21</f>
        <v>15</v>
      </c>
    </row>
    <row r="22" spans="1:97" ht="13.5" customHeight="1" x14ac:dyDescent="0.2">
      <c r="A22" s="23"/>
      <c r="D22" s="3"/>
      <c r="E22" s="3" t="s">
        <v>62</v>
      </c>
      <c r="F22" s="18">
        <f>IF(AH19&gt;0,(AH22/AH19),"")</f>
        <v>1.1904761904761904E-2</v>
      </c>
      <c r="G22" s="18">
        <f>IF(AK19&gt;0,(AK22/AK19),"")</f>
        <v>3.2258064516129031E-2</v>
      </c>
      <c r="H22" s="18">
        <f>IF(AN19&gt;0,(AN22/AN19),"")</f>
        <v>4.1666666666666664E-2</v>
      </c>
      <c r="I22" s="18">
        <f>IF(AQ19&gt;0,(AQ22/AQ19),"")</f>
        <v>0</v>
      </c>
      <c r="J22" s="18">
        <f>IF(AT19&gt;0,(AT22/AT19),"")</f>
        <v>7.2289156626506021E-2</v>
      </c>
      <c r="K22" s="18">
        <f>IF(AW19&gt;0,(AW22/AW19),"")</f>
        <v>4.1237113402061855E-2</v>
      </c>
      <c r="L22" s="18">
        <f>IF(AZ19&gt;0,(AZ22/AZ19),"")</f>
        <v>2.0833333333333332E-2</v>
      </c>
      <c r="M22" s="18">
        <f>IF(BC19&gt;0,(BC22/BC19),"")</f>
        <v>4.2553191489361701E-2</v>
      </c>
      <c r="N22" s="18">
        <f>IF(BF19&gt;0,(BF22/BF19),"")</f>
        <v>6.0606060606060608E-2</v>
      </c>
      <c r="O22" s="18">
        <f>IF(BI19&gt;0,(BI22/BI19),"")</f>
        <v>8.6956521739130432E-2</v>
      </c>
      <c r="P22" s="18">
        <f>IF(BL19&gt;0,(BL22/BL19),"")</f>
        <v>9.0909090909090912E-2</v>
      </c>
      <c r="Q22" s="18">
        <f>IF(BO19&gt;0,(BO22/BO19),"")</f>
        <v>8.5106382978723402E-2</v>
      </c>
      <c r="R22" s="18">
        <f>IF(BR19&gt;0,(BR22/BR19),"")</f>
        <v>8.4745762711864403E-2</v>
      </c>
      <c r="S22" s="18">
        <f>IF(BU19&gt;0,(BU22/BU19),"")</f>
        <v>7.1428571428571425E-2</v>
      </c>
      <c r="T22" s="18">
        <f>IF(BX19&gt;0,(BX22/BX19),"")</f>
        <v>4.5454545454545456E-2</v>
      </c>
      <c r="U22" s="18">
        <f>IF(CA19&gt;0,(CA22/CA19),"")</f>
        <v>6.0606060606060608E-2</v>
      </c>
      <c r="V22" s="18">
        <f t="shared" ref="V22" si="58">IF(CD19&gt;0,(CD22/CD19),"")</f>
        <v>9.9009900990099015E-2</v>
      </c>
      <c r="W22" s="18">
        <f t="shared" ref="W22" si="59">CG22/CG$19</f>
        <v>5.6818181818181816E-2</v>
      </c>
      <c r="X22" s="18">
        <f>CJ22/CJ$19</f>
        <v>3.0534351145038167E-2</v>
      </c>
      <c r="Y22" s="18">
        <f>CM22/CM$19</f>
        <v>7.0000000000000007E-2</v>
      </c>
      <c r="Z22" s="18">
        <f t="shared" si="35"/>
        <v>7.0175438596491224E-2</v>
      </c>
      <c r="AA22" s="18">
        <f t="shared" ref="AA22:AA23" si="60">CS22/CS$19</f>
        <v>4.5871559633027525E-2</v>
      </c>
      <c r="AB22" s="50"/>
      <c r="AD22" s="3"/>
      <c r="AE22" s="3" t="s">
        <v>62</v>
      </c>
      <c r="AF22" s="41">
        <v>1</v>
      </c>
      <c r="AG22" s="41">
        <v>0</v>
      </c>
      <c r="AH22" s="41">
        <f t="shared" si="36"/>
        <v>1</v>
      </c>
      <c r="AI22" s="41">
        <v>0</v>
      </c>
      <c r="AJ22" s="41">
        <v>2</v>
      </c>
      <c r="AK22" s="41">
        <f t="shared" si="37"/>
        <v>2</v>
      </c>
      <c r="AL22" s="41">
        <v>0</v>
      </c>
      <c r="AM22" s="41">
        <v>3</v>
      </c>
      <c r="AN22" s="41">
        <f t="shared" si="38"/>
        <v>3</v>
      </c>
      <c r="AO22" s="41">
        <f>0+0+0</f>
        <v>0</v>
      </c>
      <c r="AP22" s="41">
        <f>0+0+0</f>
        <v>0</v>
      </c>
      <c r="AQ22" s="41">
        <f t="shared" si="39"/>
        <v>0</v>
      </c>
      <c r="AR22" s="41">
        <f>0+0+0</f>
        <v>0</v>
      </c>
      <c r="AS22" s="41">
        <f>6+0+0</f>
        <v>6</v>
      </c>
      <c r="AT22" s="41">
        <f t="shared" si="40"/>
        <v>6</v>
      </c>
      <c r="AU22" s="41">
        <v>0</v>
      </c>
      <c r="AV22" s="41">
        <v>4</v>
      </c>
      <c r="AW22" s="41">
        <f t="shared" si="41"/>
        <v>4</v>
      </c>
      <c r="AX22" s="41">
        <f>0+0+0</f>
        <v>0</v>
      </c>
      <c r="AY22" s="41">
        <f>1+0+0</f>
        <v>1</v>
      </c>
      <c r="AZ22" s="41">
        <f t="shared" si="42"/>
        <v>1</v>
      </c>
      <c r="BA22" s="41">
        <f>1+0+0</f>
        <v>1</v>
      </c>
      <c r="BB22" s="41">
        <f>1+0+0</f>
        <v>1</v>
      </c>
      <c r="BC22" s="41">
        <f t="shared" si="43"/>
        <v>2</v>
      </c>
      <c r="BD22" s="41">
        <f>1+0+0</f>
        <v>1</v>
      </c>
      <c r="BE22" s="41">
        <f>2+0+1</f>
        <v>3</v>
      </c>
      <c r="BF22" s="41">
        <f t="shared" si="44"/>
        <v>4</v>
      </c>
      <c r="BG22" s="41">
        <f>1+0+0</f>
        <v>1</v>
      </c>
      <c r="BH22" s="41">
        <f>1+2+0</f>
        <v>3</v>
      </c>
      <c r="BI22" s="41">
        <f t="shared" si="45"/>
        <v>4</v>
      </c>
      <c r="BJ22" s="41">
        <f>1+0+0</f>
        <v>1</v>
      </c>
      <c r="BK22" s="41">
        <f>4+0+1</f>
        <v>5</v>
      </c>
      <c r="BL22" s="41">
        <f t="shared" si="46"/>
        <v>6</v>
      </c>
      <c r="BM22" s="41">
        <f>1+0+1</f>
        <v>2</v>
      </c>
      <c r="BN22" s="41">
        <f>2+0+0</f>
        <v>2</v>
      </c>
      <c r="BO22" s="41">
        <f t="shared" si="47"/>
        <v>4</v>
      </c>
      <c r="BP22" s="41">
        <f>0+0+0</f>
        <v>0</v>
      </c>
      <c r="BQ22" s="41">
        <f>4+0+1</f>
        <v>5</v>
      </c>
      <c r="BR22" s="41">
        <f t="shared" si="48"/>
        <v>5</v>
      </c>
      <c r="BS22" s="41">
        <f>0+2+0</f>
        <v>2</v>
      </c>
      <c r="BT22" s="41">
        <f>3+0+0</f>
        <v>3</v>
      </c>
      <c r="BU22" s="41">
        <f t="shared" si="49"/>
        <v>5</v>
      </c>
      <c r="BV22" s="41">
        <f>0+0+0</f>
        <v>0</v>
      </c>
      <c r="BW22" s="41">
        <f>4+0+0</f>
        <v>4</v>
      </c>
      <c r="BX22" s="41">
        <f t="shared" si="50"/>
        <v>4</v>
      </c>
      <c r="BY22" s="41">
        <f>1+1+0</f>
        <v>2</v>
      </c>
      <c r="BZ22" s="41">
        <f>4+0+0</f>
        <v>4</v>
      </c>
      <c r="CA22" s="41">
        <f t="shared" si="51"/>
        <v>6</v>
      </c>
      <c r="CB22" s="41">
        <f>3+0+0</f>
        <v>3</v>
      </c>
      <c r="CC22" s="41">
        <f>7+0+0</f>
        <v>7</v>
      </c>
      <c r="CD22" s="41">
        <f t="shared" si="52"/>
        <v>10</v>
      </c>
      <c r="CE22" s="41">
        <f>0+0+0</f>
        <v>0</v>
      </c>
      <c r="CF22" s="41">
        <f>5+0+0</f>
        <v>5</v>
      </c>
      <c r="CG22" s="41">
        <f>CE22+CF22</f>
        <v>5</v>
      </c>
      <c r="CH22" s="41">
        <f>0+0+0</f>
        <v>0</v>
      </c>
      <c r="CI22" s="41">
        <f>4+0+0</f>
        <v>4</v>
      </c>
      <c r="CJ22" s="41">
        <f>CH22+CI22</f>
        <v>4</v>
      </c>
      <c r="CK22" s="41">
        <f>1+1+0</f>
        <v>2</v>
      </c>
      <c r="CL22" s="41">
        <f>5+0+0</f>
        <v>5</v>
      </c>
      <c r="CM22" s="41">
        <f>CK22+CL22</f>
        <v>7</v>
      </c>
      <c r="CN22" s="41">
        <f>1+0+0</f>
        <v>1</v>
      </c>
      <c r="CO22" s="41">
        <f>6+1+0</f>
        <v>7</v>
      </c>
      <c r="CP22" s="41">
        <f>CN22+CO22</f>
        <v>8</v>
      </c>
      <c r="CQ22" s="41">
        <f>1+1+1</f>
        <v>3</v>
      </c>
      <c r="CR22" s="41">
        <f>1+1+0</f>
        <v>2</v>
      </c>
      <c r="CS22" s="41">
        <f>CQ22+CR22</f>
        <v>5</v>
      </c>
    </row>
    <row r="23" spans="1:97" ht="13.5" customHeight="1" x14ac:dyDescent="0.2">
      <c r="A23" s="23"/>
      <c r="D23" s="3"/>
      <c r="E23" s="4"/>
      <c r="F23" s="15">
        <f>IF(AH19&gt;0,(AH23/AH19),"")</f>
        <v>0.22619047619047619</v>
      </c>
      <c r="G23" s="15">
        <f>IF(AK19&gt;0,(AK23/AK19),"")</f>
        <v>0.24193548387096775</v>
      </c>
      <c r="H23" s="15">
        <f>IF(AN19&gt;0,(AN23/AN19),"")</f>
        <v>0.15277777777777779</v>
      </c>
      <c r="I23" s="15">
        <f>IF(AQ19&gt;0,(AQ23/AQ19),"")</f>
        <v>0.15384615384615385</v>
      </c>
      <c r="J23" s="15">
        <f>IF(AT19&gt;0,(AT23/AT19),"")</f>
        <v>0.24096385542168675</v>
      </c>
      <c r="K23" s="15">
        <f>IF(AW19&gt;0,(AW23/AW19),"")</f>
        <v>0.16494845360824742</v>
      </c>
      <c r="L23" s="15">
        <f>IF(AZ19&gt;0,(AZ23/AZ19),"")</f>
        <v>0.22916666666666666</v>
      </c>
      <c r="M23" s="15">
        <f>IF(BC19&gt;0,(BC23/BC19),"")</f>
        <v>0.36170212765957449</v>
      </c>
      <c r="N23" s="15">
        <f>IF(BF19&gt;0,(BF23/BF19),"")</f>
        <v>0.25757575757575757</v>
      </c>
      <c r="O23" s="15">
        <f>IF(BI19&gt;0,(BI23/BI19),"")</f>
        <v>0.39130434782608697</v>
      </c>
      <c r="P23" s="15">
        <f>IF(BL19&gt;0,(BL23/BL19),"")</f>
        <v>0.33333333333333331</v>
      </c>
      <c r="Q23" s="15">
        <f>IF(BO19&gt;0,(BO23/BO19),"")</f>
        <v>0.36170212765957449</v>
      </c>
      <c r="R23" s="15">
        <f>IF(BR19&gt;0,(BR23/BR19),"")</f>
        <v>0.30508474576271188</v>
      </c>
      <c r="S23" s="15">
        <f>IF(BU19&gt;0,(BU23/BU19),"")</f>
        <v>0.2857142857142857</v>
      </c>
      <c r="T23" s="15">
        <f>IF(BX19&gt;0,(BX23/BX19),"")</f>
        <v>0.375</v>
      </c>
      <c r="U23" s="15">
        <f>IF(CA19&gt;0,(CA23/CA19),"")</f>
        <v>0.38383838383838381</v>
      </c>
      <c r="V23" s="15">
        <f t="shared" ref="V23" si="61">IF(CD19&gt;0,(CD23/CD19),"")</f>
        <v>0.33663366336633666</v>
      </c>
      <c r="W23" s="15">
        <f>CG23/CG$19</f>
        <v>0.25</v>
      </c>
      <c r="X23" s="15">
        <f>CJ23/CJ$19</f>
        <v>0.25954198473282442</v>
      </c>
      <c r="Y23" s="15">
        <f>CM23/CM$19</f>
        <v>0.37</v>
      </c>
      <c r="Z23" s="15">
        <f t="shared" si="35"/>
        <v>0.46491228070175439</v>
      </c>
      <c r="AA23" s="15">
        <f t="shared" si="60"/>
        <v>0.34862385321100919</v>
      </c>
      <c r="AB23" s="51"/>
      <c r="AD23" s="3"/>
      <c r="AE23" s="35" t="s">
        <v>88</v>
      </c>
      <c r="AF23" s="41">
        <f t="shared" ref="AF23:CE23" si="62">SUM(AF20:AF22)</f>
        <v>5</v>
      </c>
      <c r="AG23" s="41">
        <f t="shared" si="62"/>
        <v>14</v>
      </c>
      <c r="AH23" s="41">
        <f t="shared" si="62"/>
        <v>19</v>
      </c>
      <c r="AI23" s="41">
        <f t="shared" si="62"/>
        <v>8</v>
      </c>
      <c r="AJ23" s="41">
        <f t="shared" si="62"/>
        <v>7</v>
      </c>
      <c r="AK23" s="41">
        <f t="shared" si="62"/>
        <v>15</v>
      </c>
      <c r="AL23" s="41">
        <f t="shared" si="62"/>
        <v>2</v>
      </c>
      <c r="AM23" s="41">
        <f t="shared" si="62"/>
        <v>9</v>
      </c>
      <c r="AN23" s="41">
        <f t="shared" si="62"/>
        <v>11</v>
      </c>
      <c r="AO23" s="41">
        <f t="shared" si="62"/>
        <v>1</v>
      </c>
      <c r="AP23" s="41">
        <f t="shared" si="62"/>
        <v>7</v>
      </c>
      <c r="AQ23" s="41">
        <f t="shared" si="62"/>
        <v>8</v>
      </c>
      <c r="AR23" s="41">
        <f t="shared" si="62"/>
        <v>2</v>
      </c>
      <c r="AS23" s="41">
        <f t="shared" si="62"/>
        <v>18</v>
      </c>
      <c r="AT23" s="41">
        <f t="shared" si="62"/>
        <v>20</v>
      </c>
      <c r="AU23" s="41">
        <f t="shared" si="62"/>
        <v>4</v>
      </c>
      <c r="AV23" s="41">
        <f t="shared" si="62"/>
        <v>12</v>
      </c>
      <c r="AW23" s="41">
        <f t="shared" si="62"/>
        <v>16</v>
      </c>
      <c r="AX23" s="41">
        <f t="shared" si="62"/>
        <v>1</v>
      </c>
      <c r="AY23" s="41">
        <f t="shared" si="62"/>
        <v>10</v>
      </c>
      <c r="AZ23" s="41">
        <f t="shared" si="62"/>
        <v>11</v>
      </c>
      <c r="BA23" s="41">
        <f t="shared" si="62"/>
        <v>5</v>
      </c>
      <c r="BB23" s="41">
        <f t="shared" si="62"/>
        <v>12</v>
      </c>
      <c r="BC23" s="41">
        <f t="shared" si="62"/>
        <v>17</v>
      </c>
      <c r="BD23" s="41">
        <f t="shared" si="62"/>
        <v>1</v>
      </c>
      <c r="BE23" s="41">
        <f t="shared" si="62"/>
        <v>16</v>
      </c>
      <c r="BF23" s="41">
        <f t="shared" si="62"/>
        <v>17</v>
      </c>
      <c r="BG23" s="41">
        <f t="shared" si="62"/>
        <v>3</v>
      </c>
      <c r="BH23" s="41">
        <f t="shared" si="62"/>
        <v>15</v>
      </c>
      <c r="BI23" s="41">
        <f t="shared" si="62"/>
        <v>18</v>
      </c>
      <c r="BJ23" s="41">
        <f t="shared" si="62"/>
        <v>1</v>
      </c>
      <c r="BK23" s="41">
        <f t="shared" si="62"/>
        <v>21</v>
      </c>
      <c r="BL23" s="41">
        <f t="shared" si="62"/>
        <v>22</v>
      </c>
      <c r="BM23" s="41">
        <f t="shared" si="62"/>
        <v>6</v>
      </c>
      <c r="BN23" s="41">
        <f t="shared" si="62"/>
        <v>11</v>
      </c>
      <c r="BO23" s="41">
        <f t="shared" si="62"/>
        <v>17</v>
      </c>
      <c r="BP23" s="41">
        <f t="shared" si="62"/>
        <v>5</v>
      </c>
      <c r="BQ23" s="41">
        <f t="shared" si="62"/>
        <v>13</v>
      </c>
      <c r="BR23" s="41">
        <f t="shared" si="62"/>
        <v>18</v>
      </c>
      <c r="BS23" s="41">
        <f t="shared" si="62"/>
        <v>2</v>
      </c>
      <c r="BT23" s="41">
        <f t="shared" si="62"/>
        <v>18</v>
      </c>
      <c r="BU23" s="41">
        <f t="shared" si="62"/>
        <v>20</v>
      </c>
      <c r="BV23" s="41">
        <f t="shared" si="62"/>
        <v>6</v>
      </c>
      <c r="BW23" s="41">
        <f t="shared" si="62"/>
        <v>27</v>
      </c>
      <c r="BX23" s="41">
        <f t="shared" si="62"/>
        <v>33</v>
      </c>
      <c r="BY23" s="41">
        <f t="shared" si="62"/>
        <v>11</v>
      </c>
      <c r="BZ23" s="41">
        <f t="shared" si="62"/>
        <v>27</v>
      </c>
      <c r="CA23" s="41">
        <f t="shared" si="62"/>
        <v>38</v>
      </c>
      <c r="CB23" s="41">
        <f t="shared" si="62"/>
        <v>6</v>
      </c>
      <c r="CC23" s="41">
        <f t="shared" si="62"/>
        <v>28</v>
      </c>
      <c r="CD23" s="41">
        <f t="shared" si="62"/>
        <v>34</v>
      </c>
      <c r="CE23" s="41">
        <f t="shared" si="62"/>
        <v>7</v>
      </c>
      <c r="CF23" s="41">
        <f>SUM(CF20:CF22)</f>
        <v>15</v>
      </c>
      <c r="CG23" s="41">
        <f t="shared" ref="CG23:CH23" si="63">SUM(CG20:CG22)</f>
        <v>22</v>
      </c>
      <c r="CH23" s="41">
        <f t="shared" si="63"/>
        <v>11</v>
      </c>
      <c r="CI23" s="41">
        <f>SUM(CI20:CI22)</f>
        <v>23</v>
      </c>
      <c r="CJ23" s="41">
        <f t="shared" ref="CJ23:CK23" si="64">SUM(CJ20:CJ22)</f>
        <v>34</v>
      </c>
      <c r="CK23" s="41">
        <f t="shared" si="64"/>
        <v>11</v>
      </c>
      <c r="CL23" s="41">
        <f>SUM(CL20:CL22)</f>
        <v>26</v>
      </c>
      <c r="CM23" s="41">
        <f t="shared" ref="CM23:CN23" si="65">SUM(CM20:CM22)</f>
        <v>37</v>
      </c>
      <c r="CN23" s="41">
        <f t="shared" si="65"/>
        <v>10</v>
      </c>
      <c r="CO23" s="41">
        <f>SUM(CO20:CO22)</f>
        <v>43</v>
      </c>
      <c r="CP23" s="41">
        <f t="shared" ref="CP23:CQ23" si="66">SUM(CP20:CP22)</f>
        <v>53</v>
      </c>
      <c r="CQ23" s="41">
        <f t="shared" si="66"/>
        <v>13</v>
      </c>
      <c r="CR23" s="41">
        <f>SUM(CR20:CR22)</f>
        <v>25</v>
      </c>
      <c r="CS23" s="41">
        <f t="shared" ref="CS23" si="67">SUM(CS20:CS22)</f>
        <v>38</v>
      </c>
    </row>
    <row r="24" spans="1:97" ht="13.5" customHeight="1" x14ac:dyDescent="0.2">
      <c r="A24" s="23"/>
      <c r="C24" s="4" t="s">
        <v>25</v>
      </c>
      <c r="D24" s="3"/>
      <c r="E24" s="3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4"/>
      <c r="X24" s="14"/>
      <c r="Y24" s="14"/>
      <c r="Z24" s="14"/>
      <c r="AA24" s="14"/>
      <c r="AB24" s="51"/>
      <c r="AD24" s="4"/>
      <c r="AE24" s="4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20"/>
      <c r="CF24" s="20"/>
      <c r="CG24" s="20"/>
      <c r="CH24" s="3"/>
      <c r="CK24" s="3"/>
      <c r="CN24" s="3"/>
      <c r="CQ24" s="3"/>
    </row>
    <row r="25" spans="1:97" ht="13.5" customHeight="1" x14ac:dyDescent="0.2">
      <c r="A25" s="23"/>
      <c r="D25" s="3" t="s">
        <v>65</v>
      </c>
      <c r="E25" s="3"/>
      <c r="F25" s="11">
        <f>AF13</f>
        <v>296</v>
      </c>
      <c r="G25" s="11">
        <f>AI13</f>
        <v>250</v>
      </c>
      <c r="H25" s="11">
        <f>AL13</f>
        <v>227</v>
      </c>
      <c r="I25" s="11">
        <f>AO13</f>
        <v>229</v>
      </c>
      <c r="J25" s="11">
        <f>AR13</f>
        <v>237</v>
      </c>
      <c r="K25" s="11">
        <f>AU13</f>
        <v>281</v>
      </c>
      <c r="L25" s="11">
        <f>AX13</f>
        <v>216</v>
      </c>
      <c r="M25" s="11">
        <f>BA13</f>
        <v>254</v>
      </c>
      <c r="N25" s="11">
        <f>BD13</f>
        <v>265</v>
      </c>
      <c r="O25" s="11">
        <f>BG13</f>
        <v>219</v>
      </c>
      <c r="P25" s="11">
        <f>BJ13</f>
        <v>203</v>
      </c>
      <c r="Q25" s="11">
        <f>BM13</f>
        <v>192</v>
      </c>
      <c r="R25" s="11">
        <f>BP13</f>
        <v>184</v>
      </c>
      <c r="S25" s="11">
        <f>BS13</f>
        <v>163</v>
      </c>
      <c r="T25" s="11">
        <f>BV13</f>
        <v>209</v>
      </c>
      <c r="U25" s="11">
        <f>BY13</f>
        <v>203</v>
      </c>
      <c r="V25" s="11">
        <f>CB13</f>
        <v>182</v>
      </c>
      <c r="W25" s="11">
        <f>CE13</f>
        <v>193</v>
      </c>
      <c r="X25" s="11">
        <f>CH13</f>
        <v>199</v>
      </c>
      <c r="Y25" s="11">
        <f>CK13</f>
        <v>197</v>
      </c>
      <c r="Z25" s="11">
        <f>CN13</f>
        <v>209</v>
      </c>
      <c r="AA25" s="11">
        <f>CQ13</f>
        <v>217</v>
      </c>
      <c r="AB25" s="51"/>
      <c r="AD25" s="4"/>
      <c r="AE25" s="4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3"/>
      <c r="CK25" s="3"/>
      <c r="CN25" s="3"/>
      <c r="CQ25" s="3"/>
    </row>
    <row r="26" spans="1:97" ht="13.5" customHeight="1" x14ac:dyDescent="0.2">
      <c r="A26" s="23"/>
      <c r="D26" s="15" t="s">
        <v>59</v>
      </c>
      <c r="E26" s="3" t="s">
        <v>60</v>
      </c>
      <c r="F26" s="15">
        <f>IF(AF13&gt;0,(AF14/AF13),"")</f>
        <v>9.1216216216216214E-2</v>
      </c>
      <c r="G26" s="15">
        <f>IF(AI13&gt;0,(AI14/AI13),"")</f>
        <v>7.1999999999999995E-2</v>
      </c>
      <c r="H26" s="15">
        <f>IF(AL13&gt;0,(AL14/AL13),"")</f>
        <v>7.4889867841409691E-2</v>
      </c>
      <c r="I26" s="15">
        <f>IF(AO13&gt;0,(AO14/AO13),"")</f>
        <v>8.296943231441048E-2</v>
      </c>
      <c r="J26" s="15">
        <f>IF(AR13&gt;0,(AR14/AR13),"")</f>
        <v>0.13080168776371309</v>
      </c>
      <c r="K26" s="15">
        <f>IF(AU13&gt;0,(AU14/AU13),"")</f>
        <v>7.1174377224199295E-2</v>
      </c>
      <c r="L26" s="15">
        <f>IF(AX13&gt;0,(AX14/AX13),"")</f>
        <v>5.5555555555555552E-2</v>
      </c>
      <c r="M26" s="15">
        <f>IF(BA13&gt;0,(BA14/BA13),"")</f>
        <v>0.18110236220472442</v>
      </c>
      <c r="N26" s="15">
        <f>IF(BD13&gt;0,(BD14/BD13),"")</f>
        <v>0.16226415094339622</v>
      </c>
      <c r="O26" s="15">
        <f>IF(BG13&gt;0,(BG14/BG13),"")</f>
        <v>0.15981735159817351</v>
      </c>
      <c r="P26" s="15">
        <f>IF(BJ13&gt;0,(BJ14/BJ13),"")</f>
        <v>0.11822660098522167</v>
      </c>
      <c r="Q26" s="15">
        <f>IF(BM13&gt;0,(BM14/BM13),"")</f>
        <v>0.15104166666666666</v>
      </c>
      <c r="R26" s="15">
        <f>IF(BP13&gt;0,(BP14/BP13),"")</f>
        <v>0.14130434782608695</v>
      </c>
      <c r="S26" s="15">
        <f>IF(BS13&gt;0,(BS14/BS13),"")</f>
        <v>0.15337423312883436</v>
      </c>
      <c r="T26" s="15">
        <f>IF(BV13&gt;0,(BV14/BV13),"")</f>
        <v>0.19617224880382775</v>
      </c>
      <c r="U26" s="15">
        <f>IF(BY13&gt;0,(BY14/BY13),"")</f>
        <v>0.1625615763546798</v>
      </c>
      <c r="V26" s="15">
        <f>IF(CB13&gt;0,(CB14/CB13),"")</f>
        <v>0.13736263736263737</v>
      </c>
      <c r="W26" s="15">
        <f>CE14/CE$13</f>
        <v>0.17616580310880828</v>
      </c>
      <c r="X26" s="15">
        <f>CH14/CH$13</f>
        <v>0.17085427135678391</v>
      </c>
      <c r="Y26" s="15">
        <f>CK14/CK$13</f>
        <v>0.25888324873096447</v>
      </c>
      <c r="Z26" s="15">
        <f t="shared" ref="Z26:Z29" si="68">CN14/CN$13</f>
        <v>0.26794258373205743</v>
      </c>
      <c r="AA26" s="15">
        <f>CQ14/CQ$13</f>
        <v>0.28110599078341014</v>
      </c>
      <c r="AB26" s="51"/>
      <c r="AD26" s="4"/>
      <c r="AE26" s="4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3"/>
      <c r="CK26" s="3"/>
      <c r="CN26" s="3"/>
      <c r="CQ26" s="3"/>
    </row>
    <row r="27" spans="1:97" ht="13.5" customHeight="1" x14ac:dyDescent="0.2">
      <c r="A27" s="23"/>
      <c r="D27" s="3"/>
      <c r="E27" s="3" t="s">
        <v>61</v>
      </c>
      <c r="F27" s="15">
        <f>IF(AF13&gt;0,(AF15/AF13),"")</f>
        <v>0.13513513513513514</v>
      </c>
      <c r="G27" s="15">
        <f>IF(AI13&gt;0,(AI15/AI13),"")</f>
        <v>0.156</v>
      </c>
      <c r="H27" s="15">
        <f>IF(AL13&gt;0,(AL15/AL13),"")</f>
        <v>0.14977973568281938</v>
      </c>
      <c r="I27" s="15">
        <f>IF(AO13&gt;0,(AO15/AO13),"")</f>
        <v>0.1703056768558952</v>
      </c>
      <c r="J27" s="15">
        <f>IF(AR13&gt;0,(AR15/AR13),"")</f>
        <v>0.12236286919831224</v>
      </c>
      <c r="K27" s="15">
        <f>IF(AU13&gt;0,(AU15/AU13),"")</f>
        <v>0.16725978647686832</v>
      </c>
      <c r="L27" s="15">
        <f>IF(AX13&gt;0,(AX15/AX13),"")</f>
        <v>0.16203703703703703</v>
      </c>
      <c r="M27" s="15">
        <f>IF(BA13&gt;0,(BA15/BA13),"")</f>
        <v>0.18503937007874016</v>
      </c>
      <c r="N27" s="15">
        <f>IF(BD13&gt;0,(BD15/BD13),"")</f>
        <v>0.14716981132075471</v>
      </c>
      <c r="O27" s="15">
        <f>IF(BG13&gt;0,(BG15/BG13),"")</f>
        <v>0.15981735159817351</v>
      </c>
      <c r="P27" s="15">
        <f>IF(BJ13&gt;0,(BJ15/BJ13),"")</f>
        <v>0.1625615763546798</v>
      </c>
      <c r="Q27" s="15">
        <f>IF(BM13&gt;0,(BM15/BM13),"")</f>
        <v>0.15625</v>
      </c>
      <c r="R27" s="15">
        <f>IF(BP13&gt;0,(BP15/BP13),"")</f>
        <v>0.16847826086956522</v>
      </c>
      <c r="S27" s="15">
        <f>IF(BS13&gt;0,(BS15/BS13),"")</f>
        <v>0.17177914110429449</v>
      </c>
      <c r="T27" s="15">
        <f>IF(BV13&gt;0,(BV15/BV13),"")</f>
        <v>0.22009569377990432</v>
      </c>
      <c r="U27" s="15">
        <f>IF(BY13&gt;0,(BY15/BY13),"")</f>
        <v>0.19704433497536947</v>
      </c>
      <c r="V27" s="15">
        <f>IF(CB13&gt;0,(CB15/CB13),"")</f>
        <v>0.2032967032967033</v>
      </c>
      <c r="W27" s="15">
        <f t="shared" ref="W27:W28" si="69">CE15/CE$13</f>
        <v>0.12435233160621761</v>
      </c>
      <c r="X27" s="15">
        <f>CH15/CH$13</f>
        <v>0.16080402010050251</v>
      </c>
      <c r="Y27" s="15">
        <f>CK15/CK$13</f>
        <v>0.19289340101522842</v>
      </c>
      <c r="Z27" s="15">
        <f t="shared" si="68"/>
        <v>0.19617224880382775</v>
      </c>
      <c r="AA27" s="15">
        <f t="shared" ref="AA27:AA29" si="70">CQ15/CQ$13</f>
        <v>0.18433179723502305</v>
      </c>
      <c r="AB27" s="51"/>
      <c r="AD27" s="4"/>
      <c r="AE27" s="4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3"/>
      <c r="CK27" s="3"/>
      <c r="CN27" s="3"/>
      <c r="CQ27" s="3"/>
    </row>
    <row r="28" spans="1:97" ht="13.5" customHeight="1" x14ac:dyDescent="0.2">
      <c r="A28" s="23"/>
      <c r="D28" s="3"/>
      <c r="E28" s="3" t="s">
        <v>62</v>
      </c>
      <c r="F28" s="18">
        <f>IF(AF13&gt;0,(AF16/AF13),"")</f>
        <v>7.77027027027027E-2</v>
      </c>
      <c r="G28" s="18">
        <f>IF(AI13&gt;0,(AI16/AI13),"")</f>
        <v>6.4000000000000001E-2</v>
      </c>
      <c r="H28" s="18">
        <f>IF(AL13&gt;0,(AL16/AL13),"")</f>
        <v>6.6079295154185022E-2</v>
      </c>
      <c r="I28" s="18">
        <f>IF(AO13&gt;0,(AO16/AO13),"")</f>
        <v>6.5502183406113537E-2</v>
      </c>
      <c r="J28" s="18">
        <f>IF(AR13&gt;0,(AR16/AR13),"")</f>
        <v>4.2194092827004218E-2</v>
      </c>
      <c r="K28" s="18">
        <f>IF(AU13&gt;0,(AU16/AU13),"")</f>
        <v>7.1174377224199295E-2</v>
      </c>
      <c r="L28" s="18">
        <f>IF(AX13&gt;0,(AX16/AX13),"")</f>
        <v>6.4814814814814811E-2</v>
      </c>
      <c r="M28" s="18">
        <f>IF(BA13&gt;0,(BA16/BA13),"")</f>
        <v>7.4803149606299218E-2</v>
      </c>
      <c r="N28" s="18">
        <f>IF(BD13&gt;0,(BD16/BD13),"")</f>
        <v>5.2830188679245285E-2</v>
      </c>
      <c r="O28" s="18">
        <f>IF(BG13&gt;0,(BG16/BG13),"")</f>
        <v>6.3926940639269403E-2</v>
      </c>
      <c r="P28" s="18">
        <f>IF(BJ13&gt;0,(BJ16/BJ13),"")</f>
        <v>9.3596059113300489E-2</v>
      </c>
      <c r="Q28" s="18">
        <f>IF(BM13&gt;0,(BM16/BM13),"")</f>
        <v>0.109375</v>
      </c>
      <c r="R28" s="18">
        <f>IF(BP13&gt;0,(BP16/BP13),"")</f>
        <v>3.2608695652173912E-2</v>
      </c>
      <c r="S28" s="18">
        <f>IF(BS13&gt;0,(BS16/BS13),"")</f>
        <v>4.9079754601226995E-2</v>
      </c>
      <c r="T28" s="18">
        <f>IF(BV13&gt;0,(BV16/BV13),"")</f>
        <v>4.784688995215311E-2</v>
      </c>
      <c r="U28" s="18">
        <f>IF(BY13&gt;0,(BY16/BY13),"")</f>
        <v>4.9261083743842367E-2</v>
      </c>
      <c r="V28" s="18">
        <f>IF(CB13&gt;0,(CB16/CB13),"")</f>
        <v>7.1428571428571425E-2</v>
      </c>
      <c r="W28" s="18">
        <f t="shared" si="69"/>
        <v>6.7357512953367879E-2</v>
      </c>
      <c r="X28" s="18">
        <f>CH16/CH$13</f>
        <v>4.0201005025125629E-2</v>
      </c>
      <c r="Y28" s="18">
        <f>CK16/CK$13</f>
        <v>5.0761421319796954E-2</v>
      </c>
      <c r="Z28" s="18">
        <f t="shared" si="68"/>
        <v>3.3492822966507178E-2</v>
      </c>
      <c r="AA28" s="18">
        <f t="shared" si="70"/>
        <v>5.5299539170506916E-2</v>
      </c>
      <c r="AB28" s="51"/>
      <c r="AD28" s="4"/>
      <c r="AE28" s="4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3"/>
      <c r="CK28" s="3"/>
      <c r="CN28" s="3"/>
      <c r="CQ28" s="3"/>
    </row>
    <row r="29" spans="1:97" ht="13.5" customHeight="1" x14ac:dyDescent="0.2">
      <c r="A29" s="23"/>
      <c r="D29" s="3"/>
      <c r="E29" s="3"/>
      <c r="F29" s="15">
        <f>IF(AF13&gt;0,(AF17/AF13),"")</f>
        <v>0.30405405405405406</v>
      </c>
      <c r="G29" s="15">
        <f>IF(AI13&gt;0,(AI17/AI13),"")</f>
        <v>0.29199999999999998</v>
      </c>
      <c r="H29" s="15">
        <f>IF(AL13&gt;0,(AL17/AL13),"")</f>
        <v>0.29074889867841408</v>
      </c>
      <c r="I29" s="15">
        <f>IF(AO13&gt;0,(AO17/AO13),"")</f>
        <v>0.31877729257641924</v>
      </c>
      <c r="J29" s="15">
        <f>IF(AR13&gt;0,(AR17/AR13),"")</f>
        <v>0.29535864978902954</v>
      </c>
      <c r="K29" s="15">
        <f>IF(AU13&gt;0,(AU17/AU13),"")</f>
        <v>0.30960854092526691</v>
      </c>
      <c r="L29" s="15">
        <f>IF(AX13&gt;0,(AX17/AX13),"")</f>
        <v>0.28240740740740738</v>
      </c>
      <c r="M29" s="15">
        <f>IF(BA13&gt;0,(BA17/BA13),"")</f>
        <v>0.44094488188976377</v>
      </c>
      <c r="N29" s="15">
        <f>IF(BD13&gt;0,(BD17/BD13),"")</f>
        <v>0.3622641509433962</v>
      </c>
      <c r="O29" s="15">
        <f>IF(BG13&gt;0,(BG17/BG13),"")</f>
        <v>0.38356164383561642</v>
      </c>
      <c r="P29" s="15">
        <f>IF(BJ13&gt;0,(BJ17/BJ13),"")</f>
        <v>0.37438423645320196</v>
      </c>
      <c r="Q29" s="15">
        <f>IF(BM13&gt;0,(BM17/BM13),"")</f>
        <v>0.41666666666666669</v>
      </c>
      <c r="R29" s="15">
        <f>IF(BP13&gt;0,(BP17/BP13),"")</f>
        <v>0.34239130434782611</v>
      </c>
      <c r="S29" s="15">
        <f>IF(BS13&gt;0,(BS17/BS13),"")</f>
        <v>0.37423312883435583</v>
      </c>
      <c r="T29" s="15">
        <f>IF(BV13&gt;0,(BV17/BV13),"")</f>
        <v>0.46411483253588515</v>
      </c>
      <c r="U29" s="15">
        <f>IF(BY13&gt;0,(BY17/BY13),"")</f>
        <v>0.40886699507389163</v>
      </c>
      <c r="V29" s="15">
        <f>IF(CB13&gt;0,(CB17/CB13),"")</f>
        <v>0.41208791208791207</v>
      </c>
      <c r="W29" s="15">
        <f>CE17/CE$13</f>
        <v>0.36787564766839376</v>
      </c>
      <c r="X29" s="15">
        <f>CH17/CH$13</f>
        <v>0.37185929648241206</v>
      </c>
      <c r="Y29" s="15">
        <f>CK17/CK$13</f>
        <v>0.5025380710659898</v>
      </c>
      <c r="Z29" s="15">
        <f t="shared" si="68"/>
        <v>0.49760765550239233</v>
      </c>
      <c r="AA29" s="15">
        <f t="shared" si="70"/>
        <v>0.52073732718894006</v>
      </c>
      <c r="AB29" s="51"/>
      <c r="AD29" s="4"/>
      <c r="AE29" s="4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3"/>
      <c r="CK29" s="3"/>
      <c r="CN29" s="3"/>
      <c r="CQ29" s="3"/>
    </row>
    <row r="30" spans="1:97" ht="13.5" customHeight="1" x14ac:dyDescent="0.2">
      <c r="A30" s="23"/>
      <c r="C30" s="4" t="s">
        <v>26</v>
      </c>
      <c r="D30" s="3"/>
      <c r="E30" s="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51"/>
      <c r="AD30" s="4"/>
      <c r="AE30" s="4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3"/>
      <c r="CK30" s="3"/>
      <c r="CN30" s="3"/>
      <c r="CQ30" s="3"/>
    </row>
    <row r="31" spans="1:97" ht="13.5" customHeight="1" x14ac:dyDescent="0.2">
      <c r="A31" s="23"/>
      <c r="D31" s="3" t="s">
        <v>65</v>
      </c>
      <c r="E31" s="3"/>
      <c r="F31" s="11">
        <f>AG13</f>
        <v>341</v>
      </c>
      <c r="G31" s="11">
        <f>AJ13</f>
        <v>224</v>
      </c>
      <c r="H31" s="11">
        <f>AM13</f>
        <v>231</v>
      </c>
      <c r="I31" s="11">
        <f>AP13</f>
        <v>299</v>
      </c>
      <c r="J31" s="11">
        <f>AS13</f>
        <v>315</v>
      </c>
      <c r="K31" s="11">
        <f>AV13</f>
        <v>351</v>
      </c>
      <c r="L31" s="11">
        <f>AY13</f>
        <v>242</v>
      </c>
      <c r="M31" s="11">
        <f>BB13</f>
        <v>275</v>
      </c>
      <c r="N31" s="11">
        <f>BE13</f>
        <v>274</v>
      </c>
      <c r="O31" s="11">
        <f>BH13</f>
        <v>279</v>
      </c>
      <c r="P31" s="11">
        <f>BK13</f>
        <v>313</v>
      </c>
      <c r="Q31" s="11">
        <f>BN13</f>
        <v>234</v>
      </c>
      <c r="R31" s="11">
        <f>BQ13</f>
        <v>280</v>
      </c>
      <c r="S31" s="11">
        <f>BT13</f>
        <v>235</v>
      </c>
      <c r="T31" s="11">
        <f>BW13</f>
        <v>288</v>
      </c>
      <c r="U31" s="11">
        <f>BZ13</f>
        <v>273</v>
      </c>
      <c r="V31" s="11">
        <f>CC13</f>
        <v>280</v>
      </c>
      <c r="W31" s="11">
        <f>CF13</f>
        <v>244</v>
      </c>
      <c r="X31" s="11">
        <f>CI13</f>
        <v>295</v>
      </c>
      <c r="Y31" s="11">
        <f>CL13</f>
        <v>282</v>
      </c>
      <c r="Z31" s="11">
        <f>CO13</f>
        <v>269</v>
      </c>
      <c r="AA31" s="11">
        <f>CR13</f>
        <v>313</v>
      </c>
      <c r="AB31" s="51"/>
      <c r="AD31" s="4"/>
      <c r="AE31" s="4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3"/>
      <c r="CK31" s="3"/>
      <c r="CN31" s="3"/>
      <c r="CQ31" s="3"/>
    </row>
    <row r="32" spans="1:97" ht="13.5" customHeight="1" x14ac:dyDescent="0.2">
      <c r="A32" s="23"/>
      <c r="D32" s="15" t="s">
        <v>59</v>
      </c>
      <c r="E32" s="3" t="s">
        <v>60</v>
      </c>
      <c r="F32" s="15">
        <f>IF(AG13&gt;0,(AG14/AG13),"")</f>
        <v>0.12903225806451613</v>
      </c>
      <c r="G32" s="15">
        <f>IF(AJ13&gt;0,(AJ14/AJ13),"")</f>
        <v>0.13839285714285715</v>
      </c>
      <c r="H32" s="15">
        <f>IF(AM13&gt;0,(AM14/AM13),"")</f>
        <v>0.15151515151515152</v>
      </c>
      <c r="I32" s="15">
        <f>IF(AP13&gt;0,(AP14/AP13),"")</f>
        <v>0.1806020066889632</v>
      </c>
      <c r="J32" s="15">
        <f>IF(AS13&gt;0,(AS14/AS13),"")</f>
        <v>0.17142857142857143</v>
      </c>
      <c r="K32" s="15">
        <f>IF(AV13&gt;0,(AV14/AV13),"")</f>
        <v>0.16524216524216523</v>
      </c>
      <c r="L32" s="15">
        <f>IF(AY13&gt;0,(AY14/AY13),"")</f>
        <v>0.19834710743801653</v>
      </c>
      <c r="M32" s="15">
        <f>IF(BB13&gt;0,(BB14/BB13),"")</f>
        <v>0.24363636363636362</v>
      </c>
      <c r="N32" s="15">
        <f>IF(BE13&gt;0,(BE14/BE13),"")</f>
        <v>0.28832116788321166</v>
      </c>
      <c r="O32" s="15">
        <f>IF(BH13&gt;0,(BH14/BH13),"")</f>
        <v>0.23297491039426524</v>
      </c>
      <c r="P32" s="15">
        <f>IF(BK13&gt;0,(BK14/BK13),"")</f>
        <v>0.2268370607028754</v>
      </c>
      <c r="Q32" s="15">
        <f>IF(BN13&gt;0,(BN14/BN13),"")</f>
        <v>0.28632478632478631</v>
      </c>
      <c r="R32" s="15">
        <f>IF(BQ13&gt;0,(BQ14/BQ13),"")</f>
        <v>0.25357142857142856</v>
      </c>
      <c r="S32" s="15">
        <f>IF(BT13&gt;0,(BT14/BT13),"")</f>
        <v>0.24255319148936169</v>
      </c>
      <c r="T32" s="15">
        <f>IF(BW13&gt;0,(BW14/BW13),"")</f>
        <v>0.28819444444444442</v>
      </c>
      <c r="U32" s="15">
        <f>IF(BZ13&gt;0,(BZ14/BZ13),"")</f>
        <v>0.26739926739926739</v>
      </c>
      <c r="V32" s="15">
        <f>IF(CC13&gt;0,(CC14/CC13),"")</f>
        <v>0.24642857142857144</v>
      </c>
      <c r="W32" s="15">
        <f>CF14/CF$13</f>
        <v>0.23770491803278687</v>
      </c>
      <c r="X32" s="15">
        <f>CI14/CI$13</f>
        <v>0.25423728813559321</v>
      </c>
      <c r="Y32" s="15">
        <f>CL14/CL$13</f>
        <v>0.31914893617021278</v>
      </c>
      <c r="Z32" s="15">
        <f t="shared" ref="Z32:Z35" si="71">CO14/CO$13</f>
        <v>0.36431226765799257</v>
      </c>
      <c r="AA32" s="15">
        <f>CR14/CR$13</f>
        <v>0.34185303514376997</v>
      </c>
      <c r="AB32" s="51"/>
      <c r="AD32" s="4"/>
      <c r="AE32" s="4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3"/>
      <c r="CK32" s="3"/>
      <c r="CN32" s="3"/>
      <c r="CQ32" s="3"/>
    </row>
    <row r="33" spans="1:95" ht="13.5" customHeight="1" x14ac:dyDescent="0.2">
      <c r="A33" s="23"/>
      <c r="D33" s="3"/>
      <c r="E33" s="3" t="s">
        <v>61</v>
      </c>
      <c r="F33" s="15">
        <f>IF(AG13&gt;0,(AG15/AG13),"")</f>
        <v>0.19354838709677419</v>
      </c>
      <c r="G33" s="15">
        <f>IF(AJ13&gt;0,(AJ15/AJ13),"")</f>
        <v>0.14732142857142858</v>
      </c>
      <c r="H33" s="15">
        <f>IF(AM13&gt;0,(AM15/AM13),"")</f>
        <v>0.16450216450216451</v>
      </c>
      <c r="I33" s="15">
        <f>IF(AP13&gt;0,(AP15/AP13),"")</f>
        <v>0.16387959866220736</v>
      </c>
      <c r="J33" s="15">
        <f>IF(AS13&gt;0,(AS15/AS13),"")</f>
        <v>0.13968253968253969</v>
      </c>
      <c r="K33" s="15">
        <f>IF(AV13&gt;0,(AV15/AV13),"")</f>
        <v>0.15669515669515668</v>
      </c>
      <c r="L33" s="15">
        <f>IF(AY13&gt;0,(AY15/AY13),"")</f>
        <v>0.19834710743801653</v>
      </c>
      <c r="M33" s="15">
        <f>IF(BB13&gt;0,(BB15/BB13),"")</f>
        <v>0.16363636363636364</v>
      </c>
      <c r="N33" s="15">
        <f>IF(BE13&gt;0,(BE15/BE13),"")</f>
        <v>0.14233576642335766</v>
      </c>
      <c r="O33" s="15">
        <f>IF(BH13&gt;0,(BH15/BH13),"")</f>
        <v>0.15412186379928317</v>
      </c>
      <c r="P33" s="15">
        <f>IF(BK13&gt;0,(BK15/BK13),"")</f>
        <v>0.1853035143769968</v>
      </c>
      <c r="Q33" s="15">
        <f>IF(BN13&gt;0,(BN15/BN13),"")</f>
        <v>0.1623931623931624</v>
      </c>
      <c r="R33" s="15">
        <f>IF(BQ13&gt;0,(BQ15/BQ13),"")</f>
        <v>0.13214285714285715</v>
      </c>
      <c r="S33" s="15">
        <f>IF(BT13&gt;0,(BT15/BT13),"")</f>
        <v>0.17446808510638298</v>
      </c>
      <c r="T33" s="15">
        <f>IF(BW13&gt;0,(BW15/BW13),"")</f>
        <v>0.18055555555555555</v>
      </c>
      <c r="U33" s="15">
        <f>IF(BZ13&gt;0,(BZ15/BZ13),"")</f>
        <v>0.19780219780219779</v>
      </c>
      <c r="V33" s="15">
        <f>IF(CC13&gt;0,(CC15/CC13),"")</f>
        <v>0.17142857142857143</v>
      </c>
      <c r="W33" s="15">
        <f t="shared" ref="W33:W34" si="72">CF15/CF$13</f>
        <v>0.15573770491803279</v>
      </c>
      <c r="X33" s="15">
        <f>CI15/CI$13</f>
        <v>0.12881355932203389</v>
      </c>
      <c r="Y33" s="15">
        <f>CL15/CL$13</f>
        <v>0.17375886524822695</v>
      </c>
      <c r="Z33" s="15">
        <f t="shared" si="71"/>
        <v>0.18587360594795538</v>
      </c>
      <c r="AA33" s="15">
        <f>CR15/CR$13</f>
        <v>0.14376996805111822</v>
      </c>
      <c r="AB33" s="51"/>
      <c r="AD33" s="4"/>
      <c r="AE33" s="4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3"/>
      <c r="CK33" s="3"/>
      <c r="CN33" s="3"/>
      <c r="CQ33" s="3"/>
    </row>
    <row r="34" spans="1:95" ht="13.5" customHeight="1" x14ac:dyDescent="0.2">
      <c r="A34" s="23"/>
      <c r="D34" s="3"/>
      <c r="E34" s="3" t="s">
        <v>62</v>
      </c>
      <c r="F34" s="18">
        <f>IF(AG13&gt;0,(AG16/AG13),"")</f>
        <v>4.398826979472141E-2</v>
      </c>
      <c r="G34" s="18">
        <f>IF(AJ13&gt;0,(AJ16/AJ13),"")</f>
        <v>4.9107142857142856E-2</v>
      </c>
      <c r="H34" s="18">
        <f>IF(AM13&gt;0,(AM16/AM13),"")</f>
        <v>3.4632034632034632E-2</v>
      </c>
      <c r="I34" s="18">
        <f>IF(AP13&gt;0,(AP16/AP13),"")</f>
        <v>6.354515050167224E-2</v>
      </c>
      <c r="J34" s="18">
        <f>IF(AS13&gt;0,(AS16/AS13),"")</f>
        <v>6.3492063492063489E-2</v>
      </c>
      <c r="K34" s="18">
        <f>IF(AV13&gt;0,(AV16/AV13),"")</f>
        <v>7.9772079772079771E-2</v>
      </c>
      <c r="L34" s="18">
        <f>IF(AY13&gt;0,(AY16/AY13),"")</f>
        <v>7.8512396694214878E-2</v>
      </c>
      <c r="M34" s="18">
        <f>IF(BB13&gt;0,(BB16/BB13),"")</f>
        <v>5.0909090909090911E-2</v>
      </c>
      <c r="N34" s="18">
        <f>IF(BE13&gt;0,(BE16/BE13),"")</f>
        <v>6.2043795620437957E-2</v>
      </c>
      <c r="O34" s="18">
        <f>IF(BH13&gt;0,(BH16/BH13),"")</f>
        <v>6.8100358422939072E-2</v>
      </c>
      <c r="P34" s="18">
        <f>IF(BK13&gt;0,(BK16/BK13),"")</f>
        <v>5.7507987220447282E-2</v>
      </c>
      <c r="Q34" s="18">
        <f>IF(BN13&gt;0,(BN16/BN13),"")</f>
        <v>5.128205128205128E-2</v>
      </c>
      <c r="R34" s="18">
        <f>IF(BQ13&gt;0,(BQ16/BQ13),"")</f>
        <v>7.1428571428571425E-2</v>
      </c>
      <c r="S34" s="18">
        <f>IF(BT13&gt;0,(BT16/BT13),"")</f>
        <v>5.106382978723404E-2</v>
      </c>
      <c r="T34" s="18">
        <f>IF(BW13&gt;0,(BW16/BW13),"")</f>
        <v>6.5972222222222224E-2</v>
      </c>
      <c r="U34" s="18">
        <f>IF(BZ13&gt;0,(BZ16/BZ13),"")</f>
        <v>4.3956043956043959E-2</v>
      </c>
      <c r="V34" s="18">
        <f>IF(CC13&gt;0,(CC16/CC13),"")</f>
        <v>6.7857142857142852E-2</v>
      </c>
      <c r="W34" s="18">
        <f t="shared" si="72"/>
        <v>6.1475409836065573E-2</v>
      </c>
      <c r="X34" s="18">
        <f>CI16/CI$13</f>
        <v>5.4237288135593219E-2</v>
      </c>
      <c r="Y34" s="18">
        <f>CL16/CL$13</f>
        <v>6.0283687943262408E-2</v>
      </c>
      <c r="Z34" s="18">
        <f t="shared" si="71"/>
        <v>5.204460966542751E-2</v>
      </c>
      <c r="AA34" s="18">
        <f t="shared" ref="AA34" si="73">CR16/CR$13</f>
        <v>3.5143769968051117E-2</v>
      </c>
      <c r="AB34" s="51"/>
      <c r="AD34" s="4"/>
      <c r="AE34" s="4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3"/>
      <c r="CK34" s="3"/>
      <c r="CN34" s="3"/>
      <c r="CQ34" s="3"/>
    </row>
    <row r="35" spans="1:95" ht="13.5" customHeight="1" x14ac:dyDescent="0.2">
      <c r="A35" s="23"/>
      <c r="D35" s="3"/>
      <c r="E35" s="3"/>
      <c r="F35" s="15">
        <f>IF(AG13&gt;0,(AG17/AG13),"")</f>
        <v>0.36656891495601174</v>
      </c>
      <c r="G35" s="15">
        <f>IF(AJ13&gt;0,(AJ17/AJ13),"")</f>
        <v>0.33482142857142855</v>
      </c>
      <c r="H35" s="15">
        <f>IF(AM13&gt;0,(AM17/AM13),"")</f>
        <v>0.35064935064935066</v>
      </c>
      <c r="I35" s="15">
        <f>IF(AP13&gt;0,(AP17/AP13),"")</f>
        <v>0.40802675585284282</v>
      </c>
      <c r="J35" s="15">
        <f>IF(AS13&gt;0,(AS17/AS13),"")</f>
        <v>0.3746031746031746</v>
      </c>
      <c r="K35" s="15">
        <f>IF(AV13&gt;0,(AV17/AV13),"")</f>
        <v>0.40170940170940173</v>
      </c>
      <c r="L35" s="15">
        <f>IF(AY13&gt;0,(AY17/AY13),"")</f>
        <v>0.47520661157024796</v>
      </c>
      <c r="M35" s="15">
        <f>IF(BB13&gt;0,(BB17/BB13),"")</f>
        <v>0.45818181818181819</v>
      </c>
      <c r="N35" s="15">
        <f>IF(BE13&gt;0,(BE17/BE13),"")</f>
        <v>0.49270072992700731</v>
      </c>
      <c r="O35" s="15">
        <f>IF(BH13&gt;0,(BH17/BH13),"")</f>
        <v>0.45519713261648748</v>
      </c>
      <c r="P35" s="15">
        <f>IF(BK13&gt;0,(BK17/BK13),"")</f>
        <v>0.46964856230031948</v>
      </c>
      <c r="Q35" s="15">
        <f>IF(BN13&gt;0,(BN17/BN13),"")</f>
        <v>0.5</v>
      </c>
      <c r="R35" s="15">
        <f>IF(BQ13&gt;0,(BQ17/BQ13),"")</f>
        <v>0.45714285714285713</v>
      </c>
      <c r="S35" s="15">
        <f>IF(BT13&gt;0,(BT17/BT13),"")</f>
        <v>0.46808510638297873</v>
      </c>
      <c r="T35" s="15">
        <f>IF(BW13&gt;0,(BW17/BW13),"")</f>
        <v>0.53472222222222221</v>
      </c>
      <c r="U35" s="15">
        <f>IF(BZ13&gt;0,(BZ17/BZ13),"")</f>
        <v>0.50915750915750912</v>
      </c>
      <c r="V35" s="15">
        <f>IF(CC13&gt;0,(CC17/CC13),"")</f>
        <v>0.48571428571428571</v>
      </c>
      <c r="W35" s="15">
        <f>CF17/CF$13</f>
        <v>0.45491803278688525</v>
      </c>
      <c r="X35" s="15">
        <f>CI17/CI$13</f>
        <v>0.43728813559322033</v>
      </c>
      <c r="Y35" s="15">
        <f>CL17/CL$13</f>
        <v>0.55319148936170215</v>
      </c>
      <c r="Z35" s="15">
        <f t="shared" si="71"/>
        <v>0.60223048327137552</v>
      </c>
      <c r="AA35" s="15">
        <f>CR17/CR$13</f>
        <v>0.52076677316293929</v>
      </c>
      <c r="AB35" s="51"/>
      <c r="AD35" s="4"/>
      <c r="AE35" s="4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3"/>
      <c r="CK35" s="3"/>
      <c r="CN35" s="3"/>
      <c r="CQ35" s="3"/>
    </row>
    <row r="36" spans="1:95" ht="13.5" customHeight="1" thickBot="1" x14ac:dyDescent="0.25">
      <c r="A36" s="23"/>
      <c r="B36" s="5"/>
      <c r="C36" s="5"/>
      <c r="D36" s="5"/>
      <c r="E36" s="5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3"/>
      <c r="AA36" s="3"/>
      <c r="AB36" s="24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H36" s="19"/>
      <c r="BI36" s="19"/>
      <c r="BK36" s="19"/>
      <c r="BL36" s="19"/>
      <c r="BN36" s="19"/>
      <c r="BO36" s="19"/>
      <c r="BQ36" s="19"/>
      <c r="BR36" s="19"/>
      <c r="BT36" s="19"/>
      <c r="BU36" s="19"/>
      <c r="BW36" s="19"/>
      <c r="BX36" s="19"/>
      <c r="BY36" s="39"/>
      <c r="BZ36" s="39"/>
      <c r="CA36" s="39"/>
      <c r="CB36" s="39"/>
      <c r="CC36" s="39"/>
      <c r="CD36" s="39"/>
      <c r="CF36" s="19"/>
      <c r="CG36" s="19"/>
    </row>
    <row r="37" spans="1:95" ht="13.5" customHeight="1" thickTop="1" x14ac:dyDescent="0.2">
      <c r="A37" s="23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5" t="s">
        <v>70</v>
      </c>
      <c r="P37" s="35" t="s">
        <v>69</v>
      </c>
      <c r="Q37" s="35" t="s">
        <v>40</v>
      </c>
      <c r="R37" s="35" t="s">
        <v>39</v>
      </c>
      <c r="S37" s="35" t="s">
        <v>38</v>
      </c>
      <c r="T37" s="35" t="s">
        <v>37</v>
      </c>
      <c r="U37" s="35" t="s">
        <v>36</v>
      </c>
      <c r="V37" s="35" t="s">
        <v>34</v>
      </c>
      <c r="W37" s="35" t="s">
        <v>33</v>
      </c>
      <c r="X37" s="35" t="s">
        <v>32</v>
      </c>
      <c r="Y37" s="35" t="s">
        <v>31</v>
      </c>
      <c r="Z37" s="3"/>
      <c r="AA37" s="3"/>
      <c r="AB37" s="24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61"/>
      <c r="AW37" s="61"/>
      <c r="AX37" s="39"/>
      <c r="AY37" s="61"/>
      <c r="AZ37" s="61"/>
      <c r="BA37" s="39"/>
      <c r="BB37" s="61"/>
      <c r="BC37" s="61"/>
      <c r="BD37" s="39"/>
      <c r="BE37" s="61"/>
      <c r="BF37" s="61"/>
      <c r="BG37" s="81" t="s">
        <v>50</v>
      </c>
      <c r="BH37" s="81"/>
      <c r="BI37" s="81"/>
      <c r="BJ37" s="81" t="s">
        <v>51</v>
      </c>
      <c r="BK37" s="81"/>
      <c r="BL37" s="81"/>
      <c r="BM37" s="81" t="s">
        <v>52</v>
      </c>
      <c r="BN37" s="81"/>
      <c r="BO37" s="81"/>
      <c r="BP37" s="81" t="s">
        <v>53</v>
      </c>
      <c r="BQ37" s="81"/>
      <c r="BR37" s="81"/>
      <c r="BS37" s="81" t="s">
        <v>54</v>
      </c>
      <c r="BT37" s="81"/>
      <c r="BU37" s="81"/>
      <c r="BV37" s="81" t="s">
        <v>55</v>
      </c>
      <c r="BW37" s="81"/>
      <c r="BX37" s="81"/>
      <c r="BY37" s="81" t="s">
        <v>56</v>
      </c>
      <c r="BZ37" s="81"/>
      <c r="CA37" s="81"/>
      <c r="CB37" s="81" t="s">
        <v>27</v>
      </c>
      <c r="CC37" s="81"/>
      <c r="CD37" s="81"/>
      <c r="CE37" s="81" t="s">
        <v>91</v>
      </c>
      <c r="CF37" s="81"/>
      <c r="CG37" s="81"/>
      <c r="CH37" s="81" t="s">
        <v>98</v>
      </c>
      <c r="CI37" s="81"/>
      <c r="CJ37" s="81"/>
      <c r="CK37" s="81" t="s">
        <v>102</v>
      </c>
      <c r="CL37" s="81"/>
      <c r="CM37" s="81"/>
    </row>
    <row r="38" spans="1:95" ht="13.5" customHeight="1" x14ac:dyDescent="0.2">
      <c r="A38" s="23"/>
      <c r="B38" s="4"/>
      <c r="C38" s="4"/>
      <c r="D38" s="4"/>
      <c r="E38" s="4"/>
      <c r="F38" s="3"/>
      <c r="G38" s="3"/>
      <c r="H38" s="3"/>
      <c r="I38" s="3"/>
      <c r="J38" s="3"/>
      <c r="K38" s="3"/>
      <c r="L38" s="3"/>
      <c r="M38" s="3"/>
      <c r="N38" s="3"/>
      <c r="O38" s="35" t="s">
        <v>35</v>
      </c>
      <c r="P38" s="35" t="s">
        <v>35</v>
      </c>
      <c r="Q38" s="35" t="s">
        <v>35</v>
      </c>
      <c r="R38" s="35" t="s">
        <v>35</v>
      </c>
      <c r="S38" s="35" t="s">
        <v>35</v>
      </c>
      <c r="T38" s="35" t="s">
        <v>35</v>
      </c>
      <c r="U38" s="35" t="s">
        <v>35</v>
      </c>
      <c r="V38" s="35" t="s">
        <v>35</v>
      </c>
      <c r="W38" s="35" t="s">
        <v>35</v>
      </c>
      <c r="X38" s="35" t="s">
        <v>35</v>
      </c>
      <c r="Y38" s="35" t="s">
        <v>35</v>
      </c>
      <c r="Z38" s="3"/>
      <c r="AA38" s="3"/>
      <c r="AB38" s="24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61"/>
      <c r="AW38" s="61"/>
      <c r="AX38" s="39"/>
      <c r="AY38" s="61"/>
      <c r="AZ38" s="61"/>
      <c r="BA38" s="39"/>
      <c r="BB38" s="61"/>
      <c r="BC38" s="61"/>
      <c r="BD38" s="39"/>
      <c r="BE38" s="61"/>
      <c r="BF38" s="61"/>
      <c r="BG38" s="81" t="s">
        <v>12</v>
      </c>
      <c r="BH38" s="81"/>
      <c r="BI38" s="81"/>
      <c r="BJ38" s="81" t="s">
        <v>13</v>
      </c>
      <c r="BK38" s="81"/>
      <c r="BL38" s="81"/>
      <c r="BM38" s="81" t="s">
        <v>14</v>
      </c>
      <c r="BN38" s="81"/>
      <c r="BO38" s="81"/>
      <c r="BP38" s="81" t="s">
        <v>15</v>
      </c>
      <c r="BQ38" s="81"/>
      <c r="BR38" s="81"/>
      <c r="BS38" s="81" t="s">
        <v>16</v>
      </c>
      <c r="BT38" s="81"/>
      <c r="BU38" s="81"/>
      <c r="BV38" s="81" t="s">
        <v>17</v>
      </c>
      <c r="BW38" s="81"/>
      <c r="BX38" s="81"/>
      <c r="BY38" s="81" t="s">
        <v>92</v>
      </c>
      <c r="BZ38" s="81"/>
      <c r="CA38" s="81"/>
      <c r="CB38" s="81" t="s">
        <v>99</v>
      </c>
      <c r="CC38" s="81"/>
      <c r="CD38" s="81"/>
      <c r="CE38" s="81" t="s">
        <v>101</v>
      </c>
      <c r="CF38" s="81"/>
      <c r="CG38" s="81"/>
      <c r="CH38" s="81" t="s">
        <v>104</v>
      </c>
      <c r="CI38" s="81"/>
      <c r="CJ38" s="81"/>
      <c r="CK38" s="81" t="s">
        <v>108</v>
      </c>
      <c r="CL38" s="81"/>
      <c r="CM38" s="81"/>
    </row>
    <row r="39" spans="1:95" ht="13.5" customHeight="1" x14ac:dyDescent="0.2">
      <c r="A39" s="23"/>
      <c r="B39" s="6"/>
      <c r="C39" s="6"/>
      <c r="D39" s="6"/>
      <c r="E39" s="6"/>
      <c r="F39" s="3"/>
      <c r="G39" s="3"/>
      <c r="H39" s="3"/>
      <c r="I39" s="3"/>
      <c r="J39" s="3"/>
      <c r="K39" s="3"/>
      <c r="L39" s="3"/>
      <c r="M39" s="3"/>
      <c r="N39" s="3"/>
      <c r="O39" s="31" t="s">
        <v>33</v>
      </c>
      <c r="P39" s="31" t="s">
        <v>32</v>
      </c>
      <c r="Q39" s="31" t="s">
        <v>31</v>
      </c>
      <c r="R39" s="31" t="s">
        <v>30</v>
      </c>
      <c r="S39" s="31" t="s">
        <v>29</v>
      </c>
      <c r="T39" s="31" t="s">
        <v>28</v>
      </c>
      <c r="U39" s="31" t="s">
        <v>90</v>
      </c>
      <c r="V39" s="31" t="s">
        <v>97</v>
      </c>
      <c r="W39" s="31" t="s">
        <v>100</v>
      </c>
      <c r="X39" s="31" t="s">
        <v>103</v>
      </c>
      <c r="Y39" s="31" t="s">
        <v>106</v>
      </c>
      <c r="Z39" s="3"/>
      <c r="AA39" s="3"/>
      <c r="AB39" s="24"/>
      <c r="AC39" s="3"/>
      <c r="AD39" s="3"/>
      <c r="AE39" s="3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61"/>
      <c r="AW39" s="61"/>
      <c r="AX39" s="39"/>
      <c r="AY39" s="61"/>
      <c r="AZ39" s="61"/>
      <c r="BA39" s="39"/>
      <c r="BB39" s="61"/>
      <c r="BC39" s="61"/>
      <c r="BD39" s="39"/>
      <c r="BE39" s="61"/>
      <c r="BF39" s="61"/>
      <c r="BG39" s="35"/>
      <c r="BH39" s="35"/>
      <c r="BI39" s="35" t="s">
        <v>18</v>
      </c>
      <c r="BJ39" s="35"/>
      <c r="BK39" s="35"/>
      <c r="BL39" s="35" t="s">
        <v>18</v>
      </c>
      <c r="BM39" s="35"/>
      <c r="BN39" s="35"/>
      <c r="BO39" s="35" t="s">
        <v>18</v>
      </c>
      <c r="BP39" s="35"/>
      <c r="BQ39" s="35"/>
      <c r="BR39" s="35" t="s">
        <v>18</v>
      </c>
      <c r="BS39" s="35"/>
      <c r="BT39" s="35"/>
      <c r="BU39" s="35" t="s">
        <v>18</v>
      </c>
      <c r="BV39" s="35"/>
      <c r="BW39" s="35"/>
      <c r="BX39" s="35" t="s">
        <v>18</v>
      </c>
      <c r="BY39" s="35"/>
      <c r="BZ39" s="35"/>
      <c r="CA39" s="35" t="s">
        <v>18</v>
      </c>
      <c r="CB39" s="35"/>
      <c r="CC39" s="35"/>
      <c r="CD39" s="35" t="s">
        <v>18</v>
      </c>
      <c r="CE39" s="35"/>
      <c r="CF39" s="35"/>
      <c r="CG39" s="35" t="s">
        <v>18</v>
      </c>
      <c r="CJ39" s="35" t="s">
        <v>18</v>
      </c>
      <c r="CM39" s="35" t="s">
        <v>18</v>
      </c>
    </row>
    <row r="40" spans="1:95" ht="13.5" customHeight="1" x14ac:dyDescent="0.2">
      <c r="A40" s="2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5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49"/>
      <c r="AC40" s="7"/>
      <c r="AD40" s="7"/>
      <c r="AE40" s="7"/>
      <c r="AF40" s="79"/>
      <c r="AG40" s="79"/>
      <c r="AH40" s="79"/>
      <c r="AI40" s="79"/>
      <c r="AJ40" s="79"/>
      <c r="AK40" s="79"/>
      <c r="AL40" s="79"/>
      <c r="AM40" s="7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H40" s="19"/>
      <c r="BI40" s="19"/>
      <c r="BK40" s="19"/>
      <c r="BL40" s="19"/>
      <c r="BN40" s="19"/>
      <c r="BO40" s="19"/>
      <c r="BQ40" s="19"/>
      <c r="BR40" s="19"/>
      <c r="BT40" s="19"/>
      <c r="BU40" s="19"/>
      <c r="BW40" s="19"/>
      <c r="BX40" s="19"/>
      <c r="BY40" s="39"/>
      <c r="BZ40" s="39"/>
      <c r="CA40" s="39"/>
      <c r="CB40" s="39"/>
      <c r="CC40" s="39"/>
      <c r="CD40" s="39"/>
      <c r="CE40" s="39"/>
      <c r="CF40" s="39"/>
      <c r="CG40" s="39"/>
    </row>
    <row r="41" spans="1:95" ht="13.5" customHeight="1" x14ac:dyDescent="0.2">
      <c r="A41" s="23"/>
      <c r="B41" s="75" t="s">
        <v>23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24"/>
      <c r="AF41" s="79"/>
      <c r="AG41" s="79"/>
      <c r="AH41" s="79"/>
      <c r="AI41" s="79"/>
      <c r="AJ41" s="79"/>
      <c r="AK41" s="79"/>
      <c r="AL41" s="79"/>
      <c r="AM41" s="7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Y41" s="39"/>
      <c r="BZ41" s="39"/>
      <c r="CA41" s="39"/>
      <c r="CB41" s="39"/>
      <c r="CC41" s="39"/>
      <c r="CD41" s="39"/>
      <c r="CE41" s="39"/>
      <c r="CF41" s="39"/>
      <c r="CG41" s="39"/>
    </row>
    <row r="42" spans="1:95" ht="13.5" customHeight="1" x14ac:dyDescent="0.25">
      <c r="A42" s="23"/>
      <c r="B42" s="3"/>
      <c r="C42" s="4" t="s">
        <v>19</v>
      </c>
      <c r="D42" s="3"/>
      <c r="E42" s="3"/>
      <c r="F42" s="73"/>
      <c r="G42" s="73"/>
      <c r="H42" s="73"/>
      <c r="I42" s="73"/>
      <c r="J42" s="73"/>
      <c r="K42" s="73"/>
      <c r="L42" s="73"/>
      <c r="M42" s="73"/>
      <c r="N42" s="73"/>
      <c r="O42" s="68"/>
      <c r="P42" s="68"/>
      <c r="Q42" s="68"/>
      <c r="R42" s="68"/>
      <c r="S42" s="68"/>
      <c r="T42" s="68"/>
      <c r="U42" s="68"/>
      <c r="V42" s="73"/>
      <c r="W42" s="73"/>
      <c r="X42" s="73"/>
      <c r="Y42" s="73"/>
      <c r="Z42" s="73"/>
      <c r="AA42" s="73"/>
      <c r="AB42" s="48"/>
      <c r="AF42" s="96" t="s">
        <v>19</v>
      </c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</row>
    <row r="43" spans="1:95" ht="13.5" customHeight="1" x14ac:dyDescent="0.2">
      <c r="A43" s="23"/>
      <c r="B43" s="3"/>
      <c r="C43" s="3"/>
      <c r="D43" s="3" t="s">
        <v>64</v>
      </c>
      <c r="E43" s="3"/>
      <c r="F43" s="3"/>
      <c r="G43" s="3"/>
      <c r="H43" s="26"/>
      <c r="I43" s="3"/>
      <c r="J43" s="3"/>
      <c r="K43" s="3"/>
      <c r="L43" s="3"/>
      <c r="M43" s="3"/>
      <c r="N43" s="3"/>
      <c r="O43" s="11">
        <f>BI43</f>
        <v>496</v>
      </c>
      <c r="P43" s="11">
        <f>BL43</f>
        <v>515</v>
      </c>
      <c r="Q43" s="11">
        <f>BO43</f>
        <v>426</v>
      </c>
      <c r="R43" s="11">
        <f>BR43</f>
        <v>464</v>
      </c>
      <c r="S43" s="11">
        <f>BU43</f>
        <v>398</v>
      </c>
      <c r="T43" s="11">
        <f>BX43</f>
        <v>497</v>
      </c>
      <c r="U43" s="11">
        <f>CA43</f>
        <v>476</v>
      </c>
      <c r="V43" s="11">
        <f>CD43</f>
        <v>462</v>
      </c>
      <c r="W43" s="11">
        <f>CG43</f>
        <v>437</v>
      </c>
      <c r="X43" s="11">
        <f>CJ43</f>
        <v>494</v>
      </c>
      <c r="Y43" s="11">
        <f>CM43</f>
        <v>479</v>
      </c>
      <c r="Z43" s="3"/>
      <c r="AA43" s="3"/>
      <c r="AB43" s="24"/>
      <c r="AD43" s="3" t="s">
        <v>64</v>
      </c>
      <c r="AF43" s="16"/>
      <c r="AG43" s="16"/>
      <c r="AH43" s="16"/>
      <c r="AI43" s="16"/>
      <c r="AJ43" s="16"/>
      <c r="AK43" s="16"/>
      <c r="AL43" s="16"/>
      <c r="AM43" s="16"/>
      <c r="AN43" s="16"/>
      <c r="BG43" s="39"/>
      <c r="BH43" s="39"/>
      <c r="BI43" s="39">
        <v>496</v>
      </c>
      <c r="BJ43" s="39"/>
      <c r="BK43" s="39"/>
      <c r="BL43" s="39">
        <v>515</v>
      </c>
      <c r="BM43" s="39"/>
      <c r="BN43" s="39"/>
      <c r="BO43" s="39">
        <v>426</v>
      </c>
      <c r="BP43" s="39"/>
      <c r="BQ43" s="39"/>
      <c r="BR43" s="39">
        <v>464</v>
      </c>
      <c r="BS43" s="39"/>
      <c r="BT43" s="39"/>
      <c r="BU43" s="39">
        <v>398</v>
      </c>
      <c r="BV43" s="39"/>
      <c r="BW43" s="39"/>
      <c r="BX43" s="39">
        <v>497</v>
      </c>
      <c r="BY43" s="39"/>
      <c r="BZ43" s="39"/>
      <c r="CA43" s="39">
        <v>476</v>
      </c>
      <c r="CD43" s="39">
        <v>462</v>
      </c>
      <c r="CG43" s="39">
        <v>437</v>
      </c>
      <c r="CJ43" s="39">
        <v>494</v>
      </c>
      <c r="CM43" s="39">
        <v>479</v>
      </c>
    </row>
    <row r="44" spans="1:95" ht="13.5" customHeight="1" x14ac:dyDescent="0.2">
      <c r="A44" s="23"/>
      <c r="B44" s="3"/>
      <c r="C44" s="3"/>
      <c r="D44" s="15" t="s">
        <v>59</v>
      </c>
      <c r="E44" s="3" t="s">
        <v>63</v>
      </c>
      <c r="F44" s="3"/>
      <c r="G44" s="3"/>
      <c r="H44" s="26"/>
      <c r="I44" s="3"/>
      <c r="J44" s="3"/>
      <c r="K44" s="3"/>
      <c r="L44" s="3"/>
      <c r="M44" s="3"/>
      <c r="N44" s="3"/>
      <c r="O44" s="18">
        <f>IF(BI43&gt;0,(BI44/BI43),"")</f>
        <v>5.4435483870967742E-2</v>
      </c>
      <c r="P44" s="18">
        <f>IF(BL43&gt;0,(BL44/BL43),"")</f>
        <v>4.2718446601941747E-2</v>
      </c>
      <c r="Q44" s="18">
        <f>IF(BO43&gt;0,(BO44/BO43),"")</f>
        <v>4.4600938967136149E-2</v>
      </c>
      <c r="R44" s="18">
        <f>IF(BR43&gt;0,(BR44/BR43),"")</f>
        <v>3.8793103448275863E-2</v>
      </c>
      <c r="S44" s="18">
        <f>IF(BU43&gt;0,(BU44/BU43),"")</f>
        <v>4.2713567839195977E-2</v>
      </c>
      <c r="T44" s="18">
        <f>IF(BX43&gt;0,(BX44/BX43),"")</f>
        <v>2.6156941649899398E-2</v>
      </c>
      <c r="U44" s="18">
        <f>CA44/CA$43</f>
        <v>5.6722689075630252E-2</v>
      </c>
      <c r="V44" s="18">
        <f>CD44/CD$43</f>
        <v>4.3290043290043288E-2</v>
      </c>
      <c r="W44" s="18">
        <f>CG44/CG$43</f>
        <v>4.3478260869565216E-2</v>
      </c>
      <c r="X44" s="18">
        <f>CJ44/CJ$43</f>
        <v>4.8582995951417005E-2</v>
      </c>
      <c r="Y44" s="18">
        <f>CM44/CM$43</f>
        <v>3.9665970772442591E-2</v>
      </c>
      <c r="Z44" s="3"/>
      <c r="AA44" s="3"/>
      <c r="AB44" s="24"/>
      <c r="AD44" s="15" t="s">
        <v>59</v>
      </c>
      <c r="AE44" s="3" t="s">
        <v>63</v>
      </c>
      <c r="AF44" s="20"/>
      <c r="AG44" s="20"/>
      <c r="AH44" s="20"/>
      <c r="AI44" s="20"/>
      <c r="AJ44" s="20"/>
      <c r="AK44" s="20"/>
      <c r="AL44" s="20"/>
      <c r="AM44" s="20"/>
      <c r="AN44" s="20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41"/>
      <c r="BH44" s="41"/>
      <c r="BI44" s="41">
        <v>27</v>
      </c>
      <c r="BJ44" s="41"/>
      <c r="BK44" s="41"/>
      <c r="BL44" s="41">
        <v>22</v>
      </c>
      <c r="BM44" s="41"/>
      <c r="BN44" s="41"/>
      <c r="BO44" s="41">
        <v>19</v>
      </c>
      <c r="BP44" s="41"/>
      <c r="BQ44" s="41"/>
      <c r="BR44" s="41">
        <v>18</v>
      </c>
      <c r="BS44" s="41"/>
      <c r="BT44" s="41"/>
      <c r="BU44" s="41">
        <v>17</v>
      </c>
      <c r="BV44" s="41"/>
      <c r="BW44" s="41"/>
      <c r="BX44" s="41">
        <v>13</v>
      </c>
      <c r="BY44" s="41"/>
      <c r="BZ44" s="41"/>
      <c r="CA44" s="41">
        <v>27</v>
      </c>
      <c r="CD44" s="41">
        <v>20</v>
      </c>
      <c r="CG44" s="41">
        <v>19</v>
      </c>
      <c r="CJ44" s="41">
        <v>24</v>
      </c>
      <c r="CM44" s="41">
        <v>19</v>
      </c>
    </row>
    <row r="45" spans="1:95" ht="13.5" customHeight="1" x14ac:dyDescent="0.2">
      <c r="A45" s="23"/>
      <c r="B45" s="3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5">
        <f>IF(BI43&gt;0,(BI45/BI43),"")</f>
        <v>0.47983870967741937</v>
      </c>
      <c r="P45" s="15">
        <f>IF(BL43&gt;0,(BL45/BL43),"")</f>
        <v>0.47572815533980584</v>
      </c>
      <c r="Q45" s="15">
        <f>IF(BO43&gt;0,(BO45/BO43),"")</f>
        <v>0.50704225352112675</v>
      </c>
      <c r="R45" s="15">
        <f>IF(BR43&gt;0,(BR45/BR43),"")</f>
        <v>0.45043103448275862</v>
      </c>
      <c r="S45" s="15">
        <f>IF(BU43&gt;0,(BU45/BU43),"")</f>
        <v>0.47236180904522612</v>
      </c>
      <c r="T45" s="15">
        <f>IF(BX43&gt;0,(BX45/BX43),"")</f>
        <v>0.53118712273641855</v>
      </c>
      <c r="U45" s="15">
        <f>CA45/CA$43</f>
        <v>0.52310924369747902</v>
      </c>
      <c r="V45" s="15">
        <f>CD45/CD$43</f>
        <v>0.5</v>
      </c>
      <c r="W45" s="15">
        <f>CG45/CG$43</f>
        <v>0.459954233409611</v>
      </c>
      <c r="X45" s="15">
        <f>CJ45/CJ$43</f>
        <v>0.45951417004048584</v>
      </c>
      <c r="Y45" s="15">
        <f>CM45/CM$43</f>
        <v>0.57202505219206679</v>
      </c>
      <c r="Z45" s="3"/>
      <c r="AA45" s="3"/>
      <c r="AB45" s="24"/>
      <c r="AE45" s="35" t="s">
        <v>89</v>
      </c>
      <c r="AF45" s="3"/>
      <c r="AG45" s="3"/>
      <c r="AH45" s="3"/>
      <c r="AI45" s="3"/>
      <c r="AJ45" s="3"/>
      <c r="AK45" s="3"/>
      <c r="AL45" s="81"/>
      <c r="AM45" s="81"/>
      <c r="AN45" s="8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41"/>
      <c r="BH45" s="41"/>
      <c r="BI45" s="41">
        <f>BI17+BI44</f>
        <v>238</v>
      </c>
      <c r="BJ45" s="41"/>
      <c r="BK45" s="41"/>
      <c r="BL45" s="41">
        <f>BL17+BL44</f>
        <v>245</v>
      </c>
      <c r="BM45" s="41"/>
      <c r="BN45" s="41"/>
      <c r="BO45" s="41">
        <f>BO17+BO44</f>
        <v>216</v>
      </c>
      <c r="BP45" s="41"/>
      <c r="BQ45" s="41"/>
      <c r="BR45" s="41">
        <f>BR17+BR44</f>
        <v>209</v>
      </c>
      <c r="BS45" s="41"/>
      <c r="BT45" s="41"/>
      <c r="BU45" s="41">
        <f>BU17+BU44</f>
        <v>188</v>
      </c>
      <c r="BV45" s="41"/>
      <c r="BW45" s="41"/>
      <c r="BX45" s="41">
        <f>BX17+BX44</f>
        <v>264</v>
      </c>
      <c r="BY45" s="41"/>
      <c r="BZ45" s="41"/>
      <c r="CA45" s="41">
        <f>CA17+CA44</f>
        <v>249</v>
      </c>
      <c r="CD45" s="41">
        <f>CD17+CD44</f>
        <v>231</v>
      </c>
      <c r="CG45" s="41">
        <f>CG17+CG44</f>
        <v>201</v>
      </c>
      <c r="CJ45" s="41">
        <f>CJ17+CJ44</f>
        <v>227</v>
      </c>
      <c r="CM45" s="41">
        <f>CM17+CM44</f>
        <v>274</v>
      </c>
    </row>
    <row r="46" spans="1:95" ht="13.5" customHeight="1" x14ac:dyDescent="0.2">
      <c r="A46" s="23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24"/>
      <c r="AL46" s="15"/>
      <c r="AM46" s="3"/>
      <c r="AN46" s="3"/>
    </row>
    <row r="47" spans="1:95" ht="13.5" customHeight="1" x14ac:dyDescent="0.2">
      <c r="A47" s="2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24"/>
      <c r="AL47" s="21"/>
      <c r="AM47" s="35"/>
      <c r="AN47" s="3"/>
    </row>
    <row r="48" spans="1:95" ht="13.5" customHeight="1" x14ac:dyDescent="0.25">
      <c r="A48" s="23"/>
      <c r="B48" s="91" t="s">
        <v>66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84"/>
      <c r="U48" s="84"/>
      <c r="V48" s="84"/>
      <c r="W48" s="3"/>
      <c r="X48" s="3"/>
      <c r="Y48" s="3"/>
      <c r="Z48" s="3"/>
      <c r="AA48" s="3"/>
      <c r="AB48" s="24"/>
      <c r="AL48" s="21"/>
      <c r="AM48" s="35"/>
      <c r="AN48" s="3"/>
    </row>
    <row r="49" spans="1:39" ht="13.5" hidden="1" customHeight="1" x14ac:dyDescent="0.2">
      <c r="A49" s="23"/>
      <c r="B49" s="3" t="s">
        <v>68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24"/>
      <c r="AF49" s="63"/>
      <c r="AG49" s="63"/>
      <c r="AH49" s="63"/>
      <c r="AI49" s="63"/>
      <c r="AJ49" s="63"/>
      <c r="AK49" s="63"/>
      <c r="AL49" s="63"/>
      <c r="AM49" s="63"/>
    </row>
    <row r="50" spans="1:39" ht="13.5" customHeight="1" x14ac:dyDescent="0.25">
      <c r="A50" s="27"/>
      <c r="B50" s="92" t="s">
        <v>67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3"/>
      <c r="U50" s="93"/>
      <c r="V50" s="93"/>
      <c r="W50" s="31"/>
      <c r="X50" s="31"/>
      <c r="Y50" s="31"/>
      <c r="Z50" s="31"/>
      <c r="AA50" s="31" t="s">
        <v>109</v>
      </c>
      <c r="AB50" s="70"/>
    </row>
  </sheetData>
  <mergeCells count="73">
    <mergeCell ref="CQ7:CS7"/>
    <mergeCell ref="CQ8:CS8"/>
    <mergeCell ref="BY38:CA38"/>
    <mergeCell ref="AL45:AN45"/>
    <mergeCell ref="BG38:BI38"/>
    <mergeCell ref="BJ38:BL38"/>
    <mergeCell ref="AL8:AN8"/>
    <mergeCell ref="AO8:AQ8"/>
    <mergeCell ref="AR8:AT8"/>
    <mergeCell ref="BA8:BC8"/>
    <mergeCell ref="BD8:BF8"/>
    <mergeCell ref="AX8:AZ8"/>
    <mergeCell ref="CE7:CG7"/>
    <mergeCell ref="CE8:CG8"/>
    <mergeCell ref="CE38:CG38"/>
    <mergeCell ref="BG37:BI37"/>
    <mergeCell ref="A2:AB2"/>
    <mergeCell ref="BA7:BC7"/>
    <mergeCell ref="BD7:BF7"/>
    <mergeCell ref="BG7:BI7"/>
    <mergeCell ref="BJ7:BL7"/>
    <mergeCell ref="AI7:AK7"/>
    <mergeCell ref="AL7:AN7"/>
    <mergeCell ref="AO7:AQ7"/>
    <mergeCell ref="AR7:AT7"/>
    <mergeCell ref="AU7:AW7"/>
    <mergeCell ref="AX7:AZ7"/>
    <mergeCell ref="AF7:AH7"/>
    <mergeCell ref="BJ37:BL37"/>
    <mergeCell ref="CH7:CJ7"/>
    <mergeCell ref="CH8:CJ8"/>
    <mergeCell ref="BY8:CA8"/>
    <mergeCell ref="BJ8:BL8"/>
    <mergeCell ref="CB37:CD37"/>
    <mergeCell ref="BP8:BR8"/>
    <mergeCell ref="CB8:CD8"/>
    <mergeCell ref="BY37:CA37"/>
    <mergeCell ref="BY7:CA7"/>
    <mergeCell ref="BM37:BO37"/>
    <mergeCell ref="BP37:BR37"/>
    <mergeCell ref="BS37:BU37"/>
    <mergeCell ref="BM8:BO8"/>
    <mergeCell ref="AF8:AH8"/>
    <mergeCell ref="AI8:AK8"/>
    <mergeCell ref="CB7:CD7"/>
    <mergeCell ref="BM7:BO7"/>
    <mergeCell ref="BP7:BR7"/>
    <mergeCell ref="BS7:BU7"/>
    <mergeCell ref="AU8:AW8"/>
    <mergeCell ref="BG8:BI8"/>
    <mergeCell ref="CN7:CP7"/>
    <mergeCell ref="CN8:CP8"/>
    <mergeCell ref="BV7:BX7"/>
    <mergeCell ref="BV8:BX8"/>
    <mergeCell ref="BS8:BU8"/>
    <mergeCell ref="CK7:CM7"/>
    <mergeCell ref="CK8:CM8"/>
    <mergeCell ref="B48:V48"/>
    <mergeCell ref="B50:V50"/>
    <mergeCell ref="CK37:CM37"/>
    <mergeCell ref="CK38:CM38"/>
    <mergeCell ref="AF12:CS12"/>
    <mergeCell ref="AF18:CS18"/>
    <mergeCell ref="AF42:CM42"/>
    <mergeCell ref="CH37:CJ37"/>
    <mergeCell ref="CH38:CJ38"/>
    <mergeCell ref="BM38:BO38"/>
    <mergeCell ref="BP38:BR38"/>
    <mergeCell ref="BS38:BU38"/>
    <mergeCell ref="BV38:BX38"/>
    <mergeCell ref="BV37:BX37"/>
    <mergeCell ref="CB38:CD38"/>
    <mergeCell ref="CE37:CG37"/>
  </mergeCells>
  <hyperlinks>
    <hyperlink ref="B50:Q50" r:id="rId1" display="Source: IPEDS Graduation Rates 200 Survey (GR200)"/>
    <hyperlink ref="B48:P48" r:id="rId2" display="Source: IPEDS Graduation Rate Survey (GRS)"/>
  </hyperlinks>
  <printOptions horizontalCentered="1"/>
  <pageMargins left="0.7" right="0.45" top="0.5" bottom="0.5" header="0.3" footer="0.3"/>
  <pageSetup scale="93" orientation="portrait" r:id="rId3"/>
  <ignoredErrors>
    <ignoredError sqref="AF17:CD17 AF23:CD23 AF19:AG19 AI19:AJ19 AF20:AG22 AI20:AJ22 AL19:AM19 AO19:AP19 AL20:AM22 AO20:AP20 AR19:AS19 AR20:AS20 AU19:AV19 AU20:AV22 AX19:AY19 AX20:AY22 BA19:BB19 BA20:BB22 BD19:BE19 BD20:BE22 BG19:BH19 BG20:BH22 BJ19:BK19 BJ20:BK22 BM19:BN19 BM20:BN22 BP19:BQ19 BP20:BQ22 BS19:BT19 BS20:BT22 AS21:AS22 CE17:CF17 CH17:CJ17 CK17:CL17 CN17:CO17 CQ17:CR17" formulaRange="1"/>
    <ignoredError sqref="AR21:AR22 AO21:AP22" formula="1" formulaRange="1"/>
    <ignoredError sqref="AQ21:AQ22 CJ20" formula="1"/>
    <ignoredError sqref="W14:W35 X20 X22:X23 AA14:AA17 AA26:AA35 AA20:AA2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UM System</vt:lpstr>
      <vt:lpstr>MU</vt:lpstr>
      <vt:lpstr>UMKC</vt:lpstr>
      <vt:lpstr>S&amp;T</vt:lpstr>
      <vt:lpstr>UMSL</vt:lpstr>
      <vt:lpstr>MU!Print_Area</vt:lpstr>
      <vt:lpstr>'S&amp;T'!Print_Area</vt:lpstr>
      <vt:lpstr>'UM System'!Print_Area</vt:lpstr>
      <vt:lpstr>UMKC!Print_Area</vt:lpstr>
      <vt:lpstr>UMSL!Print_Area</vt:lpstr>
    </vt:vector>
  </TitlesOfParts>
  <Company>University of Missouri-Columbia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Sade, Randy</dc:creator>
  <cp:lastModifiedBy>Sade, Randy</cp:lastModifiedBy>
  <cp:lastPrinted>2018-03-08T21:02:59Z</cp:lastPrinted>
  <dcterms:created xsi:type="dcterms:W3CDTF">2015-01-20T20:35:07Z</dcterms:created>
  <dcterms:modified xsi:type="dcterms:W3CDTF">2019-03-05T15:32:46Z</dcterms:modified>
</cp:coreProperties>
</file>