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035" windowWidth="11670" windowHeight="7020" activeTab="0"/>
  </bookViews>
  <sheets>
    <sheet name="MU" sheetId="1" r:id="rId1"/>
    <sheet name="UMKC" sheetId="2" r:id="rId2"/>
    <sheet name="S&amp;T" sheetId="3" r:id="rId3"/>
    <sheet name="UMSL" sheetId="4" r:id="rId4"/>
    <sheet name="System" sheetId="5" r:id="rId5"/>
  </sheets>
  <definedNames/>
  <calcPr fullCalcOnLoad="1"/>
</workbook>
</file>

<file path=xl/sharedStrings.xml><?xml version="1.0" encoding="utf-8"?>
<sst xmlns="http://schemas.openxmlformats.org/spreadsheetml/2006/main" count="250" uniqueCount="49">
  <si>
    <t xml:space="preserve">STUDENT CREDIT HOURS BY STUDENT LEVEL </t>
  </si>
  <si>
    <t>UNIVERSITY OF MISSOURI-COLUMBIA</t>
  </si>
  <si>
    <t>ON CAMPUS</t>
  </si>
  <si>
    <t>Undergraduate</t>
  </si>
  <si>
    <t>First Professional</t>
  </si>
  <si>
    <t>Graduate</t>
  </si>
  <si>
    <t>OFF CAMPUS</t>
  </si>
  <si>
    <t>UNIVERSITY OF MISSOURI-KANSAS CITY</t>
  </si>
  <si>
    <t>TABLE 1.33</t>
  </si>
  <si>
    <t>STUDENT CREDIT HOURS BY STUDENT LEVEL</t>
  </si>
  <si>
    <t>FY 1996</t>
  </si>
  <si>
    <t>FY 1995</t>
  </si>
  <si>
    <t>FY 1994</t>
  </si>
  <si>
    <t>FY 1993</t>
  </si>
  <si>
    <t>FY 1997</t>
  </si>
  <si>
    <t>FY 1998</t>
  </si>
  <si>
    <t>FY 1999</t>
  </si>
  <si>
    <t>FY 1992</t>
  </si>
  <si>
    <t>FY 1991</t>
  </si>
  <si>
    <t>UNIVERSITY OF MISSOURI-ST. LOUIS</t>
  </si>
  <si>
    <t>FY 2000</t>
  </si>
  <si>
    <t>FY 2001</t>
  </si>
  <si>
    <t>FY 2002</t>
  </si>
  <si>
    <t>FY 2003</t>
  </si>
  <si>
    <t>FY 2004</t>
  </si>
  <si>
    <t>UNIVERSITY OF MISSOURI SYSTEM</t>
  </si>
  <si>
    <t>FY 1990</t>
  </si>
  <si>
    <t>FY 1989</t>
  </si>
  <si>
    <t>FY 1988</t>
  </si>
  <si>
    <t>FY 1987</t>
  </si>
  <si>
    <t>FY 1986</t>
  </si>
  <si>
    <t>FY 1985</t>
  </si>
  <si>
    <t>FY 1984</t>
  </si>
  <si>
    <t>FY 1983</t>
  </si>
  <si>
    <t>FY 1982</t>
  </si>
  <si>
    <t>FY 1981</t>
  </si>
  <si>
    <t>FY 2005</t>
  </si>
  <si>
    <t>GRAND TOTAL</t>
  </si>
  <si>
    <t>Source: DHE 15 (Missouri Coordinating Board for Higher Education)</t>
  </si>
  <si>
    <t>FY 2006</t>
  </si>
  <si>
    <t>FY 2007</t>
  </si>
  <si>
    <t>FY 2008</t>
  </si>
  <si>
    <t>MISSOURI UNIVERSITY OF SCIENCE AND TECHNOLOGY</t>
  </si>
  <si>
    <t>FY 2009</t>
  </si>
  <si>
    <t>FY 2010</t>
  </si>
  <si>
    <t>FY 2011</t>
  </si>
  <si>
    <t>FY 2012</t>
  </si>
  <si>
    <t>FY 2013</t>
  </si>
  <si>
    <t>IR&amp;P  9/13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</si>
</sst>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"/>
  </numFmts>
  <fonts count="42">
    <font>
      <sz val="10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8.7"/>
      <color indexed="12"/>
      <name val="Times New Roman"/>
      <family val="1"/>
    </font>
    <font>
      <u val="single"/>
      <sz val="8.7"/>
      <color indexed="36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" fontId="2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" fontId="7" fillId="0" borderId="13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1" fontId="7" fillId="33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37" fontId="5" fillId="33" borderId="0" xfId="0" applyNumberFormat="1" applyFont="1" applyFill="1" applyAlignment="1" applyProtection="1">
      <alignment/>
      <protection/>
    </xf>
    <xf numFmtId="1" fontId="5" fillId="33" borderId="0" xfId="0" applyNumberFormat="1" applyFont="1" applyFill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5" fillId="0" borderId="16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1" fontId="6" fillId="0" borderId="0" xfId="0" applyNumberFormat="1" applyFont="1" applyAlignment="1">
      <alignment/>
    </xf>
    <xf numFmtId="0" fontId="5" fillId="0" borderId="14" xfId="0" applyFont="1" applyBorder="1" applyAlignment="1" applyProtection="1">
      <alignment horizontal="right"/>
      <protection/>
    </xf>
    <xf numFmtId="1" fontId="5" fillId="0" borderId="14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5" fillId="33" borderId="0" xfId="0" applyNumberFormat="1" applyFont="1" applyFill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/>
    </xf>
    <xf numFmtId="1" fontId="5" fillId="0" borderId="15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right"/>
      <protection/>
    </xf>
    <xf numFmtId="1" fontId="5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>
      <alignment/>
    </xf>
    <xf numFmtId="0" fontId="2" fillId="33" borderId="0" xfId="0" applyFont="1" applyFill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28"/>
  <sheetViews>
    <sheetView tabSelected="1" zoomScalePageLayoutView="0" workbookViewId="0" topLeftCell="A1">
      <selection activeCell="A1" sqref="A1"/>
    </sheetView>
  </sheetViews>
  <sheetFormatPr defaultColWidth="9.83203125" defaultRowHeight="12.75" customHeight="1"/>
  <cols>
    <col min="1" max="1" width="2.83203125" style="8" customWidth="1"/>
    <col min="2" max="2" width="3.16015625" style="8" customWidth="1"/>
    <col min="3" max="3" width="16.83203125" style="8" customWidth="1"/>
    <col min="4" max="22" width="12.33203125" style="8" hidden="1" customWidth="1"/>
    <col min="23" max="31" width="12.33203125" style="42" hidden="1" customWidth="1"/>
    <col min="32" max="32" width="12.33203125" style="42" customWidth="1"/>
    <col min="33" max="33" width="3.83203125" style="42" customWidth="1"/>
    <col min="34" max="34" width="12.33203125" style="42" customWidth="1"/>
    <col min="35" max="35" width="3.83203125" style="42" customWidth="1"/>
    <col min="36" max="36" width="12.33203125" style="42" customWidth="1"/>
    <col min="37" max="37" width="3.83203125" style="42" customWidth="1"/>
    <col min="38" max="38" width="12.33203125" style="42" customWidth="1"/>
    <col min="39" max="39" width="3.83203125" style="42" customWidth="1"/>
    <col min="40" max="40" width="12.33203125" style="42" customWidth="1"/>
    <col min="41" max="41" width="2.83203125" style="8" customWidth="1"/>
    <col min="42" max="16384" width="9.83203125" style="8" customWidth="1"/>
  </cols>
  <sheetData>
    <row r="1" spans="1:41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6"/>
    </row>
    <row r="2" spans="1:41" s="4" customFormat="1" ht="12.75" customHeight="1">
      <c r="A2" s="69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ht="12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</row>
    <row r="4" spans="1:41" s="4" customFormat="1" ht="12.75" customHeight="1">
      <c r="A4" s="2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1"/>
    </row>
    <row r="5" spans="1:41" s="4" customFormat="1" ht="12.75" customHeight="1">
      <c r="A5" s="2"/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"/>
    </row>
    <row r="6" spans="1:41" ht="12.75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2"/>
    </row>
    <row r="7" spans="1:41" ht="13.5" customHeight="1" thickTop="1">
      <c r="A7" s="9"/>
      <c r="B7" s="16"/>
      <c r="C7" s="16"/>
      <c r="D7" s="43" t="s">
        <v>35</v>
      </c>
      <c r="E7" s="43" t="s">
        <v>34</v>
      </c>
      <c r="F7" s="43" t="s">
        <v>33</v>
      </c>
      <c r="G7" s="43" t="s">
        <v>32</v>
      </c>
      <c r="H7" s="43" t="s">
        <v>31</v>
      </c>
      <c r="I7" s="43" t="s">
        <v>30</v>
      </c>
      <c r="J7" s="43" t="s">
        <v>29</v>
      </c>
      <c r="K7" s="43" t="s">
        <v>28</v>
      </c>
      <c r="L7" s="43" t="s">
        <v>27</v>
      </c>
      <c r="M7" s="43" t="s">
        <v>26</v>
      </c>
      <c r="N7" s="43" t="s">
        <v>18</v>
      </c>
      <c r="O7" s="43" t="s">
        <v>17</v>
      </c>
      <c r="P7" s="43" t="s">
        <v>13</v>
      </c>
      <c r="Q7" s="43" t="s">
        <v>12</v>
      </c>
      <c r="R7" s="43" t="s">
        <v>11</v>
      </c>
      <c r="S7" s="43" t="s">
        <v>10</v>
      </c>
      <c r="T7" s="43" t="s">
        <v>14</v>
      </c>
      <c r="U7" s="43" t="s">
        <v>15</v>
      </c>
      <c r="V7" s="43" t="s">
        <v>16</v>
      </c>
      <c r="W7" s="44" t="s">
        <v>20</v>
      </c>
      <c r="X7" s="44" t="s">
        <v>21</v>
      </c>
      <c r="Y7" s="44" t="s">
        <v>22</v>
      </c>
      <c r="Z7" s="44" t="s">
        <v>23</v>
      </c>
      <c r="AA7" s="44" t="s">
        <v>24</v>
      </c>
      <c r="AB7" s="44" t="s">
        <v>36</v>
      </c>
      <c r="AC7" s="44" t="s">
        <v>39</v>
      </c>
      <c r="AD7" s="44" t="s">
        <v>40</v>
      </c>
      <c r="AE7" s="44" t="s">
        <v>41</v>
      </c>
      <c r="AF7" s="44" t="s">
        <v>43</v>
      </c>
      <c r="AG7" s="17"/>
      <c r="AH7" s="44" t="s">
        <v>44</v>
      </c>
      <c r="AI7" s="17"/>
      <c r="AJ7" s="44" t="s">
        <v>45</v>
      </c>
      <c r="AK7" s="17"/>
      <c r="AL7" s="44" t="s">
        <v>46</v>
      </c>
      <c r="AM7" s="17"/>
      <c r="AN7" s="44" t="s">
        <v>47</v>
      </c>
      <c r="AO7" s="12"/>
    </row>
    <row r="8" spans="1:41" ht="12.75" customHeight="1">
      <c r="A8" s="13"/>
      <c r="B8" s="68" t="s">
        <v>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2"/>
    </row>
    <row r="9" spans="1:41" ht="12.75" customHeight="1">
      <c r="A9" s="9"/>
      <c r="B9" s="20"/>
      <c r="C9" s="20" t="s">
        <v>3</v>
      </c>
      <c r="D9" s="21">
        <f>21286+267793+233471</f>
        <v>522550</v>
      </c>
      <c r="E9" s="21">
        <f>21888+272682+248546</f>
        <v>543116</v>
      </c>
      <c r="F9" s="21">
        <f>21382+263313+250602</f>
        <v>535297</v>
      </c>
      <c r="G9" s="21">
        <f>20129+254462+240436</f>
        <v>515027</v>
      </c>
      <c r="H9" s="21">
        <f>19370+245147+232603</f>
        <v>497120</v>
      </c>
      <c r="I9" s="21">
        <f>18872+236003+222118</f>
        <v>476993</v>
      </c>
      <c r="J9" s="21">
        <f>18500+234243+214520</f>
        <v>467263</v>
      </c>
      <c r="K9" s="21">
        <f>17627+238647+211338</f>
        <v>467612</v>
      </c>
      <c r="L9" s="21">
        <f>18319+246853+218987</f>
        <v>484159</v>
      </c>
      <c r="M9" s="21">
        <f>19511+253157+225633</f>
        <v>498301</v>
      </c>
      <c r="N9" s="21"/>
      <c r="O9" s="21">
        <v>495657</v>
      </c>
      <c r="P9" s="21">
        <v>465344</v>
      </c>
      <c r="Q9" s="21">
        <v>435905</v>
      </c>
      <c r="R9" s="21">
        <v>434921</v>
      </c>
      <c r="S9" s="21">
        <v>448573</v>
      </c>
      <c r="T9" s="21">
        <v>460562</v>
      </c>
      <c r="U9" s="21">
        <v>468264</v>
      </c>
      <c r="V9" s="22">
        <v>478005</v>
      </c>
      <c r="W9" s="22">
        <v>479157</v>
      </c>
      <c r="X9" s="22">
        <v>487607</v>
      </c>
      <c r="Y9" s="22">
        <v>501272</v>
      </c>
      <c r="Z9" s="22">
        <v>525385</v>
      </c>
      <c r="AA9" s="22">
        <v>548319</v>
      </c>
      <c r="AB9" s="22">
        <v>565150</v>
      </c>
      <c r="AC9" s="22">
        <v>581199</v>
      </c>
      <c r="AD9" s="22">
        <v>591086</v>
      </c>
      <c r="AE9" s="22">
        <f>22643+566337+44</f>
        <v>589024</v>
      </c>
      <c r="AF9" s="22">
        <v>624572</v>
      </c>
      <c r="AG9" s="22"/>
      <c r="AH9" s="22">
        <v>644691</v>
      </c>
      <c r="AI9" s="22"/>
      <c r="AJ9" s="22">
        <v>672232</v>
      </c>
      <c r="AK9" s="22"/>
      <c r="AL9" s="22">
        <v>693061</v>
      </c>
      <c r="AM9" s="22"/>
      <c r="AN9" s="22">
        <v>700828.5</v>
      </c>
      <c r="AO9" s="12"/>
    </row>
    <row r="10" spans="1:41" ht="12.75" customHeight="1">
      <c r="A10" s="9"/>
      <c r="B10" s="20"/>
      <c r="C10" s="20" t="s">
        <v>4</v>
      </c>
      <c r="D10" s="21">
        <f>4615+19904+19426</f>
        <v>43945</v>
      </c>
      <c r="E10" s="21">
        <f>4295+20255+19789</f>
        <v>44339</v>
      </c>
      <c r="F10" s="21">
        <f>4207+19533+19516</f>
        <v>43256</v>
      </c>
      <c r="G10" s="21">
        <f>3966+19672+19438</f>
        <v>43076</v>
      </c>
      <c r="H10" s="21">
        <f>4228+19824+19563</f>
        <v>43615</v>
      </c>
      <c r="I10" s="21">
        <f>4753+19257+19311</f>
        <v>43321</v>
      </c>
      <c r="J10" s="21">
        <f>4153+19941+18004</f>
        <v>42098</v>
      </c>
      <c r="K10" s="21">
        <f>4658+20213+19399</f>
        <v>44270</v>
      </c>
      <c r="L10" s="21">
        <f>4317+20002+19351</f>
        <v>43670</v>
      </c>
      <c r="M10" s="21">
        <f>4192+20294+19195</f>
        <v>43681</v>
      </c>
      <c r="N10" s="21"/>
      <c r="O10" s="21">
        <v>42863</v>
      </c>
      <c r="P10" s="21">
        <v>42183</v>
      </c>
      <c r="Q10" s="21">
        <v>41553</v>
      </c>
      <c r="R10" s="21">
        <v>40742</v>
      </c>
      <c r="S10" s="21">
        <v>38921</v>
      </c>
      <c r="T10" s="21">
        <v>40180</v>
      </c>
      <c r="U10" s="21">
        <v>41077</v>
      </c>
      <c r="V10" s="22">
        <v>43221</v>
      </c>
      <c r="W10" s="22">
        <f>48895-7532</f>
        <v>41363</v>
      </c>
      <c r="X10" s="22">
        <v>41247.5</v>
      </c>
      <c r="Y10" s="22">
        <f>49921-9690</f>
        <v>40231</v>
      </c>
      <c r="Z10" s="22">
        <f>56731-8482</f>
        <v>48249</v>
      </c>
      <c r="AA10" s="22">
        <v>37938</v>
      </c>
      <c r="AB10" s="22">
        <v>36094</v>
      </c>
      <c r="AC10" s="22">
        <v>37998</v>
      </c>
      <c r="AD10" s="22">
        <v>36906</v>
      </c>
      <c r="AE10" s="22">
        <f>3912+34633.5</f>
        <v>38545.5</v>
      </c>
      <c r="AF10" s="22">
        <v>38363</v>
      </c>
      <c r="AG10" s="22"/>
      <c r="AH10" s="22">
        <v>40490.5</v>
      </c>
      <c r="AI10" s="22"/>
      <c r="AJ10" s="22">
        <v>42637.5</v>
      </c>
      <c r="AK10" s="22"/>
      <c r="AL10" s="22">
        <v>44129.5</v>
      </c>
      <c r="AM10" s="22"/>
      <c r="AN10" s="22">
        <v>45884</v>
      </c>
      <c r="AO10" s="12"/>
    </row>
    <row r="11" spans="1:41" ht="12.75" customHeight="1">
      <c r="A11" s="9"/>
      <c r="B11" s="20"/>
      <c r="C11" s="20" t="s">
        <v>5</v>
      </c>
      <c r="D11" s="23">
        <f>15951+36097+34518</f>
        <v>86566</v>
      </c>
      <c r="E11" s="23">
        <f>13669+36240+34939</f>
        <v>84848</v>
      </c>
      <c r="F11" s="23">
        <f>13621+33805+32103</f>
        <v>79529</v>
      </c>
      <c r="G11" s="23">
        <f>12538+32177+32468</f>
        <v>77183</v>
      </c>
      <c r="H11" s="23">
        <f>12169+32064+30607</f>
        <v>74840</v>
      </c>
      <c r="I11" s="23">
        <f>12242+31125+30129</f>
        <v>73496</v>
      </c>
      <c r="J11" s="23">
        <f>11862+32904+30194</f>
        <v>74960</v>
      </c>
      <c r="K11" s="23">
        <f>11074+32950+31511</f>
        <v>75535</v>
      </c>
      <c r="L11" s="23">
        <f>11103+34030+31621</f>
        <v>76754</v>
      </c>
      <c r="M11" s="23">
        <f>11805+35128+32891</f>
        <v>79824</v>
      </c>
      <c r="N11" s="23"/>
      <c r="O11" s="23">
        <v>81334</v>
      </c>
      <c r="P11" s="21">
        <v>78063</v>
      </c>
      <c r="Q11" s="21">
        <v>75295</v>
      </c>
      <c r="R11" s="21">
        <v>71994</v>
      </c>
      <c r="S11" s="21">
        <v>71085</v>
      </c>
      <c r="T11" s="21">
        <v>67007</v>
      </c>
      <c r="U11" s="24">
        <v>62012.5</v>
      </c>
      <c r="V11" s="25">
        <v>61040.5</v>
      </c>
      <c r="W11" s="25">
        <v>63255</v>
      </c>
      <c r="X11" s="25">
        <v>66984</v>
      </c>
      <c r="Y11" s="25">
        <v>68690</v>
      </c>
      <c r="Z11" s="25">
        <v>72326</v>
      </c>
      <c r="AA11" s="25">
        <v>70386</v>
      </c>
      <c r="AB11" s="25">
        <v>69499</v>
      </c>
      <c r="AC11" s="25">
        <v>73395</v>
      </c>
      <c r="AD11" s="25">
        <v>75220</v>
      </c>
      <c r="AE11" s="25">
        <f>9337+65575</f>
        <v>74912</v>
      </c>
      <c r="AF11" s="25">
        <v>76706</v>
      </c>
      <c r="AG11" s="26"/>
      <c r="AH11" s="25">
        <v>78500</v>
      </c>
      <c r="AI11" s="26"/>
      <c r="AJ11" s="25">
        <v>79685</v>
      </c>
      <c r="AK11" s="26"/>
      <c r="AL11" s="25">
        <v>83544</v>
      </c>
      <c r="AM11" s="26"/>
      <c r="AN11" s="25">
        <v>82986</v>
      </c>
      <c r="AO11" s="12"/>
    </row>
    <row r="12" spans="1:41" ht="12.75" customHeight="1">
      <c r="A12" s="9"/>
      <c r="B12" s="20"/>
      <c r="C12" s="20"/>
      <c r="D12" s="27">
        <f aca="true" t="shared" si="0" ref="D12:M12">SUM(D9:D11)</f>
        <v>653061</v>
      </c>
      <c r="E12" s="27">
        <f t="shared" si="0"/>
        <v>672303</v>
      </c>
      <c r="F12" s="27">
        <f t="shared" si="0"/>
        <v>658082</v>
      </c>
      <c r="G12" s="27">
        <f t="shared" si="0"/>
        <v>635286</v>
      </c>
      <c r="H12" s="27">
        <f t="shared" si="0"/>
        <v>615575</v>
      </c>
      <c r="I12" s="27">
        <f t="shared" si="0"/>
        <v>593810</v>
      </c>
      <c r="J12" s="27">
        <f t="shared" si="0"/>
        <v>584321</v>
      </c>
      <c r="K12" s="27">
        <f t="shared" si="0"/>
        <v>587417</v>
      </c>
      <c r="L12" s="27">
        <f t="shared" si="0"/>
        <v>604583</v>
      </c>
      <c r="M12" s="27">
        <f t="shared" si="0"/>
        <v>621806</v>
      </c>
      <c r="N12" s="27"/>
      <c r="O12" s="27">
        <f aca="true" t="shared" si="1" ref="O12:U12">SUM(O9:O11)</f>
        <v>619854</v>
      </c>
      <c r="P12" s="28">
        <f t="shared" si="1"/>
        <v>585590</v>
      </c>
      <c r="Q12" s="28">
        <f t="shared" si="1"/>
        <v>552753</v>
      </c>
      <c r="R12" s="28">
        <f t="shared" si="1"/>
        <v>547657</v>
      </c>
      <c r="S12" s="28">
        <f t="shared" si="1"/>
        <v>558579</v>
      </c>
      <c r="T12" s="28">
        <f t="shared" si="1"/>
        <v>567749</v>
      </c>
      <c r="U12" s="29">
        <f t="shared" si="1"/>
        <v>571353.5</v>
      </c>
      <c r="V12" s="29">
        <f aca="true" t="shared" si="2" ref="V12:AA12">SUM(V9:V11)</f>
        <v>582266.5</v>
      </c>
      <c r="W12" s="29">
        <f t="shared" si="2"/>
        <v>583775</v>
      </c>
      <c r="X12" s="29">
        <f t="shared" si="2"/>
        <v>595838.5</v>
      </c>
      <c r="Y12" s="29">
        <f t="shared" si="2"/>
        <v>610193</v>
      </c>
      <c r="Z12" s="29">
        <f t="shared" si="2"/>
        <v>645960</v>
      </c>
      <c r="AA12" s="29">
        <f t="shared" si="2"/>
        <v>656643</v>
      </c>
      <c r="AB12" s="29">
        <f>SUM(AB9:AB11)</f>
        <v>670743</v>
      </c>
      <c r="AC12" s="29">
        <f>SUM(AC9:AC11)</f>
        <v>692592</v>
      </c>
      <c r="AD12" s="29">
        <f>SUM(AD9:AD11)</f>
        <v>703212</v>
      </c>
      <c r="AE12" s="29">
        <f>SUM(AE9:AE11)</f>
        <v>702481.5</v>
      </c>
      <c r="AF12" s="29">
        <f>SUM(AF9:AF11)</f>
        <v>739641</v>
      </c>
      <c r="AG12" s="30"/>
      <c r="AH12" s="29">
        <f>SUM(AH9:AH11)</f>
        <v>763681.5</v>
      </c>
      <c r="AI12" s="30"/>
      <c r="AJ12" s="29">
        <f>SUM(AJ9:AJ11)</f>
        <v>794554.5</v>
      </c>
      <c r="AK12" s="30"/>
      <c r="AL12" s="29">
        <f>SUM(AL9:AL11)</f>
        <v>820734.5</v>
      </c>
      <c r="AM12" s="30"/>
      <c r="AN12" s="29">
        <f>SUM(AN9:AN11)</f>
        <v>829698.5</v>
      </c>
      <c r="AO12" s="12"/>
    </row>
    <row r="13" spans="1:41" ht="12.75" customHeight="1">
      <c r="A13" s="9"/>
      <c r="B13" s="20"/>
      <c r="C13" s="2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20"/>
      <c r="Q13" s="31"/>
      <c r="R13" s="20"/>
      <c r="S13" s="31"/>
      <c r="T13" s="20"/>
      <c r="U13" s="20"/>
      <c r="V13" s="20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12"/>
    </row>
    <row r="14" spans="1:41" ht="12.75" customHeight="1">
      <c r="A14" s="9"/>
      <c r="B14" s="68" t="s">
        <v>6</v>
      </c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3"/>
      <c r="Q14" s="34"/>
      <c r="R14" s="33"/>
      <c r="S14" s="34"/>
      <c r="T14" s="33"/>
      <c r="U14" s="33"/>
      <c r="V14" s="33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12"/>
    </row>
    <row r="15" spans="1:41" ht="12.75" customHeight="1">
      <c r="A15" s="9"/>
      <c r="B15" s="20"/>
      <c r="C15" s="20" t="s">
        <v>3</v>
      </c>
      <c r="D15" s="31"/>
      <c r="E15" s="31"/>
      <c r="F15" s="31"/>
      <c r="G15" s="31"/>
      <c r="H15" s="31"/>
      <c r="I15" s="31">
        <f>488946-I9</f>
        <v>11953</v>
      </c>
      <c r="J15" s="31">
        <f>480335-J9</f>
        <v>13072</v>
      </c>
      <c r="K15" s="31">
        <f>476225-K9</f>
        <v>8613</v>
      </c>
      <c r="L15" s="31">
        <f>488143-L9</f>
        <v>3984</v>
      </c>
      <c r="M15" s="31">
        <f>504998-M9</f>
        <v>6697</v>
      </c>
      <c r="N15" s="31"/>
      <c r="O15" s="31">
        <v>18396</v>
      </c>
      <c r="P15" s="31">
        <v>17080</v>
      </c>
      <c r="Q15" s="31">
        <v>15293</v>
      </c>
      <c r="R15" s="21">
        <v>16638</v>
      </c>
      <c r="S15" s="21">
        <v>14424</v>
      </c>
      <c r="T15" s="21">
        <v>13183</v>
      </c>
      <c r="U15" s="21">
        <v>15835</v>
      </c>
      <c r="V15" s="27">
        <v>18490</v>
      </c>
      <c r="W15" s="27">
        <v>12960</v>
      </c>
      <c r="X15" s="27">
        <v>10878</v>
      </c>
      <c r="Y15" s="27">
        <v>11609</v>
      </c>
      <c r="Z15" s="27">
        <v>6698</v>
      </c>
      <c r="AA15" s="27">
        <v>6774</v>
      </c>
      <c r="AB15" s="27">
        <v>6267</v>
      </c>
      <c r="AC15" s="27">
        <v>6381</v>
      </c>
      <c r="AD15" s="27">
        <v>6587</v>
      </c>
      <c r="AE15" s="27">
        <f>2348+9007+924</f>
        <v>12279</v>
      </c>
      <c r="AF15" s="27">
        <v>17592</v>
      </c>
      <c r="AG15" s="27"/>
      <c r="AH15" s="27">
        <v>21100</v>
      </c>
      <c r="AI15" s="27"/>
      <c r="AJ15" s="27">
        <v>26675</v>
      </c>
      <c r="AK15" s="27"/>
      <c r="AL15" s="27">
        <v>33823</v>
      </c>
      <c r="AM15" s="27"/>
      <c r="AN15" s="27">
        <v>51589</v>
      </c>
      <c r="AO15" s="12"/>
    </row>
    <row r="16" spans="1:41" ht="12.75" customHeight="1">
      <c r="A16" s="9"/>
      <c r="B16" s="20"/>
      <c r="C16" s="20" t="s">
        <v>4</v>
      </c>
      <c r="D16" s="31"/>
      <c r="E16" s="31"/>
      <c r="F16" s="31"/>
      <c r="G16" s="31"/>
      <c r="H16" s="31"/>
      <c r="I16" s="31">
        <f>43363-I10</f>
        <v>42</v>
      </c>
      <c r="J16" s="31">
        <v>0</v>
      </c>
      <c r="K16" s="31">
        <v>0</v>
      </c>
      <c r="L16" s="31">
        <f>44222-L10</f>
        <v>552</v>
      </c>
      <c r="M16" s="31">
        <v>0</v>
      </c>
      <c r="N16" s="31"/>
      <c r="O16" s="31">
        <v>0</v>
      </c>
      <c r="P16" s="31">
        <v>0</v>
      </c>
      <c r="Q16" s="31">
        <v>0</v>
      </c>
      <c r="R16" s="21">
        <v>0</v>
      </c>
      <c r="S16" s="21">
        <v>0</v>
      </c>
      <c r="T16" s="21">
        <v>0</v>
      </c>
      <c r="U16" s="30">
        <v>0</v>
      </c>
      <c r="V16" s="27">
        <v>0</v>
      </c>
      <c r="W16" s="27">
        <v>15</v>
      </c>
      <c r="X16" s="27">
        <v>0</v>
      </c>
      <c r="Y16" s="27">
        <v>3</v>
      </c>
      <c r="Z16" s="27">
        <v>18</v>
      </c>
      <c r="AA16" s="27">
        <v>6</v>
      </c>
      <c r="AB16" s="27">
        <v>9</v>
      </c>
      <c r="AC16" s="27">
        <v>21</v>
      </c>
      <c r="AD16" s="27">
        <v>9</v>
      </c>
      <c r="AE16" s="27">
        <v>12</v>
      </c>
      <c r="AF16" s="27">
        <v>150</v>
      </c>
      <c r="AG16" s="27"/>
      <c r="AH16" s="27">
        <v>162</v>
      </c>
      <c r="AI16" s="27"/>
      <c r="AJ16" s="27">
        <v>147</v>
      </c>
      <c r="AK16" s="27"/>
      <c r="AL16" s="27">
        <v>184</v>
      </c>
      <c r="AM16" s="27"/>
      <c r="AN16" s="27">
        <v>169</v>
      </c>
      <c r="AO16" s="12"/>
    </row>
    <row r="17" spans="1:41" ht="12.75" customHeight="1">
      <c r="A17" s="9"/>
      <c r="B17" s="20"/>
      <c r="C17" s="20" t="s">
        <v>5</v>
      </c>
      <c r="D17" s="36"/>
      <c r="E17" s="36"/>
      <c r="F17" s="36"/>
      <c r="G17" s="36"/>
      <c r="H17" s="36"/>
      <c r="I17" s="36">
        <f>80404-I11</f>
        <v>6908</v>
      </c>
      <c r="J17" s="36">
        <f>85022-J11</f>
        <v>10062</v>
      </c>
      <c r="K17" s="36">
        <f>87614-K11</f>
        <v>12079</v>
      </c>
      <c r="L17" s="36">
        <f>87191-L11</f>
        <v>10437</v>
      </c>
      <c r="M17" s="36">
        <f>89670-M11</f>
        <v>9846</v>
      </c>
      <c r="N17" s="36"/>
      <c r="O17" s="36">
        <v>13415</v>
      </c>
      <c r="P17" s="31">
        <v>12447</v>
      </c>
      <c r="Q17" s="31">
        <v>12865</v>
      </c>
      <c r="R17" s="21">
        <v>13300</v>
      </c>
      <c r="S17" s="21">
        <v>12733</v>
      </c>
      <c r="T17" s="21">
        <v>10951</v>
      </c>
      <c r="U17" s="24">
        <v>11846</v>
      </c>
      <c r="V17" s="37">
        <v>11570</v>
      </c>
      <c r="W17" s="37">
        <v>8438</v>
      </c>
      <c r="X17" s="37">
        <v>11792</v>
      </c>
      <c r="Y17" s="37">
        <v>15228</v>
      </c>
      <c r="Z17" s="37">
        <v>10123</v>
      </c>
      <c r="AA17" s="37">
        <v>13632</v>
      </c>
      <c r="AB17" s="37">
        <v>14229</v>
      </c>
      <c r="AC17" s="37">
        <v>15830</v>
      </c>
      <c r="AD17" s="37">
        <v>17566</v>
      </c>
      <c r="AE17" s="37">
        <f>39+14650+168+4641+3</f>
        <v>19501</v>
      </c>
      <c r="AF17" s="37">
        <v>22270</v>
      </c>
      <c r="AG17" s="29"/>
      <c r="AH17" s="37">
        <v>24577.5</v>
      </c>
      <c r="AI17" s="29"/>
      <c r="AJ17" s="37">
        <v>24915.5</v>
      </c>
      <c r="AK17" s="29"/>
      <c r="AL17" s="37">
        <v>25215</v>
      </c>
      <c r="AM17" s="29"/>
      <c r="AN17" s="37">
        <v>25136</v>
      </c>
      <c r="AO17" s="12"/>
    </row>
    <row r="18" spans="1:41" ht="12.75" customHeight="1">
      <c r="A18" s="9"/>
      <c r="B18" s="20"/>
      <c r="C18" s="20"/>
      <c r="D18" s="22"/>
      <c r="E18" s="22"/>
      <c r="F18" s="22"/>
      <c r="G18" s="22"/>
      <c r="H18" s="22"/>
      <c r="I18" s="22">
        <f>SUM(I15:I17)</f>
        <v>18903</v>
      </c>
      <c r="J18" s="22">
        <f>SUM(J15:J17)</f>
        <v>23134</v>
      </c>
      <c r="K18" s="22">
        <f>SUM(K15:K17)</f>
        <v>20692</v>
      </c>
      <c r="L18" s="22">
        <f>SUM(L15:L17)</f>
        <v>14973</v>
      </c>
      <c r="M18" s="22">
        <f>SUM(M15:M17)</f>
        <v>16543</v>
      </c>
      <c r="N18" s="22"/>
      <c r="O18" s="22">
        <f aca="true" t="shared" si="3" ref="O18:U18">SUM(O15:O17)</f>
        <v>31811</v>
      </c>
      <c r="P18" s="38">
        <f t="shared" si="3"/>
        <v>29527</v>
      </c>
      <c r="Q18" s="38">
        <f t="shared" si="3"/>
        <v>28158</v>
      </c>
      <c r="R18" s="28">
        <f t="shared" si="3"/>
        <v>29938</v>
      </c>
      <c r="S18" s="28">
        <f t="shared" si="3"/>
        <v>27157</v>
      </c>
      <c r="T18" s="28">
        <f t="shared" si="3"/>
        <v>24134</v>
      </c>
      <c r="U18" s="29">
        <f t="shared" si="3"/>
        <v>27681</v>
      </c>
      <c r="V18" s="29">
        <f aca="true" t="shared" si="4" ref="V18:AA18">SUM(V15:V17)</f>
        <v>30060</v>
      </c>
      <c r="W18" s="29">
        <f t="shared" si="4"/>
        <v>21413</v>
      </c>
      <c r="X18" s="29">
        <f t="shared" si="4"/>
        <v>22670</v>
      </c>
      <c r="Y18" s="29">
        <f t="shared" si="4"/>
        <v>26840</v>
      </c>
      <c r="Z18" s="29">
        <f t="shared" si="4"/>
        <v>16839</v>
      </c>
      <c r="AA18" s="29">
        <f t="shared" si="4"/>
        <v>20412</v>
      </c>
      <c r="AB18" s="29">
        <f>SUM(AB15:AB17)</f>
        <v>20505</v>
      </c>
      <c r="AC18" s="29">
        <f>SUM(AC15:AC17)</f>
        <v>22232</v>
      </c>
      <c r="AD18" s="29">
        <f>SUM(AD15:AD17)</f>
        <v>24162</v>
      </c>
      <c r="AE18" s="29">
        <f>SUM(AE15:AE17)</f>
        <v>31792</v>
      </c>
      <c r="AF18" s="29">
        <f>SUM(AF15:AF17)</f>
        <v>40012</v>
      </c>
      <c r="AG18" s="30"/>
      <c r="AH18" s="29">
        <f>SUM(AH15:AH17)</f>
        <v>45839.5</v>
      </c>
      <c r="AI18" s="30"/>
      <c r="AJ18" s="29">
        <f>SUM(AJ15:AJ17)</f>
        <v>51737.5</v>
      </c>
      <c r="AK18" s="30"/>
      <c r="AL18" s="29">
        <f>SUM(AL15:AL17)</f>
        <v>59222</v>
      </c>
      <c r="AM18" s="30"/>
      <c r="AN18" s="29">
        <f>SUM(AN15:AN17)</f>
        <v>76894</v>
      </c>
      <c r="AO18" s="12"/>
    </row>
    <row r="19" spans="1:41" ht="12.75" customHeight="1">
      <c r="A19" s="9"/>
      <c r="B19" s="20"/>
      <c r="C19" s="2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0"/>
      <c r="R19" s="21"/>
      <c r="S19" s="21"/>
      <c r="T19" s="39"/>
      <c r="U19" s="39"/>
      <c r="V19" s="39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12"/>
    </row>
    <row r="20" spans="1:41" ht="12.75" customHeight="1">
      <c r="A20" s="13"/>
      <c r="B20" s="68" t="s">
        <v>37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2"/>
    </row>
    <row r="21" spans="1:41" ht="12.75" customHeight="1">
      <c r="A21" s="9"/>
      <c r="B21" s="20"/>
      <c r="C21" s="20" t="s">
        <v>3</v>
      </c>
      <c r="D21" s="21">
        <f aca="true" t="shared" si="5" ref="D21:G23">D9</f>
        <v>522550</v>
      </c>
      <c r="E21" s="21">
        <f t="shared" si="5"/>
        <v>543116</v>
      </c>
      <c r="F21" s="21">
        <f t="shared" si="5"/>
        <v>535297</v>
      </c>
      <c r="G21" s="21">
        <f t="shared" si="5"/>
        <v>515027</v>
      </c>
      <c r="H21" s="21">
        <f>H9</f>
        <v>497120</v>
      </c>
      <c r="I21" s="22">
        <f aca="true" t="shared" si="6" ref="I21:M23">I9+I15</f>
        <v>488946</v>
      </c>
      <c r="J21" s="22">
        <f t="shared" si="6"/>
        <v>480335</v>
      </c>
      <c r="K21" s="22">
        <f t="shared" si="6"/>
        <v>476225</v>
      </c>
      <c r="L21" s="22">
        <f t="shared" si="6"/>
        <v>488143</v>
      </c>
      <c r="M21" s="22">
        <f t="shared" si="6"/>
        <v>504998</v>
      </c>
      <c r="N21" s="21"/>
      <c r="O21" s="22">
        <f aca="true" t="shared" si="7" ref="O21:X21">O9+O15</f>
        <v>514053</v>
      </c>
      <c r="P21" s="22">
        <f t="shared" si="7"/>
        <v>482424</v>
      </c>
      <c r="Q21" s="22">
        <f t="shared" si="7"/>
        <v>451198</v>
      </c>
      <c r="R21" s="22">
        <f t="shared" si="7"/>
        <v>451559</v>
      </c>
      <c r="S21" s="22">
        <f t="shared" si="7"/>
        <v>462997</v>
      </c>
      <c r="T21" s="22">
        <f t="shared" si="7"/>
        <v>473745</v>
      </c>
      <c r="U21" s="22">
        <f t="shared" si="7"/>
        <v>484099</v>
      </c>
      <c r="V21" s="22">
        <f t="shared" si="7"/>
        <v>496495</v>
      </c>
      <c r="W21" s="22">
        <f t="shared" si="7"/>
        <v>492117</v>
      </c>
      <c r="X21" s="22">
        <f t="shared" si="7"/>
        <v>498485</v>
      </c>
      <c r="Y21" s="22">
        <f aca="true" t="shared" si="8" ref="Y21:Z23">Y9+Y15</f>
        <v>512881</v>
      </c>
      <c r="Z21" s="22">
        <f t="shared" si="8"/>
        <v>532083</v>
      </c>
      <c r="AA21" s="22">
        <f aca="true" t="shared" si="9" ref="AA21:AB23">AA9+AA15</f>
        <v>555093</v>
      </c>
      <c r="AB21" s="22">
        <f t="shared" si="9"/>
        <v>571417</v>
      </c>
      <c r="AC21" s="22">
        <f aca="true" t="shared" si="10" ref="AC21:AD23">AC9+AC15</f>
        <v>587580</v>
      </c>
      <c r="AD21" s="22">
        <f t="shared" si="10"/>
        <v>597673</v>
      </c>
      <c r="AE21" s="22">
        <f aca="true" t="shared" si="11" ref="AE21:AF23">AE9+AE15</f>
        <v>601303</v>
      </c>
      <c r="AF21" s="22">
        <f t="shared" si="11"/>
        <v>642164</v>
      </c>
      <c r="AG21" s="22"/>
      <c r="AH21" s="22">
        <f>AH9+AH15</f>
        <v>665791</v>
      </c>
      <c r="AI21" s="22"/>
      <c r="AJ21" s="22">
        <f>AJ9+AJ15</f>
        <v>698907</v>
      </c>
      <c r="AK21" s="22"/>
      <c r="AL21" s="22">
        <f>AL9+AL15</f>
        <v>726884</v>
      </c>
      <c r="AM21" s="22"/>
      <c r="AN21" s="22">
        <f>AN9+AN15</f>
        <v>752417.5</v>
      </c>
      <c r="AO21" s="12"/>
    </row>
    <row r="22" spans="1:41" ht="12.75" customHeight="1">
      <c r="A22" s="9"/>
      <c r="B22" s="20"/>
      <c r="C22" s="20" t="s">
        <v>4</v>
      </c>
      <c r="D22" s="21">
        <f t="shared" si="5"/>
        <v>43945</v>
      </c>
      <c r="E22" s="21">
        <f t="shared" si="5"/>
        <v>44339</v>
      </c>
      <c r="F22" s="21">
        <f t="shared" si="5"/>
        <v>43256</v>
      </c>
      <c r="G22" s="21">
        <f t="shared" si="5"/>
        <v>43076</v>
      </c>
      <c r="H22" s="21">
        <f>H10</f>
        <v>43615</v>
      </c>
      <c r="I22" s="22">
        <f t="shared" si="6"/>
        <v>43363</v>
      </c>
      <c r="J22" s="22">
        <f t="shared" si="6"/>
        <v>42098</v>
      </c>
      <c r="K22" s="22">
        <f t="shared" si="6"/>
        <v>44270</v>
      </c>
      <c r="L22" s="22">
        <f t="shared" si="6"/>
        <v>44222</v>
      </c>
      <c r="M22" s="22">
        <f t="shared" si="6"/>
        <v>43681</v>
      </c>
      <c r="N22" s="21"/>
      <c r="O22" s="22">
        <f aca="true" t="shared" si="12" ref="O22:X22">O10+O16</f>
        <v>42863</v>
      </c>
      <c r="P22" s="22">
        <f t="shared" si="12"/>
        <v>42183</v>
      </c>
      <c r="Q22" s="22">
        <f t="shared" si="12"/>
        <v>41553</v>
      </c>
      <c r="R22" s="22">
        <f t="shared" si="12"/>
        <v>40742</v>
      </c>
      <c r="S22" s="22">
        <f t="shared" si="12"/>
        <v>38921</v>
      </c>
      <c r="T22" s="22">
        <f t="shared" si="12"/>
        <v>40180</v>
      </c>
      <c r="U22" s="22">
        <f t="shared" si="12"/>
        <v>41077</v>
      </c>
      <c r="V22" s="22">
        <f t="shared" si="12"/>
        <v>43221</v>
      </c>
      <c r="W22" s="22">
        <f t="shared" si="12"/>
        <v>41378</v>
      </c>
      <c r="X22" s="22">
        <f t="shared" si="12"/>
        <v>41247.5</v>
      </c>
      <c r="Y22" s="22">
        <f t="shared" si="8"/>
        <v>40234</v>
      </c>
      <c r="Z22" s="22">
        <f t="shared" si="8"/>
        <v>48267</v>
      </c>
      <c r="AA22" s="22">
        <f t="shared" si="9"/>
        <v>37944</v>
      </c>
      <c r="AB22" s="22">
        <f t="shared" si="9"/>
        <v>36103</v>
      </c>
      <c r="AC22" s="22">
        <f t="shared" si="10"/>
        <v>38019</v>
      </c>
      <c r="AD22" s="22">
        <f t="shared" si="10"/>
        <v>36915</v>
      </c>
      <c r="AE22" s="22">
        <f t="shared" si="11"/>
        <v>38557.5</v>
      </c>
      <c r="AF22" s="22">
        <f t="shared" si="11"/>
        <v>38513</v>
      </c>
      <c r="AG22" s="22"/>
      <c r="AH22" s="22">
        <f>AH10+AH16</f>
        <v>40652.5</v>
      </c>
      <c r="AI22" s="22"/>
      <c r="AJ22" s="22">
        <f>AJ10+AJ16</f>
        <v>42784.5</v>
      </c>
      <c r="AK22" s="22"/>
      <c r="AL22" s="22">
        <f>AL10+AL16</f>
        <v>44313.5</v>
      </c>
      <c r="AM22" s="22"/>
      <c r="AN22" s="22">
        <f>AN10+AN16</f>
        <v>46053</v>
      </c>
      <c r="AO22" s="12"/>
    </row>
    <row r="23" spans="1:41" ht="12.75" customHeight="1">
      <c r="A23" s="9"/>
      <c r="B23" s="20"/>
      <c r="C23" s="20" t="s">
        <v>5</v>
      </c>
      <c r="D23" s="23">
        <f t="shared" si="5"/>
        <v>86566</v>
      </c>
      <c r="E23" s="23">
        <f t="shared" si="5"/>
        <v>84848</v>
      </c>
      <c r="F23" s="23">
        <f t="shared" si="5"/>
        <v>79529</v>
      </c>
      <c r="G23" s="23">
        <f t="shared" si="5"/>
        <v>77183</v>
      </c>
      <c r="H23" s="23">
        <f>H11</f>
        <v>74840</v>
      </c>
      <c r="I23" s="25">
        <f t="shared" si="6"/>
        <v>80404</v>
      </c>
      <c r="J23" s="25">
        <f t="shared" si="6"/>
        <v>85022</v>
      </c>
      <c r="K23" s="25">
        <f t="shared" si="6"/>
        <v>87614</v>
      </c>
      <c r="L23" s="25">
        <f t="shared" si="6"/>
        <v>87191</v>
      </c>
      <c r="M23" s="25">
        <f t="shared" si="6"/>
        <v>89670</v>
      </c>
      <c r="N23" s="23"/>
      <c r="O23" s="25">
        <f aca="true" t="shared" si="13" ref="O23:X23">O11+O17</f>
        <v>94749</v>
      </c>
      <c r="P23" s="25">
        <f t="shared" si="13"/>
        <v>90510</v>
      </c>
      <c r="Q23" s="25">
        <f t="shared" si="13"/>
        <v>88160</v>
      </c>
      <c r="R23" s="25">
        <f t="shared" si="13"/>
        <v>85294</v>
      </c>
      <c r="S23" s="25">
        <f t="shared" si="13"/>
        <v>83818</v>
      </c>
      <c r="T23" s="25">
        <f t="shared" si="13"/>
        <v>77958</v>
      </c>
      <c r="U23" s="25">
        <f t="shared" si="13"/>
        <v>73858.5</v>
      </c>
      <c r="V23" s="25">
        <f t="shared" si="13"/>
        <v>72610.5</v>
      </c>
      <c r="W23" s="25">
        <f t="shared" si="13"/>
        <v>71693</v>
      </c>
      <c r="X23" s="25">
        <f t="shared" si="13"/>
        <v>78776</v>
      </c>
      <c r="Y23" s="25">
        <f t="shared" si="8"/>
        <v>83918</v>
      </c>
      <c r="Z23" s="25">
        <f t="shared" si="8"/>
        <v>82449</v>
      </c>
      <c r="AA23" s="25">
        <f t="shared" si="9"/>
        <v>84018</v>
      </c>
      <c r="AB23" s="25">
        <f t="shared" si="9"/>
        <v>83728</v>
      </c>
      <c r="AC23" s="25">
        <f t="shared" si="10"/>
        <v>89225</v>
      </c>
      <c r="AD23" s="25">
        <f t="shared" si="10"/>
        <v>92786</v>
      </c>
      <c r="AE23" s="25">
        <f t="shared" si="11"/>
        <v>94413</v>
      </c>
      <c r="AF23" s="25">
        <f t="shared" si="11"/>
        <v>98976</v>
      </c>
      <c r="AG23" s="26"/>
      <c r="AH23" s="25">
        <f>AH11+AH17</f>
        <v>103077.5</v>
      </c>
      <c r="AI23" s="26"/>
      <c r="AJ23" s="25">
        <f>AJ11+AJ17</f>
        <v>104600.5</v>
      </c>
      <c r="AK23" s="26"/>
      <c r="AL23" s="25">
        <f>AL11+AL17</f>
        <v>108759</v>
      </c>
      <c r="AM23" s="26"/>
      <c r="AN23" s="25">
        <f>AN11+AN17</f>
        <v>108122</v>
      </c>
      <c r="AO23" s="12"/>
    </row>
    <row r="24" spans="1:41" ht="12.75" customHeight="1">
      <c r="A24" s="9"/>
      <c r="B24" s="20"/>
      <c r="C24" s="20"/>
      <c r="D24" s="27">
        <f aca="true" t="shared" si="14" ref="D24:M24">SUM(D21:D23)</f>
        <v>653061</v>
      </c>
      <c r="E24" s="27">
        <f t="shared" si="14"/>
        <v>672303</v>
      </c>
      <c r="F24" s="27">
        <f t="shared" si="14"/>
        <v>658082</v>
      </c>
      <c r="G24" s="27">
        <f t="shared" si="14"/>
        <v>635286</v>
      </c>
      <c r="H24" s="27">
        <f t="shared" si="14"/>
        <v>615575</v>
      </c>
      <c r="I24" s="27">
        <f t="shared" si="14"/>
        <v>612713</v>
      </c>
      <c r="J24" s="27">
        <f t="shared" si="14"/>
        <v>607455</v>
      </c>
      <c r="K24" s="27">
        <f t="shared" si="14"/>
        <v>608109</v>
      </c>
      <c r="L24" s="27">
        <f t="shared" si="14"/>
        <v>619556</v>
      </c>
      <c r="M24" s="27">
        <f t="shared" si="14"/>
        <v>638349</v>
      </c>
      <c r="N24" s="27"/>
      <c r="O24" s="27">
        <f aca="true" t="shared" si="15" ref="O24:X24">SUM(O21:O23)</f>
        <v>651665</v>
      </c>
      <c r="P24" s="28">
        <f t="shared" si="15"/>
        <v>615117</v>
      </c>
      <c r="Q24" s="28">
        <f t="shared" si="15"/>
        <v>580911</v>
      </c>
      <c r="R24" s="28">
        <f t="shared" si="15"/>
        <v>577595</v>
      </c>
      <c r="S24" s="28">
        <f t="shared" si="15"/>
        <v>585736</v>
      </c>
      <c r="T24" s="28">
        <f t="shared" si="15"/>
        <v>591883</v>
      </c>
      <c r="U24" s="29">
        <f t="shared" si="15"/>
        <v>599034.5</v>
      </c>
      <c r="V24" s="29">
        <f t="shared" si="15"/>
        <v>612326.5</v>
      </c>
      <c r="W24" s="29">
        <f t="shared" si="15"/>
        <v>605188</v>
      </c>
      <c r="X24" s="29">
        <f t="shared" si="15"/>
        <v>618508.5</v>
      </c>
      <c r="Y24" s="29">
        <f aca="true" t="shared" si="16" ref="Y24:AD24">SUM(Y21:Y23)</f>
        <v>637033</v>
      </c>
      <c r="Z24" s="29">
        <f t="shared" si="16"/>
        <v>662799</v>
      </c>
      <c r="AA24" s="29">
        <f t="shared" si="16"/>
        <v>677055</v>
      </c>
      <c r="AB24" s="29">
        <f t="shared" si="16"/>
        <v>691248</v>
      </c>
      <c r="AC24" s="29">
        <f t="shared" si="16"/>
        <v>714824</v>
      </c>
      <c r="AD24" s="29">
        <f t="shared" si="16"/>
        <v>727374</v>
      </c>
      <c r="AE24" s="29">
        <f>SUM(AE21:AE23)</f>
        <v>734273.5</v>
      </c>
      <c r="AF24" s="29">
        <f>SUM(AF21:AF23)</f>
        <v>779653</v>
      </c>
      <c r="AG24" s="30"/>
      <c r="AH24" s="29">
        <f>SUM(AH21:AH23)</f>
        <v>809521</v>
      </c>
      <c r="AI24" s="30"/>
      <c r="AJ24" s="29">
        <f>SUM(AJ21:AJ23)</f>
        <v>846292</v>
      </c>
      <c r="AK24" s="30"/>
      <c r="AL24" s="29">
        <f>SUM(AL21:AL23)</f>
        <v>879956.5</v>
      </c>
      <c r="AM24" s="30"/>
      <c r="AN24" s="29">
        <f>SUM(AN21:AN23)</f>
        <v>906592.5</v>
      </c>
      <c r="AO24" s="12"/>
    </row>
    <row r="25" spans="1:41" ht="12.75" customHeight="1">
      <c r="A25" s="9"/>
      <c r="B25" s="57"/>
      <c r="C25" s="5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57"/>
      <c r="Q25" s="57"/>
      <c r="R25" s="57"/>
      <c r="S25" s="36"/>
      <c r="T25" s="57"/>
      <c r="U25" s="57"/>
      <c r="V25" s="57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12"/>
    </row>
    <row r="26" spans="1:41" ht="12.75" customHeight="1">
      <c r="A26" s="9"/>
      <c r="B26" s="6"/>
      <c r="C26" s="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6"/>
      <c r="Q26" s="6"/>
      <c r="R26" s="6"/>
      <c r="S26" s="52"/>
      <c r="T26" s="6"/>
      <c r="U26" s="6"/>
      <c r="V26" s="6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2"/>
    </row>
    <row r="27" spans="1:41" ht="12.75" customHeight="1">
      <c r="A27" s="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12"/>
    </row>
    <row r="28" spans="1:41" ht="12.75" customHeight="1">
      <c r="A28" s="40"/>
      <c r="B28" s="59" t="s">
        <v>38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45"/>
      <c r="AG28" s="11"/>
      <c r="AH28" s="45"/>
      <c r="AI28" s="11"/>
      <c r="AJ28" s="45"/>
      <c r="AK28" s="11"/>
      <c r="AL28" s="45"/>
      <c r="AM28" s="11"/>
      <c r="AN28" s="45" t="s">
        <v>48</v>
      </c>
      <c r="AO28" s="41"/>
    </row>
  </sheetData>
  <sheetProtection/>
  <mergeCells count="1">
    <mergeCell ref="A2:AO2"/>
  </mergeCells>
  <printOptions/>
  <pageMargins left="0.7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O28"/>
  <sheetViews>
    <sheetView zoomScalePageLayoutView="0" workbookViewId="0" topLeftCell="A1">
      <selection activeCell="A1" sqref="A1"/>
    </sheetView>
  </sheetViews>
  <sheetFormatPr defaultColWidth="9.83203125" defaultRowHeight="12.75" customHeight="1"/>
  <cols>
    <col min="1" max="1" width="2.83203125" style="54" customWidth="1"/>
    <col min="2" max="2" width="3.16015625" style="54" customWidth="1"/>
    <col min="3" max="3" width="16.83203125" style="54" customWidth="1"/>
    <col min="4" max="31" width="12.33203125" style="54" hidden="1" customWidth="1"/>
    <col min="32" max="32" width="12.33203125" style="54" customWidth="1"/>
    <col min="33" max="33" width="3.83203125" style="54" customWidth="1"/>
    <col min="34" max="34" width="12.33203125" style="54" customWidth="1"/>
    <col min="35" max="35" width="3.83203125" style="54" customWidth="1"/>
    <col min="36" max="36" width="12.33203125" style="54" customWidth="1"/>
    <col min="37" max="37" width="3.83203125" style="54" customWidth="1"/>
    <col min="38" max="38" width="12.33203125" style="54" customWidth="1"/>
    <col min="39" max="39" width="3.83203125" style="54" customWidth="1"/>
    <col min="40" max="40" width="12.33203125" style="54" customWidth="1"/>
    <col min="41" max="41" width="2.83203125" style="54" customWidth="1"/>
    <col min="42" max="16384" width="9.83203125" style="54" customWidth="1"/>
  </cols>
  <sheetData>
    <row r="1" spans="1:41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s="55" customFormat="1" ht="12.75" customHeight="1">
      <c r="A2" s="69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ht="12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2"/>
    </row>
    <row r="4" spans="1:41" s="55" customFormat="1" ht="12.75" customHeight="1">
      <c r="A4" s="2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"/>
    </row>
    <row r="5" spans="1:41" s="55" customFormat="1" ht="12.75" customHeight="1">
      <c r="A5" s="2"/>
      <c r="B5" s="3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"/>
    </row>
    <row r="6" spans="1:41" ht="12.75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2"/>
    </row>
    <row r="7" spans="1:41" ht="13.5" customHeight="1" thickTop="1">
      <c r="A7" s="9"/>
      <c r="B7" s="16"/>
      <c r="C7" s="16"/>
      <c r="D7" s="43" t="s">
        <v>35</v>
      </c>
      <c r="E7" s="43" t="s">
        <v>34</v>
      </c>
      <c r="F7" s="43" t="s">
        <v>33</v>
      </c>
      <c r="G7" s="43" t="s">
        <v>32</v>
      </c>
      <c r="H7" s="43" t="s">
        <v>31</v>
      </c>
      <c r="I7" s="43" t="s">
        <v>30</v>
      </c>
      <c r="J7" s="43" t="s">
        <v>29</v>
      </c>
      <c r="K7" s="43" t="s">
        <v>28</v>
      </c>
      <c r="L7" s="43" t="s">
        <v>27</v>
      </c>
      <c r="M7" s="43" t="s">
        <v>26</v>
      </c>
      <c r="N7" s="43" t="s">
        <v>18</v>
      </c>
      <c r="O7" s="43" t="s">
        <v>17</v>
      </c>
      <c r="P7" s="43" t="s">
        <v>13</v>
      </c>
      <c r="Q7" s="43" t="s">
        <v>12</v>
      </c>
      <c r="R7" s="43" t="s">
        <v>11</v>
      </c>
      <c r="S7" s="43" t="s">
        <v>10</v>
      </c>
      <c r="T7" s="43" t="s">
        <v>14</v>
      </c>
      <c r="U7" s="43" t="s">
        <v>15</v>
      </c>
      <c r="V7" s="43" t="s">
        <v>16</v>
      </c>
      <c r="W7" s="43" t="s">
        <v>20</v>
      </c>
      <c r="X7" s="43" t="s">
        <v>21</v>
      </c>
      <c r="Y7" s="43" t="s">
        <v>22</v>
      </c>
      <c r="Z7" s="44" t="s">
        <v>23</v>
      </c>
      <c r="AA7" s="44" t="s">
        <v>24</v>
      </c>
      <c r="AB7" s="44" t="s">
        <v>36</v>
      </c>
      <c r="AC7" s="44" t="s">
        <v>39</v>
      </c>
      <c r="AD7" s="44" t="s">
        <v>40</v>
      </c>
      <c r="AE7" s="44" t="s">
        <v>41</v>
      </c>
      <c r="AF7" s="44" t="s">
        <v>43</v>
      </c>
      <c r="AG7" s="17"/>
      <c r="AH7" s="44" t="s">
        <v>44</v>
      </c>
      <c r="AI7" s="17"/>
      <c r="AJ7" s="44" t="s">
        <v>45</v>
      </c>
      <c r="AK7" s="17"/>
      <c r="AL7" s="44" t="s">
        <v>46</v>
      </c>
      <c r="AM7" s="17"/>
      <c r="AN7" s="44" t="s">
        <v>47</v>
      </c>
      <c r="AO7" s="12"/>
    </row>
    <row r="8" spans="1:41" ht="12.75" customHeight="1">
      <c r="A8" s="13"/>
      <c r="B8" s="68" t="s">
        <v>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2"/>
    </row>
    <row r="9" spans="1:41" ht="12.75" customHeight="1">
      <c r="A9" s="9"/>
      <c r="B9" s="20"/>
      <c r="C9" s="20" t="s">
        <v>3</v>
      </c>
      <c r="D9" s="21">
        <f>15537+74612+65688</f>
        <v>155837</v>
      </c>
      <c r="E9" s="21">
        <f>15731+78543+68334</f>
        <v>162608</v>
      </c>
      <c r="F9" s="21">
        <f>15089+76053+71888</f>
        <v>163030</v>
      </c>
      <c r="G9" s="21">
        <f>14322+75326+71652</f>
        <v>161300</v>
      </c>
      <c r="H9" s="21">
        <f>15110+77801+71511</f>
        <v>164422</v>
      </c>
      <c r="I9" s="21">
        <f>14791+76525+73362</f>
        <v>164678</v>
      </c>
      <c r="J9" s="21">
        <f>16637+75592+72467</f>
        <v>164696</v>
      </c>
      <c r="K9" s="21">
        <f>15896+75494+70762</f>
        <v>162152</v>
      </c>
      <c r="L9" s="21">
        <f>15293+73313+70757</f>
        <v>159363</v>
      </c>
      <c r="M9" s="21">
        <f>14633+70833+69434</f>
        <v>154900</v>
      </c>
      <c r="N9" s="21"/>
      <c r="O9" s="31">
        <v>143549</v>
      </c>
      <c r="P9" s="31">
        <v>134458</v>
      </c>
      <c r="Q9" s="31">
        <v>123822</v>
      </c>
      <c r="R9" s="31">
        <v>124994</v>
      </c>
      <c r="S9" s="31">
        <v>127935</v>
      </c>
      <c r="T9" s="31">
        <v>131413</v>
      </c>
      <c r="U9" s="31">
        <v>137170</v>
      </c>
      <c r="V9" s="31">
        <v>138125</v>
      </c>
      <c r="W9" s="22">
        <v>138439</v>
      </c>
      <c r="X9" s="22">
        <v>140614.5</v>
      </c>
      <c r="Y9" s="22">
        <v>149666</v>
      </c>
      <c r="Z9" s="22">
        <v>157320</v>
      </c>
      <c r="AA9" s="22">
        <v>163811</v>
      </c>
      <c r="AB9" s="22">
        <v>169745</v>
      </c>
      <c r="AC9" s="22">
        <v>174271</v>
      </c>
      <c r="AD9" s="22">
        <v>168169</v>
      </c>
      <c r="AE9" s="22">
        <v>169901.5</v>
      </c>
      <c r="AF9" s="22">
        <v>179921.5</v>
      </c>
      <c r="AG9" s="22"/>
      <c r="AH9" s="22">
        <v>189744</v>
      </c>
      <c r="AI9" s="22"/>
      <c r="AJ9" s="22">
        <v>200008</v>
      </c>
      <c r="AK9" s="22"/>
      <c r="AL9" s="22">
        <v>201174.25</v>
      </c>
      <c r="AM9" s="22"/>
      <c r="AN9" s="22">
        <v>197224</v>
      </c>
      <c r="AO9" s="12"/>
    </row>
    <row r="10" spans="1:41" ht="12.75" customHeight="1">
      <c r="A10" s="9"/>
      <c r="B10" s="20"/>
      <c r="C10" s="20" t="s">
        <v>4</v>
      </c>
      <c r="D10" s="21">
        <f>5599+24101+25337</f>
        <v>55037</v>
      </c>
      <c r="E10" s="21">
        <f>8362+24478+25162</f>
        <v>58002</v>
      </c>
      <c r="F10" s="21">
        <f>9564+23321+28288</f>
        <v>61173</v>
      </c>
      <c r="G10" s="21">
        <f>10341+22786+26944</f>
        <v>60071</v>
      </c>
      <c r="H10" s="21">
        <f>9986+21683+25637</f>
        <v>57306</v>
      </c>
      <c r="I10" s="21">
        <f>10547+21331+24449</f>
        <v>56327</v>
      </c>
      <c r="J10" s="21">
        <f>7011+22431+24586</f>
        <v>54028</v>
      </c>
      <c r="K10" s="21">
        <f>6963+22189+24258</f>
        <v>53410</v>
      </c>
      <c r="L10" s="21">
        <f>7242+21339+23911</f>
        <v>52492</v>
      </c>
      <c r="M10" s="21">
        <f>7518+20863+23294</f>
        <v>51675</v>
      </c>
      <c r="N10" s="21"/>
      <c r="O10" s="31">
        <v>50161</v>
      </c>
      <c r="P10" s="31">
        <v>51119</v>
      </c>
      <c r="Q10" s="31">
        <v>50392</v>
      </c>
      <c r="R10" s="31">
        <v>51582</v>
      </c>
      <c r="S10" s="31">
        <v>51733</v>
      </c>
      <c r="T10" s="31">
        <v>51783</v>
      </c>
      <c r="U10" s="31">
        <v>52063</v>
      </c>
      <c r="V10" s="31">
        <v>53252.5</v>
      </c>
      <c r="W10" s="22">
        <v>54913</v>
      </c>
      <c r="X10" s="22">
        <v>57012.5</v>
      </c>
      <c r="Y10" s="22">
        <v>56768</v>
      </c>
      <c r="Z10" s="22">
        <v>58762</v>
      </c>
      <c r="AA10" s="22">
        <v>58348</v>
      </c>
      <c r="AB10" s="22">
        <v>62132</v>
      </c>
      <c r="AC10" s="22">
        <v>63553</v>
      </c>
      <c r="AD10" s="22">
        <v>62862</v>
      </c>
      <c r="AE10" s="22">
        <v>62264.5</v>
      </c>
      <c r="AF10" s="22">
        <v>63316</v>
      </c>
      <c r="AG10" s="22"/>
      <c r="AH10" s="22">
        <v>65706.5</v>
      </c>
      <c r="AI10" s="22"/>
      <c r="AJ10" s="22">
        <v>69496.5</v>
      </c>
      <c r="AK10" s="22"/>
      <c r="AL10" s="22">
        <v>67353.5</v>
      </c>
      <c r="AM10" s="22"/>
      <c r="AN10" s="22">
        <v>69890.5</v>
      </c>
      <c r="AO10" s="12"/>
    </row>
    <row r="11" spans="1:41" ht="12.75" customHeight="1">
      <c r="A11" s="9"/>
      <c r="B11" s="20"/>
      <c r="C11" s="20" t="s">
        <v>5</v>
      </c>
      <c r="D11" s="23">
        <f>9222+17910+16238</f>
        <v>43370</v>
      </c>
      <c r="E11" s="23">
        <f>8472+17082+16553</f>
        <v>42107</v>
      </c>
      <c r="F11" s="23">
        <f>8470+16326+14943</f>
        <v>39739</v>
      </c>
      <c r="G11" s="23">
        <f>9148+16665+14964</f>
        <v>40777</v>
      </c>
      <c r="H11" s="23">
        <f>10302+16660+15258</f>
        <v>42220</v>
      </c>
      <c r="I11" s="23">
        <f>9436+16310+15647</f>
        <v>41393</v>
      </c>
      <c r="J11" s="23">
        <f>9780+17656+16653</f>
        <v>44089</v>
      </c>
      <c r="K11" s="23">
        <f>10355+18087+17564</f>
        <v>46006</v>
      </c>
      <c r="L11" s="23">
        <f>10352+18409+18363</f>
        <v>47124</v>
      </c>
      <c r="M11" s="23">
        <f>10542+18280+19107</f>
        <v>47929</v>
      </c>
      <c r="N11" s="23"/>
      <c r="O11" s="36">
        <v>45292</v>
      </c>
      <c r="P11" s="31">
        <v>43885</v>
      </c>
      <c r="Q11" s="31">
        <v>42670</v>
      </c>
      <c r="R11" s="31">
        <v>45159</v>
      </c>
      <c r="S11" s="31">
        <v>47630</v>
      </c>
      <c r="T11" s="31">
        <v>45596</v>
      </c>
      <c r="U11" s="46">
        <v>45567</v>
      </c>
      <c r="V11" s="36">
        <v>43979</v>
      </c>
      <c r="W11" s="25">
        <v>44503</v>
      </c>
      <c r="X11" s="25">
        <v>46140</v>
      </c>
      <c r="Y11" s="25">
        <v>44316</v>
      </c>
      <c r="Z11" s="25">
        <v>46007</v>
      </c>
      <c r="AA11" s="25">
        <v>46704</v>
      </c>
      <c r="AB11" s="25">
        <v>44304</v>
      </c>
      <c r="AC11" s="25">
        <v>43336</v>
      </c>
      <c r="AD11" s="25">
        <v>44181</v>
      </c>
      <c r="AE11" s="25">
        <v>42946.5</v>
      </c>
      <c r="AF11" s="25">
        <v>43595</v>
      </c>
      <c r="AG11" s="26"/>
      <c r="AH11" s="25">
        <v>45625.5</v>
      </c>
      <c r="AI11" s="26"/>
      <c r="AJ11" s="25">
        <v>44597</v>
      </c>
      <c r="AK11" s="26"/>
      <c r="AL11" s="25">
        <v>43912.75</v>
      </c>
      <c r="AM11" s="26"/>
      <c r="AN11" s="25">
        <v>43014.5</v>
      </c>
      <c r="AO11" s="12"/>
    </row>
    <row r="12" spans="1:41" ht="12.75" customHeight="1">
      <c r="A12" s="9"/>
      <c r="B12" s="20"/>
      <c r="C12" s="20"/>
      <c r="D12" s="27">
        <f aca="true" t="shared" si="0" ref="D12:M12">SUM(D9:D11)</f>
        <v>254244</v>
      </c>
      <c r="E12" s="27">
        <f t="shared" si="0"/>
        <v>262717</v>
      </c>
      <c r="F12" s="27">
        <f t="shared" si="0"/>
        <v>263942</v>
      </c>
      <c r="G12" s="27">
        <f t="shared" si="0"/>
        <v>262148</v>
      </c>
      <c r="H12" s="27">
        <f t="shared" si="0"/>
        <v>263948</v>
      </c>
      <c r="I12" s="27">
        <f t="shared" si="0"/>
        <v>262398</v>
      </c>
      <c r="J12" s="27">
        <f t="shared" si="0"/>
        <v>262813</v>
      </c>
      <c r="K12" s="27">
        <f t="shared" si="0"/>
        <v>261568</v>
      </c>
      <c r="L12" s="27">
        <f t="shared" si="0"/>
        <v>258979</v>
      </c>
      <c r="M12" s="27">
        <f t="shared" si="0"/>
        <v>254504</v>
      </c>
      <c r="N12" s="27"/>
      <c r="O12" s="22">
        <f aca="true" t="shared" si="1" ref="O12:U12">SUM(O9:O11)</f>
        <v>239002</v>
      </c>
      <c r="P12" s="38">
        <f t="shared" si="1"/>
        <v>229462</v>
      </c>
      <c r="Q12" s="38">
        <f t="shared" si="1"/>
        <v>216884</v>
      </c>
      <c r="R12" s="38">
        <f t="shared" si="1"/>
        <v>221735</v>
      </c>
      <c r="S12" s="38">
        <f t="shared" si="1"/>
        <v>227298</v>
      </c>
      <c r="T12" s="38">
        <f t="shared" si="1"/>
        <v>228792</v>
      </c>
      <c r="U12" s="26">
        <f t="shared" si="1"/>
        <v>234800</v>
      </c>
      <c r="V12" s="26">
        <f aca="true" t="shared" si="2" ref="V12:AA12">SUM(V9:V11)</f>
        <v>235356.5</v>
      </c>
      <c r="W12" s="47">
        <f t="shared" si="2"/>
        <v>237855</v>
      </c>
      <c r="X12" s="47">
        <f t="shared" si="2"/>
        <v>243767</v>
      </c>
      <c r="Y12" s="47">
        <f t="shared" si="2"/>
        <v>250750</v>
      </c>
      <c r="Z12" s="47">
        <f t="shared" si="2"/>
        <v>262089</v>
      </c>
      <c r="AA12" s="47">
        <f t="shared" si="2"/>
        <v>268863</v>
      </c>
      <c r="AB12" s="47">
        <f>SUM(AB9:AB11)</f>
        <v>276181</v>
      </c>
      <c r="AC12" s="47">
        <f>SUM(AC9:AC11)</f>
        <v>281160</v>
      </c>
      <c r="AD12" s="47">
        <f>SUM(AD9:AD11)</f>
        <v>275212</v>
      </c>
      <c r="AE12" s="47">
        <f>SUM(AE9:AE11)</f>
        <v>275112.5</v>
      </c>
      <c r="AF12" s="47">
        <f>SUM(AF9:AF11)</f>
        <v>286832.5</v>
      </c>
      <c r="AG12" s="48"/>
      <c r="AH12" s="47">
        <f>SUM(AH9:AH11)</f>
        <v>301076</v>
      </c>
      <c r="AI12" s="48"/>
      <c r="AJ12" s="47">
        <f>SUM(AJ9:AJ11)</f>
        <v>314101.5</v>
      </c>
      <c r="AK12" s="48"/>
      <c r="AL12" s="47">
        <f>SUM(AL9:AL11)</f>
        <v>312440.5</v>
      </c>
      <c r="AM12" s="48"/>
      <c r="AN12" s="47">
        <f>SUM(AN9:AN11)</f>
        <v>310129</v>
      </c>
      <c r="AO12" s="12"/>
    </row>
    <row r="13" spans="1:41" ht="12.75" customHeight="1">
      <c r="A13" s="9"/>
      <c r="B13" s="20"/>
      <c r="C13" s="2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20"/>
      <c r="S13" s="31"/>
      <c r="T13" s="20"/>
      <c r="U13" s="20"/>
      <c r="V13" s="20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12"/>
    </row>
    <row r="14" spans="1:41" ht="12.75" customHeight="1">
      <c r="A14" s="9"/>
      <c r="B14" s="68" t="s">
        <v>6</v>
      </c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3"/>
      <c r="S14" s="34"/>
      <c r="T14" s="33"/>
      <c r="U14" s="33"/>
      <c r="V14" s="33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12"/>
    </row>
    <row r="15" spans="1:41" ht="12.75" customHeight="1">
      <c r="A15" s="9"/>
      <c r="B15" s="20"/>
      <c r="C15" s="20" t="s">
        <v>3</v>
      </c>
      <c r="D15" s="31"/>
      <c r="E15" s="31"/>
      <c r="F15" s="31"/>
      <c r="G15" s="31"/>
      <c r="H15" s="31"/>
      <c r="I15" s="31">
        <f>166467-I9</f>
        <v>1789</v>
      </c>
      <c r="J15" s="31">
        <v>0</v>
      </c>
      <c r="K15" s="31">
        <f>163188-K9</f>
        <v>1036</v>
      </c>
      <c r="L15" s="31">
        <f>162581-L9</f>
        <v>3218</v>
      </c>
      <c r="M15" s="31">
        <f>158133-M9</f>
        <v>3233</v>
      </c>
      <c r="N15" s="31"/>
      <c r="O15" s="31">
        <v>6226</v>
      </c>
      <c r="P15" s="31">
        <v>4165</v>
      </c>
      <c r="Q15" s="31">
        <v>3906</v>
      </c>
      <c r="R15" s="31">
        <v>3313</v>
      </c>
      <c r="S15" s="31">
        <v>3419</v>
      </c>
      <c r="T15" s="31">
        <v>3207</v>
      </c>
      <c r="U15" s="31">
        <v>4381</v>
      </c>
      <c r="V15" s="31">
        <v>6828</v>
      </c>
      <c r="W15" s="22">
        <v>17908</v>
      </c>
      <c r="X15" s="22">
        <v>27939</v>
      </c>
      <c r="Y15" s="22">
        <v>27511</v>
      </c>
      <c r="Z15" s="22">
        <v>29388</v>
      </c>
      <c r="AA15" s="22">
        <v>31556</v>
      </c>
      <c r="AB15" s="22">
        <v>32578</v>
      </c>
      <c r="AC15" s="22">
        <v>34723</v>
      </c>
      <c r="AD15" s="22">
        <v>36906</v>
      </c>
      <c r="AE15" s="22">
        <v>35512</v>
      </c>
      <c r="AF15" s="22">
        <v>29288</v>
      </c>
      <c r="AG15" s="22"/>
      <c r="AH15" s="22">
        <v>35909</v>
      </c>
      <c r="AI15" s="22"/>
      <c r="AJ15" s="22">
        <v>37512</v>
      </c>
      <c r="AK15" s="22"/>
      <c r="AL15" s="22">
        <v>35832.5</v>
      </c>
      <c r="AM15" s="22"/>
      <c r="AN15" s="22">
        <v>51413.25</v>
      </c>
      <c r="AO15" s="12"/>
    </row>
    <row r="16" spans="1:41" ht="12.75" customHeight="1">
      <c r="A16" s="9"/>
      <c r="B16" s="20"/>
      <c r="C16" s="20" t="s">
        <v>4</v>
      </c>
      <c r="D16" s="31"/>
      <c r="E16" s="31"/>
      <c r="F16" s="31"/>
      <c r="G16" s="31"/>
      <c r="H16" s="31"/>
      <c r="I16" s="31">
        <v>0</v>
      </c>
      <c r="J16" s="31">
        <f>56504-J10</f>
        <v>2476</v>
      </c>
      <c r="K16" s="31">
        <f>53700-K10</f>
        <v>290</v>
      </c>
      <c r="L16" s="31">
        <f>53065-L10</f>
        <v>573</v>
      </c>
      <c r="M16" s="31">
        <f>51872-M10</f>
        <v>197</v>
      </c>
      <c r="N16" s="31"/>
      <c r="O16" s="31">
        <v>98</v>
      </c>
      <c r="P16" s="31">
        <v>129</v>
      </c>
      <c r="Q16" s="31">
        <v>58</v>
      </c>
      <c r="R16" s="31">
        <v>67</v>
      </c>
      <c r="S16" s="31">
        <v>27</v>
      </c>
      <c r="T16" s="31">
        <v>100</v>
      </c>
      <c r="U16" s="31">
        <v>69</v>
      </c>
      <c r="V16" s="31">
        <v>441</v>
      </c>
      <c r="W16" s="22">
        <v>765</v>
      </c>
      <c r="X16" s="22">
        <v>388.5</v>
      </c>
      <c r="Y16" s="22">
        <v>338</v>
      </c>
      <c r="Z16" s="22">
        <v>422</v>
      </c>
      <c r="AA16" s="22">
        <v>379</v>
      </c>
      <c r="AB16" s="22">
        <v>536</v>
      </c>
      <c r="AC16" s="22">
        <v>579</v>
      </c>
      <c r="AD16" s="22">
        <v>755</v>
      </c>
      <c r="AE16" s="22">
        <v>2025.5</v>
      </c>
      <c r="AF16" s="22">
        <v>3737.5</v>
      </c>
      <c r="AG16" s="22"/>
      <c r="AH16" s="22">
        <v>4752.5</v>
      </c>
      <c r="AI16" s="22"/>
      <c r="AJ16" s="22">
        <v>5005.5</v>
      </c>
      <c r="AK16" s="22"/>
      <c r="AL16" s="22">
        <v>5776.5</v>
      </c>
      <c r="AM16" s="22"/>
      <c r="AN16" s="22">
        <v>6389.5</v>
      </c>
      <c r="AO16" s="12"/>
    </row>
    <row r="17" spans="1:41" ht="12.75" customHeight="1">
      <c r="A17" s="9"/>
      <c r="B17" s="20"/>
      <c r="C17" s="20" t="s">
        <v>5</v>
      </c>
      <c r="D17" s="36"/>
      <c r="E17" s="36"/>
      <c r="F17" s="36"/>
      <c r="G17" s="36"/>
      <c r="H17" s="36"/>
      <c r="I17" s="36">
        <f>45096-I11</f>
        <v>3703</v>
      </c>
      <c r="J17" s="36">
        <f>44559-J11</f>
        <v>470</v>
      </c>
      <c r="K17" s="36">
        <f>49167-K11</f>
        <v>3161</v>
      </c>
      <c r="L17" s="36">
        <f>51910-L11</f>
        <v>4786</v>
      </c>
      <c r="M17" s="36">
        <f>52050-M11</f>
        <v>4121</v>
      </c>
      <c r="N17" s="36"/>
      <c r="O17" s="36">
        <v>5309</v>
      </c>
      <c r="P17" s="31">
        <v>3231</v>
      </c>
      <c r="Q17" s="31">
        <v>2880</v>
      </c>
      <c r="R17" s="31">
        <v>2571</v>
      </c>
      <c r="S17" s="31">
        <v>2074</v>
      </c>
      <c r="T17" s="31">
        <v>2078</v>
      </c>
      <c r="U17" s="46">
        <v>2171</v>
      </c>
      <c r="V17" s="36">
        <v>2455</v>
      </c>
      <c r="W17" s="25">
        <v>3930</v>
      </c>
      <c r="X17" s="25">
        <v>4931</v>
      </c>
      <c r="Y17" s="25">
        <v>4776</v>
      </c>
      <c r="Z17" s="25">
        <v>5737</v>
      </c>
      <c r="AA17" s="25">
        <v>6357</v>
      </c>
      <c r="AB17" s="25">
        <v>4788</v>
      </c>
      <c r="AC17" s="25">
        <v>5326</v>
      </c>
      <c r="AD17" s="25">
        <v>5137</v>
      </c>
      <c r="AE17" s="25">
        <v>8348.5</v>
      </c>
      <c r="AF17" s="25">
        <v>9233</v>
      </c>
      <c r="AG17" s="26"/>
      <c r="AH17" s="25">
        <v>8952.5</v>
      </c>
      <c r="AI17" s="26"/>
      <c r="AJ17" s="25">
        <v>10397</v>
      </c>
      <c r="AK17" s="26"/>
      <c r="AL17" s="25">
        <v>11248</v>
      </c>
      <c r="AM17" s="26"/>
      <c r="AN17" s="25">
        <v>10969</v>
      </c>
      <c r="AO17" s="12"/>
    </row>
    <row r="18" spans="1:41" ht="12.75" customHeight="1">
      <c r="A18" s="9"/>
      <c r="B18" s="20"/>
      <c r="C18" s="20"/>
      <c r="D18" s="22"/>
      <c r="E18" s="22"/>
      <c r="F18" s="22"/>
      <c r="G18" s="22"/>
      <c r="H18" s="22"/>
      <c r="I18" s="22">
        <f>SUM(I15:I17)</f>
        <v>5492</v>
      </c>
      <c r="J18" s="22">
        <f>SUM(J15:J17)</f>
        <v>2946</v>
      </c>
      <c r="K18" s="22">
        <f>SUM(K15:K17)</f>
        <v>4487</v>
      </c>
      <c r="L18" s="22">
        <f>SUM(L15:L17)</f>
        <v>8577</v>
      </c>
      <c r="M18" s="22">
        <f>SUM(M15:M17)</f>
        <v>7551</v>
      </c>
      <c r="N18" s="22"/>
      <c r="O18" s="22">
        <f aca="true" t="shared" si="3" ref="O18:U18">SUM(O15:O17)</f>
        <v>11633</v>
      </c>
      <c r="P18" s="38">
        <f t="shared" si="3"/>
        <v>7525</v>
      </c>
      <c r="Q18" s="38">
        <f t="shared" si="3"/>
        <v>6844</v>
      </c>
      <c r="R18" s="38">
        <f t="shared" si="3"/>
        <v>5951</v>
      </c>
      <c r="S18" s="38">
        <f t="shared" si="3"/>
        <v>5520</v>
      </c>
      <c r="T18" s="38">
        <f t="shared" si="3"/>
        <v>5385</v>
      </c>
      <c r="U18" s="26">
        <f t="shared" si="3"/>
        <v>6621</v>
      </c>
      <c r="V18" s="26">
        <f aca="true" t="shared" si="4" ref="V18:AA18">SUM(V15:V17)</f>
        <v>9724</v>
      </c>
      <c r="W18" s="29">
        <f t="shared" si="4"/>
        <v>22603</v>
      </c>
      <c r="X18" s="47">
        <f t="shared" si="4"/>
        <v>33258.5</v>
      </c>
      <c r="Y18" s="47">
        <f t="shared" si="4"/>
        <v>32625</v>
      </c>
      <c r="Z18" s="47">
        <f t="shared" si="4"/>
        <v>35547</v>
      </c>
      <c r="AA18" s="47">
        <f t="shared" si="4"/>
        <v>38292</v>
      </c>
      <c r="AB18" s="47">
        <f>SUM(AB15:AB17)</f>
        <v>37902</v>
      </c>
      <c r="AC18" s="47">
        <f>SUM(AC15:AC17)</f>
        <v>40628</v>
      </c>
      <c r="AD18" s="47">
        <f>SUM(AD15:AD17)</f>
        <v>42798</v>
      </c>
      <c r="AE18" s="47">
        <f>SUM(AE15:AE17)</f>
        <v>45886</v>
      </c>
      <c r="AF18" s="47">
        <f>SUM(AF15:AF17)</f>
        <v>42258.5</v>
      </c>
      <c r="AG18" s="48"/>
      <c r="AH18" s="47">
        <f>SUM(AH15:AH17)</f>
        <v>49614</v>
      </c>
      <c r="AI18" s="48"/>
      <c r="AJ18" s="47">
        <f>SUM(AJ15:AJ17)</f>
        <v>52914.5</v>
      </c>
      <c r="AK18" s="48"/>
      <c r="AL18" s="47">
        <f>SUM(AL15:AL17)</f>
        <v>52857</v>
      </c>
      <c r="AM18" s="48"/>
      <c r="AN18" s="47">
        <f>SUM(AN15:AN17)</f>
        <v>68771.75</v>
      </c>
      <c r="AO18" s="12"/>
    </row>
    <row r="19" spans="1:41" ht="12.75" customHeight="1">
      <c r="A19" s="9"/>
      <c r="B19" s="20"/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1"/>
      <c r="AH19" s="27"/>
      <c r="AI19" s="21"/>
      <c r="AJ19" s="27"/>
      <c r="AK19" s="21"/>
      <c r="AL19" s="27"/>
      <c r="AM19" s="21"/>
      <c r="AN19" s="27"/>
      <c r="AO19" s="12"/>
    </row>
    <row r="20" spans="1:41" ht="12.75" customHeight="1">
      <c r="A20" s="13"/>
      <c r="B20" s="68" t="s">
        <v>37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2"/>
    </row>
    <row r="21" spans="1:41" ht="12.75" customHeight="1">
      <c r="A21" s="9"/>
      <c r="B21" s="20"/>
      <c r="C21" s="20" t="s">
        <v>3</v>
      </c>
      <c r="D21" s="21">
        <f aca="true" t="shared" si="5" ref="D21:G23">D9</f>
        <v>155837</v>
      </c>
      <c r="E21" s="21">
        <f t="shared" si="5"/>
        <v>162608</v>
      </c>
      <c r="F21" s="21">
        <f t="shared" si="5"/>
        <v>163030</v>
      </c>
      <c r="G21" s="21">
        <f t="shared" si="5"/>
        <v>161300</v>
      </c>
      <c r="H21" s="21">
        <f>H9</f>
        <v>164422</v>
      </c>
      <c r="I21" s="22">
        <f aca="true" t="shared" si="6" ref="I21:M23">I9+I15</f>
        <v>166467</v>
      </c>
      <c r="J21" s="22">
        <f t="shared" si="6"/>
        <v>164696</v>
      </c>
      <c r="K21" s="22">
        <f t="shared" si="6"/>
        <v>163188</v>
      </c>
      <c r="L21" s="22">
        <f t="shared" si="6"/>
        <v>162581</v>
      </c>
      <c r="M21" s="22">
        <f t="shared" si="6"/>
        <v>158133</v>
      </c>
      <c r="N21" s="21"/>
      <c r="O21" s="22">
        <f aca="true" t="shared" si="7" ref="O21:X21">O9+O15</f>
        <v>149775</v>
      </c>
      <c r="P21" s="22">
        <f t="shared" si="7"/>
        <v>138623</v>
      </c>
      <c r="Q21" s="22">
        <f t="shared" si="7"/>
        <v>127728</v>
      </c>
      <c r="R21" s="22">
        <f t="shared" si="7"/>
        <v>128307</v>
      </c>
      <c r="S21" s="22">
        <f t="shared" si="7"/>
        <v>131354</v>
      </c>
      <c r="T21" s="22">
        <f t="shared" si="7"/>
        <v>134620</v>
      </c>
      <c r="U21" s="22">
        <f t="shared" si="7"/>
        <v>141551</v>
      </c>
      <c r="V21" s="22">
        <f t="shared" si="7"/>
        <v>144953</v>
      </c>
      <c r="W21" s="22">
        <f t="shared" si="7"/>
        <v>156347</v>
      </c>
      <c r="X21" s="22">
        <f t="shared" si="7"/>
        <v>168553.5</v>
      </c>
      <c r="Y21" s="22">
        <f aca="true" t="shared" si="8" ref="Y21:Z23">Y9+Y15</f>
        <v>177177</v>
      </c>
      <c r="Z21" s="22">
        <f t="shared" si="8"/>
        <v>186708</v>
      </c>
      <c r="AA21" s="22">
        <f aca="true" t="shared" si="9" ref="AA21:AB23">AA9+AA15</f>
        <v>195367</v>
      </c>
      <c r="AB21" s="22">
        <f t="shared" si="9"/>
        <v>202323</v>
      </c>
      <c r="AC21" s="22">
        <f aca="true" t="shared" si="10" ref="AC21:AD23">AC9+AC15</f>
        <v>208994</v>
      </c>
      <c r="AD21" s="22">
        <f t="shared" si="10"/>
        <v>205075</v>
      </c>
      <c r="AE21" s="22">
        <f aca="true" t="shared" si="11" ref="AE21:AF23">AE9+AE15</f>
        <v>205413.5</v>
      </c>
      <c r="AF21" s="22">
        <f t="shared" si="11"/>
        <v>209209.5</v>
      </c>
      <c r="AG21" s="22"/>
      <c r="AH21" s="22">
        <f>AH9+AH15</f>
        <v>225653</v>
      </c>
      <c r="AI21" s="22"/>
      <c r="AJ21" s="22">
        <f>AJ9+AJ15</f>
        <v>237520</v>
      </c>
      <c r="AK21" s="22"/>
      <c r="AL21" s="22">
        <f>AL9+AL15</f>
        <v>237006.75</v>
      </c>
      <c r="AM21" s="22"/>
      <c r="AN21" s="22">
        <f>AN9+AN15</f>
        <v>248637.25</v>
      </c>
      <c r="AO21" s="12"/>
    </row>
    <row r="22" spans="1:41" ht="12.75" customHeight="1">
      <c r="A22" s="9"/>
      <c r="B22" s="20"/>
      <c r="C22" s="20" t="s">
        <v>4</v>
      </c>
      <c r="D22" s="21">
        <f t="shared" si="5"/>
        <v>55037</v>
      </c>
      <c r="E22" s="21">
        <f t="shared" si="5"/>
        <v>58002</v>
      </c>
      <c r="F22" s="21">
        <f t="shared" si="5"/>
        <v>61173</v>
      </c>
      <c r="G22" s="21">
        <f t="shared" si="5"/>
        <v>60071</v>
      </c>
      <c r="H22" s="21">
        <f>H10</f>
        <v>57306</v>
      </c>
      <c r="I22" s="22">
        <f t="shared" si="6"/>
        <v>56327</v>
      </c>
      <c r="J22" s="22">
        <f t="shared" si="6"/>
        <v>56504</v>
      </c>
      <c r="K22" s="22">
        <f t="shared" si="6"/>
        <v>53700</v>
      </c>
      <c r="L22" s="22">
        <f t="shared" si="6"/>
        <v>53065</v>
      </c>
      <c r="M22" s="22">
        <f t="shared" si="6"/>
        <v>51872</v>
      </c>
      <c r="N22" s="21"/>
      <c r="O22" s="22">
        <f aca="true" t="shared" si="12" ref="O22:X22">O10+O16</f>
        <v>50259</v>
      </c>
      <c r="P22" s="22">
        <f t="shared" si="12"/>
        <v>51248</v>
      </c>
      <c r="Q22" s="22">
        <f t="shared" si="12"/>
        <v>50450</v>
      </c>
      <c r="R22" s="22">
        <f t="shared" si="12"/>
        <v>51649</v>
      </c>
      <c r="S22" s="22">
        <f t="shared" si="12"/>
        <v>51760</v>
      </c>
      <c r="T22" s="22">
        <f t="shared" si="12"/>
        <v>51883</v>
      </c>
      <c r="U22" s="22">
        <f t="shared" si="12"/>
        <v>52132</v>
      </c>
      <c r="V22" s="22">
        <f t="shared" si="12"/>
        <v>53693.5</v>
      </c>
      <c r="W22" s="22">
        <f t="shared" si="12"/>
        <v>55678</v>
      </c>
      <c r="X22" s="22">
        <f t="shared" si="12"/>
        <v>57401</v>
      </c>
      <c r="Y22" s="22">
        <f t="shared" si="8"/>
        <v>57106</v>
      </c>
      <c r="Z22" s="22">
        <f t="shared" si="8"/>
        <v>59184</v>
      </c>
      <c r="AA22" s="22">
        <f t="shared" si="9"/>
        <v>58727</v>
      </c>
      <c r="AB22" s="22">
        <f t="shared" si="9"/>
        <v>62668</v>
      </c>
      <c r="AC22" s="22">
        <f t="shared" si="10"/>
        <v>64132</v>
      </c>
      <c r="AD22" s="22">
        <f t="shared" si="10"/>
        <v>63617</v>
      </c>
      <c r="AE22" s="22">
        <f t="shared" si="11"/>
        <v>64290</v>
      </c>
      <c r="AF22" s="22">
        <f t="shared" si="11"/>
        <v>67053.5</v>
      </c>
      <c r="AG22" s="22"/>
      <c r="AH22" s="22">
        <f>AH10+AH16</f>
        <v>70459</v>
      </c>
      <c r="AI22" s="22"/>
      <c r="AJ22" s="22">
        <f>AJ10+AJ16</f>
        <v>74502</v>
      </c>
      <c r="AK22" s="22"/>
      <c r="AL22" s="22">
        <f>AL10+AL16</f>
        <v>73130</v>
      </c>
      <c r="AM22" s="22"/>
      <c r="AN22" s="22">
        <f>AN10+AN16</f>
        <v>76280</v>
      </c>
      <c r="AO22" s="12"/>
    </row>
    <row r="23" spans="1:41" ht="12.75" customHeight="1">
      <c r="A23" s="9"/>
      <c r="B23" s="20"/>
      <c r="C23" s="20" t="s">
        <v>5</v>
      </c>
      <c r="D23" s="23">
        <f t="shared" si="5"/>
        <v>43370</v>
      </c>
      <c r="E23" s="23">
        <f t="shared" si="5"/>
        <v>42107</v>
      </c>
      <c r="F23" s="23">
        <f t="shared" si="5"/>
        <v>39739</v>
      </c>
      <c r="G23" s="23">
        <f t="shared" si="5"/>
        <v>40777</v>
      </c>
      <c r="H23" s="23">
        <f>H11</f>
        <v>42220</v>
      </c>
      <c r="I23" s="25">
        <f t="shared" si="6"/>
        <v>45096</v>
      </c>
      <c r="J23" s="25">
        <f t="shared" si="6"/>
        <v>44559</v>
      </c>
      <c r="K23" s="25">
        <f t="shared" si="6"/>
        <v>49167</v>
      </c>
      <c r="L23" s="25">
        <f t="shared" si="6"/>
        <v>51910</v>
      </c>
      <c r="M23" s="25">
        <f t="shared" si="6"/>
        <v>52050</v>
      </c>
      <c r="N23" s="23"/>
      <c r="O23" s="25">
        <f aca="true" t="shared" si="13" ref="O23:X23">O11+O17</f>
        <v>50601</v>
      </c>
      <c r="P23" s="25">
        <f t="shared" si="13"/>
        <v>47116</v>
      </c>
      <c r="Q23" s="25">
        <f t="shared" si="13"/>
        <v>45550</v>
      </c>
      <c r="R23" s="25">
        <f t="shared" si="13"/>
        <v>47730</v>
      </c>
      <c r="S23" s="25">
        <f t="shared" si="13"/>
        <v>49704</v>
      </c>
      <c r="T23" s="25">
        <f t="shared" si="13"/>
        <v>47674</v>
      </c>
      <c r="U23" s="25">
        <f t="shared" si="13"/>
        <v>47738</v>
      </c>
      <c r="V23" s="25">
        <f t="shared" si="13"/>
        <v>46434</v>
      </c>
      <c r="W23" s="25">
        <f t="shared" si="13"/>
        <v>48433</v>
      </c>
      <c r="X23" s="25">
        <f t="shared" si="13"/>
        <v>51071</v>
      </c>
      <c r="Y23" s="25">
        <f t="shared" si="8"/>
        <v>49092</v>
      </c>
      <c r="Z23" s="25">
        <f t="shared" si="8"/>
        <v>51744</v>
      </c>
      <c r="AA23" s="25">
        <f t="shared" si="9"/>
        <v>53061</v>
      </c>
      <c r="AB23" s="25">
        <f t="shared" si="9"/>
        <v>49092</v>
      </c>
      <c r="AC23" s="25">
        <f t="shared" si="10"/>
        <v>48662</v>
      </c>
      <c r="AD23" s="25">
        <f t="shared" si="10"/>
        <v>49318</v>
      </c>
      <c r="AE23" s="25">
        <f t="shared" si="11"/>
        <v>51295</v>
      </c>
      <c r="AF23" s="25">
        <f t="shared" si="11"/>
        <v>52828</v>
      </c>
      <c r="AG23" s="26"/>
      <c r="AH23" s="25">
        <f>AH11+AH17</f>
        <v>54578</v>
      </c>
      <c r="AI23" s="26"/>
      <c r="AJ23" s="25">
        <f>AJ11+AJ17</f>
        <v>54994</v>
      </c>
      <c r="AK23" s="26"/>
      <c r="AL23" s="25">
        <f>AL11+AL17</f>
        <v>55160.75</v>
      </c>
      <c r="AM23" s="26"/>
      <c r="AN23" s="25">
        <f>AN11+AN17</f>
        <v>53983.5</v>
      </c>
      <c r="AO23" s="12"/>
    </row>
    <row r="24" spans="1:41" ht="12.75" customHeight="1">
      <c r="A24" s="9"/>
      <c r="B24" s="20"/>
      <c r="C24" s="20"/>
      <c r="D24" s="27">
        <f aca="true" t="shared" si="14" ref="D24:M24">SUM(D21:D23)</f>
        <v>254244</v>
      </c>
      <c r="E24" s="27">
        <f t="shared" si="14"/>
        <v>262717</v>
      </c>
      <c r="F24" s="27">
        <f t="shared" si="14"/>
        <v>263942</v>
      </c>
      <c r="G24" s="27">
        <f t="shared" si="14"/>
        <v>262148</v>
      </c>
      <c r="H24" s="27">
        <f t="shared" si="14"/>
        <v>263948</v>
      </c>
      <c r="I24" s="27">
        <f t="shared" si="14"/>
        <v>267890</v>
      </c>
      <c r="J24" s="27">
        <f t="shared" si="14"/>
        <v>265759</v>
      </c>
      <c r="K24" s="27">
        <f t="shared" si="14"/>
        <v>266055</v>
      </c>
      <c r="L24" s="27">
        <f t="shared" si="14"/>
        <v>267556</v>
      </c>
      <c r="M24" s="27">
        <f t="shared" si="14"/>
        <v>262055</v>
      </c>
      <c r="N24" s="27"/>
      <c r="O24" s="22">
        <f aca="true" t="shared" si="15" ref="O24:X24">SUM(O21:O23)</f>
        <v>250635</v>
      </c>
      <c r="P24" s="38">
        <f t="shared" si="15"/>
        <v>236987</v>
      </c>
      <c r="Q24" s="38">
        <f t="shared" si="15"/>
        <v>223728</v>
      </c>
      <c r="R24" s="38">
        <f t="shared" si="15"/>
        <v>227686</v>
      </c>
      <c r="S24" s="38">
        <f t="shared" si="15"/>
        <v>232818</v>
      </c>
      <c r="T24" s="38">
        <f t="shared" si="15"/>
        <v>234177</v>
      </c>
      <c r="U24" s="26">
        <f t="shared" si="15"/>
        <v>241421</v>
      </c>
      <c r="V24" s="26">
        <f t="shared" si="15"/>
        <v>245080.5</v>
      </c>
      <c r="W24" s="47">
        <f t="shared" si="15"/>
        <v>260458</v>
      </c>
      <c r="X24" s="47">
        <f t="shared" si="15"/>
        <v>277025.5</v>
      </c>
      <c r="Y24" s="47">
        <f aca="true" t="shared" si="16" ref="Y24:AD24">SUM(Y21:Y23)</f>
        <v>283375</v>
      </c>
      <c r="Z24" s="47">
        <f t="shared" si="16"/>
        <v>297636</v>
      </c>
      <c r="AA24" s="47">
        <f t="shared" si="16"/>
        <v>307155</v>
      </c>
      <c r="AB24" s="47">
        <f t="shared" si="16"/>
        <v>314083</v>
      </c>
      <c r="AC24" s="47">
        <f t="shared" si="16"/>
        <v>321788</v>
      </c>
      <c r="AD24" s="47">
        <f t="shared" si="16"/>
        <v>318010</v>
      </c>
      <c r="AE24" s="47">
        <f>SUM(AE21:AE23)</f>
        <v>320998.5</v>
      </c>
      <c r="AF24" s="47">
        <f>SUM(AF21:AF23)</f>
        <v>329091</v>
      </c>
      <c r="AG24" s="48"/>
      <c r="AH24" s="47">
        <f>SUM(AH21:AH23)</f>
        <v>350690</v>
      </c>
      <c r="AI24" s="48"/>
      <c r="AJ24" s="47">
        <f>SUM(AJ21:AJ23)</f>
        <v>367016</v>
      </c>
      <c r="AK24" s="48"/>
      <c r="AL24" s="47">
        <f>SUM(AL21:AL23)</f>
        <v>365297.5</v>
      </c>
      <c r="AM24" s="48"/>
      <c r="AN24" s="47">
        <f>SUM(AN21:AN23)</f>
        <v>378900.75</v>
      </c>
      <c r="AO24" s="12"/>
    </row>
    <row r="25" spans="1:41" ht="12.75" customHeight="1">
      <c r="A25" s="9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12"/>
    </row>
    <row r="26" spans="1:41" ht="12.75" customHeight="1">
      <c r="A26" s="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2"/>
    </row>
    <row r="27" spans="1:41" ht="12.75" customHeight="1">
      <c r="A27" s="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2"/>
    </row>
    <row r="28" spans="1:41" s="8" customFormat="1" ht="12.75" customHeight="1">
      <c r="A28" s="40"/>
      <c r="B28" s="59" t="s">
        <v>38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45"/>
      <c r="AG28" s="11"/>
      <c r="AH28" s="45"/>
      <c r="AI28" s="11"/>
      <c r="AJ28" s="45"/>
      <c r="AK28" s="11"/>
      <c r="AL28" s="45"/>
      <c r="AM28" s="11"/>
      <c r="AN28" s="45" t="s">
        <v>48</v>
      </c>
      <c r="AO28" s="41"/>
    </row>
  </sheetData>
  <sheetProtection/>
  <mergeCells count="1">
    <mergeCell ref="A2:AO2"/>
  </mergeCells>
  <printOptions/>
  <pageMargins left="0.7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O28"/>
  <sheetViews>
    <sheetView zoomScalePageLayoutView="0" workbookViewId="0" topLeftCell="A1">
      <selection activeCell="A1" sqref="A1"/>
    </sheetView>
  </sheetViews>
  <sheetFormatPr defaultColWidth="9.83203125" defaultRowHeight="12.75" customHeight="1"/>
  <cols>
    <col min="1" max="1" width="2.83203125" style="54" customWidth="1"/>
    <col min="2" max="2" width="3.16015625" style="54" customWidth="1"/>
    <col min="3" max="3" width="16.83203125" style="54" customWidth="1"/>
    <col min="4" max="31" width="12.33203125" style="54" hidden="1" customWidth="1"/>
    <col min="32" max="32" width="12.33203125" style="54" customWidth="1"/>
    <col min="33" max="33" width="3.83203125" style="54" customWidth="1"/>
    <col min="34" max="34" width="12.33203125" style="54" customWidth="1"/>
    <col min="35" max="35" width="3.83203125" style="54" customWidth="1"/>
    <col min="36" max="36" width="12.33203125" style="54" customWidth="1"/>
    <col min="37" max="37" width="3.83203125" style="54" customWidth="1"/>
    <col min="38" max="38" width="12.33203125" style="54" customWidth="1"/>
    <col min="39" max="39" width="3.83203125" style="54" customWidth="1"/>
    <col min="40" max="40" width="12.33203125" style="54" customWidth="1"/>
    <col min="41" max="41" width="2.83203125" style="54" customWidth="1"/>
    <col min="42" max="16384" width="9.83203125" style="54" customWidth="1"/>
  </cols>
  <sheetData>
    <row r="1" spans="1:41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s="55" customFormat="1" ht="12.75" customHeight="1">
      <c r="A2" s="69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ht="12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2"/>
    </row>
    <row r="4" spans="1:41" s="55" customFormat="1" ht="12.75" customHeight="1">
      <c r="A4" s="2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"/>
    </row>
    <row r="5" spans="1:41" s="55" customFormat="1" ht="12.75" customHeight="1">
      <c r="A5" s="2"/>
      <c r="B5" s="3" t="s">
        <v>42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"/>
    </row>
    <row r="6" spans="1:41" ht="12.75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2"/>
    </row>
    <row r="7" spans="1:41" ht="13.5" customHeight="1" thickTop="1">
      <c r="A7" s="9"/>
      <c r="B7" s="16"/>
      <c r="C7" s="16"/>
      <c r="D7" s="43" t="s">
        <v>35</v>
      </c>
      <c r="E7" s="43" t="s">
        <v>34</v>
      </c>
      <c r="F7" s="43" t="s">
        <v>33</v>
      </c>
      <c r="G7" s="43" t="s">
        <v>32</v>
      </c>
      <c r="H7" s="43" t="s">
        <v>31</v>
      </c>
      <c r="I7" s="43" t="s">
        <v>30</v>
      </c>
      <c r="J7" s="43" t="s">
        <v>29</v>
      </c>
      <c r="K7" s="43" t="s">
        <v>28</v>
      </c>
      <c r="L7" s="43" t="s">
        <v>27</v>
      </c>
      <c r="M7" s="43" t="s">
        <v>26</v>
      </c>
      <c r="N7" s="43" t="s">
        <v>18</v>
      </c>
      <c r="O7" s="43" t="s">
        <v>17</v>
      </c>
      <c r="P7" s="43" t="s">
        <v>13</v>
      </c>
      <c r="Q7" s="43" t="s">
        <v>12</v>
      </c>
      <c r="R7" s="43" t="s">
        <v>11</v>
      </c>
      <c r="S7" s="43" t="s">
        <v>10</v>
      </c>
      <c r="T7" s="43" t="s">
        <v>14</v>
      </c>
      <c r="U7" s="43" t="s">
        <v>15</v>
      </c>
      <c r="V7" s="43" t="s">
        <v>16</v>
      </c>
      <c r="W7" s="43" t="s">
        <v>20</v>
      </c>
      <c r="X7" s="43" t="s">
        <v>21</v>
      </c>
      <c r="Y7" s="43" t="s">
        <v>22</v>
      </c>
      <c r="Z7" s="44" t="s">
        <v>23</v>
      </c>
      <c r="AA7" s="44" t="s">
        <v>24</v>
      </c>
      <c r="AB7" s="44" t="s">
        <v>36</v>
      </c>
      <c r="AC7" s="44" t="s">
        <v>39</v>
      </c>
      <c r="AD7" s="44" t="s">
        <v>40</v>
      </c>
      <c r="AE7" s="44" t="s">
        <v>41</v>
      </c>
      <c r="AF7" s="44" t="s">
        <v>43</v>
      </c>
      <c r="AG7" s="17"/>
      <c r="AH7" s="44" t="s">
        <v>44</v>
      </c>
      <c r="AI7" s="17"/>
      <c r="AJ7" s="44" t="s">
        <v>45</v>
      </c>
      <c r="AK7" s="17"/>
      <c r="AL7" s="44" t="s">
        <v>46</v>
      </c>
      <c r="AM7" s="17"/>
      <c r="AN7" s="44" t="s">
        <v>47</v>
      </c>
      <c r="AO7" s="12"/>
    </row>
    <row r="8" spans="1:41" ht="12.75" customHeight="1">
      <c r="A8" s="13"/>
      <c r="B8" s="68" t="s">
        <v>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2"/>
    </row>
    <row r="9" spans="1:41" ht="12.75" customHeight="1">
      <c r="A9" s="9"/>
      <c r="B9" s="20"/>
      <c r="C9" s="20" t="s">
        <v>3</v>
      </c>
      <c r="D9" s="21">
        <f>8130+82203+69112</f>
        <v>159445</v>
      </c>
      <c r="E9" s="21">
        <f>9006+91977+75294</f>
        <v>176277</v>
      </c>
      <c r="F9" s="21">
        <f>8223+89871+84781</f>
        <v>182875</v>
      </c>
      <c r="G9" s="21">
        <f>7100+80790+78678</f>
        <v>166568</v>
      </c>
      <c r="H9" s="21">
        <f>5653+70887+69067</f>
        <v>145607</v>
      </c>
      <c r="I9" s="21">
        <f>5456+64377+61419</f>
        <v>131252</v>
      </c>
      <c r="J9" s="21">
        <f>5038+59254+54977</f>
        <v>119269</v>
      </c>
      <c r="K9" s="21">
        <f>4642+57117+51994</f>
        <v>113753</v>
      </c>
      <c r="L9" s="21">
        <f>4636+56071+50640</f>
        <v>111347</v>
      </c>
      <c r="M9" s="21">
        <f>4387+54448+50306</f>
        <v>109141</v>
      </c>
      <c r="N9" s="21"/>
      <c r="O9" s="31">
        <v>111629</v>
      </c>
      <c r="P9" s="31">
        <v>115717</v>
      </c>
      <c r="Q9" s="31">
        <v>118111</v>
      </c>
      <c r="R9" s="21">
        <v>115336</v>
      </c>
      <c r="S9" s="21">
        <v>116275</v>
      </c>
      <c r="T9" s="21">
        <v>116314</v>
      </c>
      <c r="U9" s="21">
        <v>109605</v>
      </c>
      <c r="V9" s="21">
        <v>108406.5</v>
      </c>
      <c r="W9" s="27">
        <v>103547</v>
      </c>
      <c r="X9" s="27">
        <v>100233</v>
      </c>
      <c r="Y9" s="27">
        <v>101021.5</v>
      </c>
      <c r="Z9" s="27">
        <v>105282.5</v>
      </c>
      <c r="AA9" s="27">
        <v>105959</v>
      </c>
      <c r="AB9" s="27">
        <v>111493</v>
      </c>
      <c r="AC9" s="27">
        <v>117462</v>
      </c>
      <c r="AD9" s="27">
        <v>124777</v>
      </c>
      <c r="AE9" s="27">
        <v>131141.5</v>
      </c>
      <c r="AF9" s="27">
        <v>135290</v>
      </c>
      <c r="AG9" s="27"/>
      <c r="AH9" s="27">
        <v>142724.5</v>
      </c>
      <c r="AI9" s="27"/>
      <c r="AJ9" s="27">
        <v>147563.5</v>
      </c>
      <c r="AK9" s="27"/>
      <c r="AL9" s="27">
        <v>150297.5</v>
      </c>
      <c r="AM9" s="27"/>
      <c r="AN9" s="27">
        <v>153608.5</v>
      </c>
      <c r="AO9" s="12"/>
    </row>
    <row r="10" spans="1:41" ht="12.75" customHeight="1">
      <c r="A10" s="9"/>
      <c r="B10" s="20"/>
      <c r="C10" s="20" t="s">
        <v>4</v>
      </c>
      <c r="D10" s="21">
        <f>0</f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/>
      <c r="O10" s="31">
        <v>0</v>
      </c>
      <c r="P10" s="31">
        <v>0</v>
      </c>
      <c r="Q10" s="3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/>
      <c r="AH10" s="27">
        <v>0</v>
      </c>
      <c r="AI10" s="27"/>
      <c r="AJ10" s="27">
        <v>0</v>
      </c>
      <c r="AK10" s="27"/>
      <c r="AL10" s="27">
        <v>0</v>
      </c>
      <c r="AM10" s="27"/>
      <c r="AN10" s="27">
        <v>0</v>
      </c>
      <c r="AO10" s="12"/>
    </row>
    <row r="11" spans="1:41" ht="12.75" customHeight="1">
      <c r="A11" s="9"/>
      <c r="B11" s="20"/>
      <c r="C11" s="20" t="s">
        <v>5</v>
      </c>
      <c r="D11" s="23">
        <f>1690+5622+5216</f>
        <v>12528</v>
      </c>
      <c r="E11" s="23">
        <f>1836+6611+5434</f>
        <v>13881</v>
      </c>
      <c r="F11" s="23">
        <f>1954+7996+7248</f>
        <v>17198</v>
      </c>
      <c r="G11" s="23">
        <f>2007+7397+7837</f>
        <v>17241</v>
      </c>
      <c r="H11" s="23">
        <f>1786+7514+7000</f>
        <v>16300</v>
      </c>
      <c r="I11" s="23">
        <f>2016+8072+7280</f>
        <v>17368</v>
      </c>
      <c r="J11" s="23">
        <f>2060+8027+7665</f>
        <v>17752</v>
      </c>
      <c r="K11" s="23">
        <f>2062+7600+7306</f>
        <v>16968</v>
      </c>
      <c r="L11" s="23">
        <f>2045+7086+7222</f>
        <v>16353</v>
      </c>
      <c r="M11" s="23">
        <f>2092+6931+6624</f>
        <v>15647</v>
      </c>
      <c r="N11" s="23"/>
      <c r="O11" s="36">
        <v>16725</v>
      </c>
      <c r="P11" s="31">
        <v>16776</v>
      </c>
      <c r="Q11" s="31">
        <v>16812</v>
      </c>
      <c r="R11" s="21">
        <v>14456</v>
      </c>
      <c r="S11" s="21">
        <v>13830</v>
      </c>
      <c r="T11" s="21">
        <v>13361</v>
      </c>
      <c r="U11" s="24">
        <v>12899</v>
      </c>
      <c r="V11" s="23">
        <v>13623</v>
      </c>
      <c r="W11" s="37">
        <v>13629</v>
      </c>
      <c r="X11" s="37">
        <v>15057.5</v>
      </c>
      <c r="Y11" s="37">
        <v>17514.5</v>
      </c>
      <c r="Z11" s="37">
        <v>20296</v>
      </c>
      <c r="AA11" s="37">
        <v>16200</v>
      </c>
      <c r="AB11" s="37">
        <v>16051</v>
      </c>
      <c r="AC11" s="37">
        <v>16802</v>
      </c>
      <c r="AD11" s="37">
        <v>16298</v>
      </c>
      <c r="AE11" s="37">
        <v>16440.5</v>
      </c>
      <c r="AF11" s="37">
        <v>16019.5</v>
      </c>
      <c r="AG11" s="29"/>
      <c r="AH11" s="37">
        <v>19416.5</v>
      </c>
      <c r="AI11" s="29"/>
      <c r="AJ11" s="37">
        <v>20887</v>
      </c>
      <c r="AK11" s="29"/>
      <c r="AL11" s="37">
        <v>20942</v>
      </c>
      <c r="AM11" s="29"/>
      <c r="AN11" s="37">
        <v>19382</v>
      </c>
      <c r="AO11" s="12"/>
    </row>
    <row r="12" spans="1:41" ht="12.75" customHeight="1">
      <c r="A12" s="9"/>
      <c r="B12" s="20"/>
      <c r="C12" s="20"/>
      <c r="D12" s="27">
        <f aca="true" t="shared" si="0" ref="D12:M12">SUM(D9:D11)</f>
        <v>171973</v>
      </c>
      <c r="E12" s="27">
        <f t="shared" si="0"/>
        <v>190158</v>
      </c>
      <c r="F12" s="27">
        <f t="shared" si="0"/>
        <v>200073</v>
      </c>
      <c r="G12" s="27">
        <f t="shared" si="0"/>
        <v>183809</v>
      </c>
      <c r="H12" s="27">
        <f t="shared" si="0"/>
        <v>161907</v>
      </c>
      <c r="I12" s="27">
        <f t="shared" si="0"/>
        <v>148620</v>
      </c>
      <c r="J12" s="27">
        <f t="shared" si="0"/>
        <v>137021</v>
      </c>
      <c r="K12" s="27">
        <f t="shared" si="0"/>
        <v>130721</v>
      </c>
      <c r="L12" s="27">
        <f t="shared" si="0"/>
        <v>127700</v>
      </c>
      <c r="M12" s="27">
        <f t="shared" si="0"/>
        <v>124788</v>
      </c>
      <c r="N12" s="27"/>
      <c r="O12" s="22">
        <f aca="true" t="shared" si="1" ref="O12:U12">SUM(O9:O11)</f>
        <v>128354</v>
      </c>
      <c r="P12" s="38">
        <f t="shared" si="1"/>
        <v>132493</v>
      </c>
      <c r="Q12" s="38">
        <f t="shared" si="1"/>
        <v>134923</v>
      </c>
      <c r="R12" s="28">
        <f t="shared" si="1"/>
        <v>129792</v>
      </c>
      <c r="S12" s="28">
        <f t="shared" si="1"/>
        <v>130105</v>
      </c>
      <c r="T12" s="28">
        <f t="shared" si="1"/>
        <v>129675</v>
      </c>
      <c r="U12" s="29">
        <f t="shared" si="1"/>
        <v>122504</v>
      </c>
      <c r="V12" s="29">
        <f aca="true" t="shared" si="2" ref="V12:AA12">SUM(V9:V11)</f>
        <v>122029.5</v>
      </c>
      <c r="W12" s="29">
        <f t="shared" si="2"/>
        <v>117176</v>
      </c>
      <c r="X12" s="29">
        <f t="shared" si="2"/>
        <v>115290.5</v>
      </c>
      <c r="Y12" s="29">
        <f t="shared" si="2"/>
        <v>118536</v>
      </c>
      <c r="Z12" s="29">
        <f t="shared" si="2"/>
        <v>125578.5</v>
      </c>
      <c r="AA12" s="29">
        <f t="shared" si="2"/>
        <v>122159</v>
      </c>
      <c r="AB12" s="29">
        <f>SUM(AB9:AB11)</f>
        <v>127544</v>
      </c>
      <c r="AC12" s="29">
        <f>SUM(AC9:AC11)</f>
        <v>134264</v>
      </c>
      <c r="AD12" s="29">
        <f>SUM(AD9:AD11)</f>
        <v>141075</v>
      </c>
      <c r="AE12" s="29">
        <f>SUM(AE9:AE11)</f>
        <v>147582</v>
      </c>
      <c r="AF12" s="29">
        <f>SUM(AF9:AF11)</f>
        <v>151309.5</v>
      </c>
      <c r="AG12" s="30"/>
      <c r="AH12" s="29">
        <f>SUM(AH9:AH11)</f>
        <v>162141</v>
      </c>
      <c r="AI12" s="30"/>
      <c r="AJ12" s="29">
        <f>SUM(AJ9:AJ11)</f>
        <v>168450.5</v>
      </c>
      <c r="AK12" s="30"/>
      <c r="AL12" s="29">
        <f>SUM(AL9:AL11)</f>
        <v>171239.5</v>
      </c>
      <c r="AM12" s="30"/>
      <c r="AN12" s="29">
        <f>SUM(AN9:AN11)</f>
        <v>172990.5</v>
      </c>
      <c r="AO12" s="12"/>
    </row>
    <row r="13" spans="1:41" ht="12.75" customHeight="1">
      <c r="A13" s="9"/>
      <c r="B13" s="20"/>
      <c r="C13" s="2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20"/>
      <c r="U13" s="20"/>
      <c r="V13" s="20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12"/>
    </row>
    <row r="14" spans="1:41" ht="12.75" customHeight="1">
      <c r="A14" s="9"/>
      <c r="B14" s="68" t="s">
        <v>6</v>
      </c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3"/>
      <c r="U14" s="33"/>
      <c r="V14" s="33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12"/>
    </row>
    <row r="15" spans="1:41" ht="12.75" customHeight="1">
      <c r="A15" s="9"/>
      <c r="B15" s="20"/>
      <c r="C15" s="20" t="s">
        <v>3</v>
      </c>
      <c r="D15" s="31"/>
      <c r="E15" s="31"/>
      <c r="F15" s="31"/>
      <c r="G15" s="31"/>
      <c r="H15" s="31"/>
      <c r="I15" s="31">
        <f>139566-I9</f>
        <v>8314</v>
      </c>
      <c r="J15" s="31">
        <f>125040-J9</f>
        <v>5771</v>
      </c>
      <c r="K15" s="31">
        <f>116371-K9</f>
        <v>2618</v>
      </c>
      <c r="L15" s="31">
        <f>112479-L9</f>
        <v>1132</v>
      </c>
      <c r="M15" s="31">
        <f>111118-M9</f>
        <v>1977</v>
      </c>
      <c r="N15" s="31"/>
      <c r="O15" s="31">
        <v>459</v>
      </c>
      <c r="P15" s="31">
        <v>297</v>
      </c>
      <c r="Q15" s="31">
        <v>501</v>
      </c>
      <c r="R15" s="21">
        <v>843</v>
      </c>
      <c r="S15" s="21">
        <v>645</v>
      </c>
      <c r="T15" s="21">
        <v>1152</v>
      </c>
      <c r="U15" s="21">
        <v>386</v>
      </c>
      <c r="V15" s="21">
        <v>448</v>
      </c>
      <c r="W15" s="27">
        <v>386</v>
      </c>
      <c r="X15" s="27">
        <v>357</v>
      </c>
      <c r="Y15" s="27">
        <v>697</v>
      </c>
      <c r="Z15" s="27">
        <v>852</v>
      </c>
      <c r="AA15" s="27">
        <v>1045</v>
      </c>
      <c r="AB15" s="27">
        <v>1068</v>
      </c>
      <c r="AC15" s="27">
        <v>895</v>
      </c>
      <c r="AD15" s="27">
        <v>548</v>
      </c>
      <c r="AE15" s="27">
        <v>850</v>
      </c>
      <c r="AF15" s="27">
        <v>1079</v>
      </c>
      <c r="AG15" s="27"/>
      <c r="AH15" s="27">
        <v>1248</v>
      </c>
      <c r="AI15" s="27"/>
      <c r="AJ15" s="27">
        <v>3035.5</v>
      </c>
      <c r="AK15" s="27"/>
      <c r="AL15" s="27">
        <v>4463</v>
      </c>
      <c r="AM15" s="27"/>
      <c r="AN15" s="27">
        <v>3925.5</v>
      </c>
      <c r="AO15" s="12"/>
    </row>
    <row r="16" spans="1:41" ht="12.75" customHeight="1">
      <c r="A16" s="9"/>
      <c r="B16" s="20"/>
      <c r="C16" s="20" t="s">
        <v>4</v>
      </c>
      <c r="D16" s="31"/>
      <c r="E16" s="31"/>
      <c r="F16" s="31"/>
      <c r="G16" s="31"/>
      <c r="H16" s="31"/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/>
      <c r="O16" s="31">
        <v>0</v>
      </c>
      <c r="P16" s="31">
        <v>0</v>
      </c>
      <c r="Q16" s="3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/>
      <c r="AH16" s="27">
        <v>0</v>
      </c>
      <c r="AI16" s="27"/>
      <c r="AJ16" s="27">
        <v>0</v>
      </c>
      <c r="AK16" s="27"/>
      <c r="AL16" s="27">
        <v>0</v>
      </c>
      <c r="AM16" s="27"/>
      <c r="AN16" s="27">
        <v>0</v>
      </c>
      <c r="AO16" s="12"/>
    </row>
    <row r="17" spans="1:41" ht="12.75" customHeight="1">
      <c r="A17" s="9"/>
      <c r="B17" s="20"/>
      <c r="C17" s="20" t="s">
        <v>5</v>
      </c>
      <c r="D17" s="36"/>
      <c r="E17" s="36"/>
      <c r="F17" s="36"/>
      <c r="G17" s="36"/>
      <c r="H17" s="36"/>
      <c r="I17" s="36">
        <v>0</v>
      </c>
      <c r="J17" s="36">
        <v>0</v>
      </c>
      <c r="K17" s="36">
        <f>17409-K11</f>
        <v>441</v>
      </c>
      <c r="L17" s="36">
        <f>16905-L11</f>
        <v>552</v>
      </c>
      <c r="M17" s="36">
        <f>15780-M11</f>
        <v>133</v>
      </c>
      <c r="N17" s="36"/>
      <c r="O17" s="36">
        <v>204</v>
      </c>
      <c r="P17" s="31">
        <v>213</v>
      </c>
      <c r="Q17" s="31">
        <v>982</v>
      </c>
      <c r="R17" s="21">
        <v>1370</v>
      </c>
      <c r="S17" s="21">
        <v>3716</v>
      </c>
      <c r="T17" s="21">
        <v>3942</v>
      </c>
      <c r="U17" s="24">
        <v>3179</v>
      </c>
      <c r="V17" s="23">
        <v>3296</v>
      </c>
      <c r="W17" s="37">
        <v>3332</v>
      </c>
      <c r="X17" s="37">
        <v>4068</v>
      </c>
      <c r="Y17" s="37">
        <v>4305</v>
      </c>
      <c r="Z17" s="37">
        <v>5310</v>
      </c>
      <c r="AA17" s="37">
        <v>3368</v>
      </c>
      <c r="AB17" s="37">
        <v>4913</v>
      </c>
      <c r="AC17" s="37">
        <v>4521</v>
      </c>
      <c r="AD17" s="37">
        <v>4661</v>
      </c>
      <c r="AE17" s="37">
        <v>5670</v>
      </c>
      <c r="AF17" s="37">
        <v>6743</v>
      </c>
      <c r="AG17" s="29"/>
      <c r="AH17" s="37">
        <v>6795.5</v>
      </c>
      <c r="AI17" s="29"/>
      <c r="AJ17" s="37">
        <v>7077</v>
      </c>
      <c r="AK17" s="29"/>
      <c r="AL17" s="37">
        <v>9315</v>
      </c>
      <c r="AM17" s="29"/>
      <c r="AN17" s="37">
        <v>9613.5</v>
      </c>
      <c r="AO17" s="12"/>
    </row>
    <row r="18" spans="1:41" ht="12.75" customHeight="1">
      <c r="A18" s="9"/>
      <c r="B18" s="20"/>
      <c r="C18" s="20"/>
      <c r="D18" s="22"/>
      <c r="E18" s="22"/>
      <c r="F18" s="22"/>
      <c r="G18" s="22"/>
      <c r="H18" s="22"/>
      <c r="I18" s="22">
        <f>SUM(I15:I17)</f>
        <v>8314</v>
      </c>
      <c r="J18" s="22">
        <f>SUM(J15:J17)</f>
        <v>5771</v>
      </c>
      <c r="K18" s="22">
        <f>SUM(K15:K17)</f>
        <v>3059</v>
      </c>
      <c r="L18" s="22">
        <f>SUM(L15:L17)</f>
        <v>1684</v>
      </c>
      <c r="M18" s="22">
        <f>SUM(M15:M17)</f>
        <v>2110</v>
      </c>
      <c r="N18" s="22"/>
      <c r="O18" s="22">
        <f aca="true" t="shared" si="3" ref="O18:U18">SUM(O15:O17)</f>
        <v>663</v>
      </c>
      <c r="P18" s="38">
        <f t="shared" si="3"/>
        <v>510</v>
      </c>
      <c r="Q18" s="38">
        <f t="shared" si="3"/>
        <v>1483</v>
      </c>
      <c r="R18" s="28">
        <f t="shared" si="3"/>
        <v>2213</v>
      </c>
      <c r="S18" s="28">
        <f t="shared" si="3"/>
        <v>4361</v>
      </c>
      <c r="T18" s="28">
        <f t="shared" si="3"/>
        <v>5094</v>
      </c>
      <c r="U18" s="29">
        <f t="shared" si="3"/>
        <v>3565</v>
      </c>
      <c r="V18" s="29">
        <f aca="true" t="shared" si="4" ref="V18:AA18">SUM(V15:V17)</f>
        <v>3744</v>
      </c>
      <c r="W18" s="29">
        <f t="shared" si="4"/>
        <v>3718</v>
      </c>
      <c r="X18" s="29">
        <f t="shared" si="4"/>
        <v>4425</v>
      </c>
      <c r="Y18" s="29">
        <f t="shared" si="4"/>
        <v>5002</v>
      </c>
      <c r="Z18" s="29">
        <f t="shared" si="4"/>
        <v>6162</v>
      </c>
      <c r="AA18" s="29">
        <f t="shared" si="4"/>
        <v>4413</v>
      </c>
      <c r="AB18" s="29">
        <f>SUM(AB15:AB17)</f>
        <v>5981</v>
      </c>
      <c r="AC18" s="29">
        <f>SUM(AC15:AC17)</f>
        <v>5416</v>
      </c>
      <c r="AD18" s="29">
        <f>SUM(AD15:AD17)</f>
        <v>5209</v>
      </c>
      <c r="AE18" s="29">
        <f>SUM(AE15:AE17)</f>
        <v>6520</v>
      </c>
      <c r="AF18" s="29">
        <f>SUM(AF15:AF17)</f>
        <v>7822</v>
      </c>
      <c r="AG18" s="30"/>
      <c r="AH18" s="29">
        <f>SUM(AH15:AH17)</f>
        <v>8043.5</v>
      </c>
      <c r="AI18" s="30"/>
      <c r="AJ18" s="29">
        <f>SUM(AJ15:AJ17)</f>
        <v>10112.5</v>
      </c>
      <c r="AK18" s="30"/>
      <c r="AL18" s="29">
        <f>SUM(AL15:AL17)</f>
        <v>13778</v>
      </c>
      <c r="AM18" s="30"/>
      <c r="AN18" s="29">
        <f>SUM(AN15:AN17)</f>
        <v>13539</v>
      </c>
      <c r="AO18" s="12"/>
    </row>
    <row r="19" spans="1:41" ht="12.75" customHeight="1">
      <c r="A19" s="9"/>
      <c r="B19" s="20"/>
      <c r="C19" s="2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0"/>
      <c r="R19" s="21"/>
      <c r="S19" s="21"/>
      <c r="T19" s="39"/>
      <c r="U19" s="39"/>
      <c r="V19" s="39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12"/>
    </row>
    <row r="20" spans="1:41" ht="12.75" customHeight="1">
      <c r="A20" s="13"/>
      <c r="B20" s="68" t="s">
        <v>37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2"/>
    </row>
    <row r="21" spans="1:41" ht="12.75" customHeight="1">
      <c r="A21" s="9"/>
      <c r="B21" s="20"/>
      <c r="C21" s="20" t="s">
        <v>3</v>
      </c>
      <c r="D21" s="21">
        <f aca="true" t="shared" si="5" ref="D21:G23">D9</f>
        <v>159445</v>
      </c>
      <c r="E21" s="21">
        <f t="shared" si="5"/>
        <v>176277</v>
      </c>
      <c r="F21" s="21">
        <f t="shared" si="5"/>
        <v>182875</v>
      </c>
      <c r="G21" s="21">
        <f t="shared" si="5"/>
        <v>166568</v>
      </c>
      <c r="H21" s="21">
        <f>H9</f>
        <v>145607</v>
      </c>
      <c r="I21" s="27">
        <f aca="true" t="shared" si="6" ref="I21:M23">I9+I15</f>
        <v>139566</v>
      </c>
      <c r="J21" s="27">
        <f t="shared" si="6"/>
        <v>125040</v>
      </c>
      <c r="K21" s="27">
        <f t="shared" si="6"/>
        <v>116371</v>
      </c>
      <c r="L21" s="27">
        <f t="shared" si="6"/>
        <v>112479</v>
      </c>
      <c r="M21" s="27">
        <f t="shared" si="6"/>
        <v>111118</v>
      </c>
      <c r="N21" s="21"/>
      <c r="O21" s="27">
        <f aca="true" t="shared" si="7" ref="O21:X21">O9+O15</f>
        <v>112088</v>
      </c>
      <c r="P21" s="27">
        <f t="shared" si="7"/>
        <v>116014</v>
      </c>
      <c r="Q21" s="27">
        <f t="shared" si="7"/>
        <v>118612</v>
      </c>
      <c r="R21" s="27">
        <f t="shared" si="7"/>
        <v>116179</v>
      </c>
      <c r="S21" s="27">
        <f t="shared" si="7"/>
        <v>116920</v>
      </c>
      <c r="T21" s="27">
        <f t="shared" si="7"/>
        <v>117466</v>
      </c>
      <c r="U21" s="27">
        <f t="shared" si="7"/>
        <v>109991</v>
      </c>
      <c r="V21" s="27">
        <f t="shared" si="7"/>
        <v>108854.5</v>
      </c>
      <c r="W21" s="27">
        <f t="shared" si="7"/>
        <v>103933</v>
      </c>
      <c r="X21" s="27">
        <f t="shared" si="7"/>
        <v>100590</v>
      </c>
      <c r="Y21" s="27">
        <f aca="true" t="shared" si="8" ref="Y21:Z23">Y9+Y15</f>
        <v>101718.5</v>
      </c>
      <c r="Z21" s="27">
        <f t="shared" si="8"/>
        <v>106134.5</v>
      </c>
      <c r="AA21" s="27">
        <f aca="true" t="shared" si="9" ref="AA21:AB23">AA9+AA15</f>
        <v>107004</v>
      </c>
      <c r="AB21" s="27">
        <f t="shared" si="9"/>
        <v>112561</v>
      </c>
      <c r="AC21" s="27">
        <f aca="true" t="shared" si="10" ref="AC21:AD23">AC9+AC15</f>
        <v>118357</v>
      </c>
      <c r="AD21" s="27">
        <f t="shared" si="10"/>
        <v>125325</v>
      </c>
      <c r="AE21" s="27">
        <f aca="true" t="shared" si="11" ref="AE21:AF23">AE9+AE15</f>
        <v>131991.5</v>
      </c>
      <c r="AF21" s="27">
        <f t="shared" si="11"/>
        <v>136369</v>
      </c>
      <c r="AG21" s="27"/>
      <c r="AH21" s="27">
        <f>AH9+AH15</f>
        <v>143972.5</v>
      </c>
      <c r="AI21" s="27"/>
      <c r="AJ21" s="27">
        <f>AJ9+AJ15</f>
        <v>150599</v>
      </c>
      <c r="AK21" s="27"/>
      <c r="AL21" s="27">
        <f>AL9+AL15</f>
        <v>154760.5</v>
      </c>
      <c r="AM21" s="27"/>
      <c r="AN21" s="27">
        <f>AN9+AN15</f>
        <v>157534</v>
      </c>
      <c r="AO21" s="12"/>
    </row>
    <row r="22" spans="1:41" ht="12.75" customHeight="1">
      <c r="A22" s="9"/>
      <c r="B22" s="20"/>
      <c r="C22" s="20" t="s">
        <v>4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>H10</f>
        <v>0</v>
      </c>
      <c r="I22" s="27">
        <f t="shared" si="6"/>
        <v>0</v>
      </c>
      <c r="J22" s="27">
        <f t="shared" si="6"/>
        <v>0</v>
      </c>
      <c r="K22" s="27">
        <f t="shared" si="6"/>
        <v>0</v>
      </c>
      <c r="L22" s="27">
        <f t="shared" si="6"/>
        <v>0</v>
      </c>
      <c r="M22" s="27">
        <f t="shared" si="6"/>
        <v>0</v>
      </c>
      <c r="N22" s="21"/>
      <c r="O22" s="27">
        <f aca="true" t="shared" si="12" ref="O22:X22">O10+O16</f>
        <v>0</v>
      </c>
      <c r="P22" s="27">
        <f t="shared" si="12"/>
        <v>0</v>
      </c>
      <c r="Q22" s="27">
        <f t="shared" si="12"/>
        <v>0</v>
      </c>
      <c r="R22" s="27">
        <f t="shared" si="12"/>
        <v>0</v>
      </c>
      <c r="S22" s="27">
        <f t="shared" si="12"/>
        <v>0</v>
      </c>
      <c r="T22" s="27">
        <f t="shared" si="12"/>
        <v>0</v>
      </c>
      <c r="U22" s="27">
        <f t="shared" si="12"/>
        <v>0</v>
      </c>
      <c r="V22" s="27">
        <f t="shared" si="12"/>
        <v>0</v>
      </c>
      <c r="W22" s="27">
        <f t="shared" si="12"/>
        <v>0</v>
      </c>
      <c r="X22" s="27">
        <f t="shared" si="12"/>
        <v>0</v>
      </c>
      <c r="Y22" s="27">
        <f t="shared" si="8"/>
        <v>0</v>
      </c>
      <c r="Z22" s="27">
        <f t="shared" si="8"/>
        <v>0</v>
      </c>
      <c r="AA22" s="27">
        <f t="shared" si="9"/>
        <v>0</v>
      </c>
      <c r="AB22" s="27">
        <f t="shared" si="9"/>
        <v>0</v>
      </c>
      <c r="AC22" s="27">
        <f t="shared" si="10"/>
        <v>0</v>
      </c>
      <c r="AD22" s="27">
        <f t="shared" si="10"/>
        <v>0</v>
      </c>
      <c r="AE22" s="27">
        <f t="shared" si="11"/>
        <v>0</v>
      </c>
      <c r="AF22" s="27">
        <f t="shared" si="11"/>
        <v>0</v>
      </c>
      <c r="AG22" s="27"/>
      <c r="AH22" s="27">
        <f>AH10+AH16</f>
        <v>0</v>
      </c>
      <c r="AI22" s="27"/>
      <c r="AJ22" s="27">
        <f>AJ10+AJ16</f>
        <v>0</v>
      </c>
      <c r="AK22" s="27"/>
      <c r="AL22" s="27">
        <f>AL10+AL16</f>
        <v>0</v>
      </c>
      <c r="AM22" s="27"/>
      <c r="AN22" s="27">
        <f>AN10+AN16</f>
        <v>0</v>
      </c>
      <c r="AO22" s="12"/>
    </row>
    <row r="23" spans="1:41" ht="12.75" customHeight="1">
      <c r="A23" s="9"/>
      <c r="B23" s="20"/>
      <c r="C23" s="20" t="s">
        <v>5</v>
      </c>
      <c r="D23" s="23">
        <f t="shared" si="5"/>
        <v>12528</v>
      </c>
      <c r="E23" s="23">
        <f t="shared" si="5"/>
        <v>13881</v>
      </c>
      <c r="F23" s="23">
        <f t="shared" si="5"/>
        <v>17198</v>
      </c>
      <c r="G23" s="23">
        <f t="shared" si="5"/>
        <v>17241</v>
      </c>
      <c r="H23" s="23">
        <f>H11</f>
        <v>16300</v>
      </c>
      <c r="I23" s="37">
        <f t="shared" si="6"/>
        <v>17368</v>
      </c>
      <c r="J23" s="37">
        <f t="shared" si="6"/>
        <v>17752</v>
      </c>
      <c r="K23" s="37">
        <f t="shared" si="6"/>
        <v>17409</v>
      </c>
      <c r="L23" s="37">
        <f t="shared" si="6"/>
        <v>16905</v>
      </c>
      <c r="M23" s="37">
        <f t="shared" si="6"/>
        <v>15780</v>
      </c>
      <c r="N23" s="23"/>
      <c r="O23" s="37">
        <f aca="true" t="shared" si="13" ref="O23:X23">O11+O17</f>
        <v>16929</v>
      </c>
      <c r="P23" s="37">
        <f t="shared" si="13"/>
        <v>16989</v>
      </c>
      <c r="Q23" s="37">
        <f t="shared" si="13"/>
        <v>17794</v>
      </c>
      <c r="R23" s="37">
        <f t="shared" si="13"/>
        <v>15826</v>
      </c>
      <c r="S23" s="37">
        <f t="shared" si="13"/>
        <v>17546</v>
      </c>
      <c r="T23" s="37">
        <f t="shared" si="13"/>
        <v>17303</v>
      </c>
      <c r="U23" s="37">
        <f t="shared" si="13"/>
        <v>16078</v>
      </c>
      <c r="V23" s="37">
        <f t="shared" si="13"/>
        <v>16919</v>
      </c>
      <c r="W23" s="37">
        <f t="shared" si="13"/>
        <v>16961</v>
      </c>
      <c r="X23" s="37">
        <f t="shared" si="13"/>
        <v>19125.5</v>
      </c>
      <c r="Y23" s="37">
        <f t="shared" si="8"/>
        <v>21819.5</v>
      </c>
      <c r="Z23" s="37">
        <f t="shared" si="8"/>
        <v>25606</v>
      </c>
      <c r="AA23" s="37">
        <f t="shared" si="9"/>
        <v>19568</v>
      </c>
      <c r="AB23" s="37">
        <f t="shared" si="9"/>
        <v>20964</v>
      </c>
      <c r="AC23" s="37">
        <f t="shared" si="10"/>
        <v>21323</v>
      </c>
      <c r="AD23" s="37">
        <f t="shared" si="10"/>
        <v>20959</v>
      </c>
      <c r="AE23" s="37">
        <f t="shared" si="11"/>
        <v>22110.5</v>
      </c>
      <c r="AF23" s="37">
        <f t="shared" si="11"/>
        <v>22762.5</v>
      </c>
      <c r="AG23" s="29"/>
      <c r="AH23" s="37">
        <f>AH11+AH17</f>
        <v>26212</v>
      </c>
      <c r="AI23" s="29"/>
      <c r="AJ23" s="37">
        <f>AJ11+AJ17</f>
        <v>27964</v>
      </c>
      <c r="AK23" s="29"/>
      <c r="AL23" s="37">
        <f>AL11+AL17</f>
        <v>30257</v>
      </c>
      <c r="AM23" s="29"/>
      <c r="AN23" s="37">
        <f>AN11+AN17</f>
        <v>28995.5</v>
      </c>
      <c r="AO23" s="12"/>
    </row>
    <row r="24" spans="1:41" ht="12.75" customHeight="1">
      <c r="A24" s="9"/>
      <c r="B24" s="20"/>
      <c r="C24" s="20"/>
      <c r="D24" s="27">
        <f aca="true" t="shared" si="14" ref="D24:M24">SUM(D21:D23)</f>
        <v>171973</v>
      </c>
      <c r="E24" s="27">
        <f t="shared" si="14"/>
        <v>190158</v>
      </c>
      <c r="F24" s="27">
        <f t="shared" si="14"/>
        <v>200073</v>
      </c>
      <c r="G24" s="27">
        <f t="shared" si="14"/>
        <v>183809</v>
      </c>
      <c r="H24" s="27">
        <f t="shared" si="14"/>
        <v>161907</v>
      </c>
      <c r="I24" s="27">
        <f t="shared" si="14"/>
        <v>156934</v>
      </c>
      <c r="J24" s="27">
        <f t="shared" si="14"/>
        <v>142792</v>
      </c>
      <c r="K24" s="27">
        <f t="shared" si="14"/>
        <v>133780</v>
      </c>
      <c r="L24" s="27">
        <f t="shared" si="14"/>
        <v>129384</v>
      </c>
      <c r="M24" s="27">
        <f t="shared" si="14"/>
        <v>126898</v>
      </c>
      <c r="N24" s="27"/>
      <c r="O24" s="22">
        <f aca="true" t="shared" si="15" ref="O24:X24">SUM(O21:O23)</f>
        <v>129017</v>
      </c>
      <c r="P24" s="38">
        <f t="shared" si="15"/>
        <v>133003</v>
      </c>
      <c r="Q24" s="38">
        <f t="shared" si="15"/>
        <v>136406</v>
      </c>
      <c r="R24" s="28">
        <f t="shared" si="15"/>
        <v>132005</v>
      </c>
      <c r="S24" s="28">
        <f t="shared" si="15"/>
        <v>134466</v>
      </c>
      <c r="T24" s="28">
        <f t="shared" si="15"/>
        <v>134769</v>
      </c>
      <c r="U24" s="29">
        <f t="shared" si="15"/>
        <v>126069</v>
      </c>
      <c r="V24" s="29">
        <f t="shared" si="15"/>
        <v>125773.5</v>
      </c>
      <c r="W24" s="29">
        <f t="shared" si="15"/>
        <v>120894</v>
      </c>
      <c r="X24" s="29">
        <f t="shared" si="15"/>
        <v>119715.5</v>
      </c>
      <c r="Y24" s="29">
        <f aca="true" t="shared" si="16" ref="Y24:AD24">SUM(Y21:Y23)</f>
        <v>123538</v>
      </c>
      <c r="Z24" s="29">
        <f t="shared" si="16"/>
        <v>131740.5</v>
      </c>
      <c r="AA24" s="29">
        <f t="shared" si="16"/>
        <v>126572</v>
      </c>
      <c r="AB24" s="29">
        <f t="shared" si="16"/>
        <v>133525</v>
      </c>
      <c r="AC24" s="29">
        <f t="shared" si="16"/>
        <v>139680</v>
      </c>
      <c r="AD24" s="29">
        <f t="shared" si="16"/>
        <v>146284</v>
      </c>
      <c r="AE24" s="29">
        <f>SUM(AE21:AE23)</f>
        <v>154102</v>
      </c>
      <c r="AF24" s="29">
        <f>SUM(AF21:AF23)</f>
        <v>159131.5</v>
      </c>
      <c r="AG24" s="30"/>
      <c r="AH24" s="29">
        <f>SUM(AH21:AH23)</f>
        <v>170184.5</v>
      </c>
      <c r="AI24" s="30"/>
      <c r="AJ24" s="29">
        <f>SUM(AJ21:AJ23)</f>
        <v>178563</v>
      </c>
      <c r="AK24" s="30"/>
      <c r="AL24" s="29">
        <f>SUM(AL21:AL23)</f>
        <v>185017.5</v>
      </c>
      <c r="AM24" s="30"/>
      <c r="AN24" s="29">
        <f>SUM(AN21:AN23)</f>
        <v>186529.5</v>
      </c>
      <c r="AO24" s="12"/>
    </row>
    <row r="25" spans="1:41" ht="12.75" customHeight="1">
      <c r="A25" s="9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12"/>
    </row>
    <row r="26" spans="1:41" ht="12.75" customHeight="1">
      <c r="A26" s="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2"/>
    </row>
    <row r="27" spans="1:41" ht="12.75" customHeight="1">
      <c r="A27" s="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2"/>
    </row>
    <row r="28" spans="1:41" s="8" customFormat="1" ht="12.75" customHeight="1">
      <c r="A28" s="40"/>
      <c r="B28" s="59" t="s">
        <v>38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45"/>
      <c r="AG28" s="11"/>
      <c r="AH28" s="45"/>
      <c r="AI28" s="11"/>
      <c r="AJ28" s="45"/>
      <c r="AK28" s="11"/>
      <c r="AL28" s="45"/>
      <c r="AM28" s="11"/>
      <c r="AN28" s="45" t="s">
        <v>48</v>
      </c>
      <c r="AO28" s="41"/>
    </row>
  </sheetData>
  <sheetProtection/>
  <mergeCells count="1">
    <mergeCell ref="A2:AO2"/>
  </mergeCells>
  <printOptions/>
  <pageMargins left="0.75" right="0.5" top="0.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Q28"/>
  <sheetViews>
    <sheetView zoomScalePageLayoutView="0" workbookViewId="0" topLeftCell="A1">
      <selection activeCell="A1" sqref="A1"/>
    </sheetView>
  </sheetViews>
  <sheetFormatPr defaultColWidth="9.83203125" defaultRowHeight="12.75" customHeight="1"/>
  <cols>
    <col min="1" max="1" width="2.83203125" style="54" customWidth="1"/>
    <col min="2" max="2" width="3.16015625" style="54" customWidth="1"/>
    <col min="3" max="3" width="16.83203125" style="54" customWidth="1"/>
    <col min="4" max="31" width="12.33203125" style="54" hidden="1" customWidth="1"/>
    <col min="32" max="32" width="12.33203125" style="54" customWidth="1"/>
    <col min="33" max="33" width="3.83203125" style="54" customWidth="1"/>
    <col min="34" max="34" width="12.33203125" style="54" customWidth="1"/>
    <col min="35" max="35" width="3.83203125" style="54" customWidth="1"/>
    <col min="36" max="36" width="12.33203125" style="54" customWidth="1"/>
    <col min="37" max="37" width="3.83203125" style="54" customWidth="1"/>
    <col min="38" max="38" width="12.33203125" style="54" customWidth="1"/>
    <col min="39" max="39" width="3.83203125" style="54" customWidth="1"/>
    <col min="40" max="40" width="12.33203125" style="54" customWidth="1"/>
    <col min="41" max="41" width="2.83203125" style="54" customWidth="1"/>
    <col min="42" max="16384" width="9.83203125" style="54" customWidth="1"/>
  </cols>
  <sheetData>
    <row r="1" spans="1:41" ht="12.75" customHeight="1">
      <c r="A1" s="49"/>
      <c r="B1" s="49"/>
      <c r="C1" s="49"/>
      <c r="D1" s="6"/>
      <c r="E1" s="6"/>
      <c r="F1" s="6"/>
      <c r="G1" s="6"/>
      <c r="H1" s="6"/>
      <c r="I1" s="6"/>
      <c r="J1" s="6"/>
      <c r="K1" s="6"/>
      <c r="L1" s="6"/>
      <c r="M1" s="6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6"/>
    </row>
    <row r="2" spans="1:41" s="55" customFormat="1" ht="12.75" customHeight="1">
      <c r="A2" s="69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ht="12.75" customHeight="1">
      <c r="A3" s="13"/>
      <c r="B3" s="50"/>
      <c r="C3" s="50"/>
      <c r="D3" s="10"/>
      <c r="E3" s="10"/>
      <c r="F3" s="10"/>
      <c r="G3" s="10"/>
      <c r="H3" s="10"/>
      <c r="I3" s="10"/>
      <c r="J3" s="10"/>
      <c r="K3" s="10"/>
      <c r="L3" s="10"/>
      <c r="M3" s="1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12"/>
    </row>
    <row r="4" spans="1:41" s="55" customFormat="1" ht="12.75" customHeight="1">
      <c r="A4" s="2"/>
      <c r="B4" s="3" t="s">
        <v>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"/>
    </row>
    <row r="5" spans="1:41" s="55" customFormat="1" ht="12.75" customHeight="1">
      <c r="A5" s="2"/>
      <c r="B5" s="3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"/>
    </row>
    <row r="6" spans="1:41" ht="12.75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2"/>
    </row>
    <row r="7" spans="1:43" ht="13.5" customHeight="1" thickTop="1">
      <c r="A7" s="9"/>
      <c r="B7" s="57"/>
      <c r="C7" s="57"/>
      <c r="D7" s="61" t="s">
        <v>35</v>
      </c>
      <c r="E7" s="61" t="s">
        <v>34</v>
      </c>
      <c r="F7" s="61" t="s">
        <v>33</v>
      </c>
      <c r="G7" s="61" t="s">
        <v>32</v>
      </c>
      <c r="H7" s="61" t="s">
        <v>31</v>
      </c>
      <c r="I7" s="61" t="s">
        <v>30</v>
      </c>
      <c r="J7" s="61" t="s">
        <v>29</v>
      </c>
      <c r="K7" s="61" t="s">
        <v>28</v>
      </c>
      <c r="L7" s="61" t="s">
        <v>27</v>
      </c>
      <c r="M7" s="61" t="s">
        <v>26</v>
      </c>
      <c r="N7" s="61" t="s">
        <v>18</v>
      </c>
      <c r="O7" s="61" t="s">
        <v>17</v>
      </c>
      <c r="P7" s="61" t="s">
        <v>13</v>
      </c>
      <c r="Q7" s="61" t="s">
        <v>12</v>
      </c>
      <c r="R7" s="61" t="s">
        <v>11</v>
      </c>
      <c r="S7" s="61" t="s">
        <v>10</v>
      </c>
      <c r="T7" s="61" t="s">
        <v>14</v>
      </c>
      <c r="U7" s="61" t="s">
        <v>15</v>
      </c>
      <c r="V7" s="61" t="s">
        <v>16</v>
      </c>
      <c r="W7" s="61" t="s">
        <v>20</v>
      </c>
      <c r="X7" s="61" t="s">
        <v>21</v>
      </c>
      <c r="Y7" s="61" t="s">
        <v>22</v>
      </c>
      <c r="Z7" s="62" t="s">
        <v>23</v>
      </c>
      <c r="AA7" s="62" t="s">
        <v>24</v>
      </c>
      <c r="AB7" s="62" t="s">
        <v>36</v>
      </c>
      <c r="AC7" s="62" t="s">
        <v>39</v>
      </c>
      <c r="AD7" s="62" t="s">
        <v>40</v>
      </c>
      <c r="AE7" s="62" t="s">
        <v>41</v>
      </c>
      <c r="AF7" s="62" t="s">
        <v>43</v>
      </c>
      <c r="AG7" s="60"/>
      <c r="AH7" s="62" t="s">
        <v>44</v>
      </c>
      <c r="AI7" s="60"/>
      <c r="AJ7" s="62" t="s">
        <v>45</v>
      </c>
      <c r="AK7" s="60"/>
      <c r="AL7" s="62" t="s">
        <v>46</v>
      </c>
      <c r="AM7" s="60"/>
      <c r="AN7" s="62" t="s">
        <v>47</v>
      </c>
      <c r="AO7" s="12"/>
      <c r="AQ7" s="8"/>
    </row>
    <row r="8" spans="1:43" ht="12.75" customHeight="1">
      <c r="A8" s="13"/>
      <c r="B8" s="68" t="s">
        <v>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2"/>
      <c r="AQ8" s="8"/>
    </row>
    <row r="9" spans="1:43" ht="12.75" customHeight="1">
      <c r="A9" s="9"/>
      <c r="B9" s="20"/>
      <c r="C9" s="20" t="s">
        <v>3</v>
      </c>
      <c r="D9" s="21">
        <f>19021+106431+100102</f>
        <v>225554</v>
      </c>
      <c r="E9" s="21">
        <f>17893+110139+102627</f>
        <v>230659</v>
      </c>
      <c r="F9" s="21">
        <f>17432+103598+97179</f>
        <v>218209</v>
      </c>
      <c r="G9" s="21">
        <f>15464+99211+95016</f>
        <v>209691</v>
      </c>
      <c r="H9" s="21">
        <f>16323+96179+90947</f>
        <v>203449</v>
      </c>
      <c r="I9" s="21">
        <f>17196+99320+88439</f>
        <v>204955</v>
      </c>
      <c r="J9" s="21">
        <f>18297+103146+91781</f>
        <v>213224</v>
      </c>
      <c r="K9" s="21">
        <f>19258+107134+94320</f>
        <v>220712</v>
      </c>
      <c r="L9" s="21">
        <f>19326+111808+97125</f>
        <v>228259</v>
      </c>
      <c r="M9" s="21">
        <f>20671+115613+101355</f>
        <v>237639</v>
      </c>
      <c r="N9" s="22">
        <v>229220</v>
      </c>
      <c r="O9" s="31">
        <v>220214</v>
      </c>
      <c r="P9" s="31">
        <v>198391</v>
      </c>
      <c r="Q9" s="31">
        <v>198011</v>
      </c>
      <c r="R9" s="31">
        <v>203968</v>
      </c>
      <c r="S9" s="31">
        <v>206060</v>
      </c>
      <c r="T9" s="31">
        <v>206813</v>
      </c>
      <c r="U9" s="31">
        <v>206060</v>
      </c>
      <c r="V9" s="22">
        <v>209542</v>
      </c>
      <c r="W9" s="22">
        <v>210425</v>
      </c>
      <c r="X9" s="22">
        <v>207817</v>
      </c>
      <c r="Y9" s="22">
        <v>213332</v>
      </c>
      <c r="Z9" s="22">
        <v>213483</v>
      </c>
      <c r="AA9" s="22">
        <v>210463</v>
      </c>
      <c r="AB9" s="22">
        <v>204062</v>
      </c>
      <c r="AC9" s="22">
        <v>206795</v>
      </c>
      <c r="AD9" s="22">
        <v>205671</v>
      </c>
      <c r="AE9" s="22">
        <f>9+44+882+71048+63+17077+1116+333+12928+27+6361+111+1152+75623+47+19334+606</f>
        <v>206761</v>
      </c>
      <c r="AF9" s="22">
        <v>158491</v>
      </c>
      <c r="AG9" s="22"/>
      <c r="AH9" s="22">
        <v>176158</v>
      </c>
      <c r="AI9" s="22"/>
      <c r="AJ9" s="22">
        <v>174525</v>
      </c>
      <c r="AK9" s="22"/>
      <c r="AL9" s="22">
        <v>184387</v>
      </c>
      <c r="AM9" s="22"/>
      <c r="AN9" s="22">
        <v>187711</v>
      </c>
      <c r="AO9" s="12"/>
      <c r="AQ9" s="8"/>
    </row>
    <row r="10" spans="1:41" ht="12.75" customHeight="1">
      <c r="A10" s="9"/>
      <c r="B10" s="20"/>
      <c r="C10" s="20" t="s">
        <v>4</v>
      </c>
      <c r="D10" s="21">
        <f>0+792+0</f>
        <v>792</v>
      </c>
      <c r="E10" s="21">
        <f>0+1351+640</f>
        <v>1991</v>
      </c>
      <c r="F10" s="21">
        <f>235+2336+2339</f>
        <v>4910</v>
      </c>
      <c r="G10" s="21">
        <f>132+2262+2339</f>
        <v>4733</v>
      </c>
      <c r="H10" s="21">
        <f>162+2414+2426</f>
        <v>5002</v>
      </c>
      <c r="I10" s="21">
        <f>168+2781+2932</f>
        <v>5881</v>
      </c>
      <c r="J10" s="21">
        <f>159+3118+2856</f>
        <v>6133</v>
      </c>
      <c r="K10" s="21">
        <f>239+3214+3036</f>
        <v>6489</v>
      </c>
      <c r="L10" s="21">
        <f>214+3147+3174</f>
        <v>6535</v>
      </c>
      <c r="M10" s="21">
        <f>217+3210+3136</f>
        <v>6563</v>
      </c>
      <c r="N10" s="22">
        <v>6548</v>
      </c>
      <c r="O10" s="31">
        <v>6405</v>
      </c>
      <c r="P10" s="31">
        <v>6578</v>
      </c>
      <c r="Q10" s="31">
        <v>6612</v>
      </c>
      <c r="R10" s="31">
        <v>6553</v>
      </c>
      <c r="S10" s="31">
        <v>6852</v>
      </c>
      <c r="T10" s="31">
        <v>6963</v>
      </c>
      <c r="U10" s="31">
        <v>7067</v>
      </c>
      <c r="V10" s="22">
        <v>7497</v>
      </c>
      <c r="W10" s="22">
        <v>7390</v>
      </c>
      <c r="X10" s="22">
        <v>7320</v>
      </c>
      <c r="Y10" s="22">
        <v>6947</v>
      </c>
      <c r="Z10" s="22">
        <v>6681</v>
      </c>
      <c r="AA10" s="22">
        <v>7084</v>
      </c>
      <c r="AB10" s="22">
        <v>7251</v>
      </c>
      <c r="AC10" s="22">
        <v>7065</v>
      </c>
      <c r="AD10" s="22">
        <v>7446</v>
      </c>
      <c r="AE10" s="22">
        <f>3+3269+533+3506</f>
        <v>7311</v>
      </c>
      <c r="AF10" s="22">
        <v>6557</v>
      </c>
      <c r="AG10" s="22"/>
      <c r="AH10" s="22">
        <v>6971</v>
      </c>
      <c r="AI10" s="22"/>
      <c r="AJ10" s="22">
        <v>6630</v>
      </c>
      <c r="AK10" s="22"/>
      <c r="AL10" s="22">
        <v>6674</v>
      </c>
      <c r="AM10" s="22"/>
      <c r="AN10" s="22">
        <v>6705</v>
      </c>
      <c r="AO10" s="12"/>
    </row>
    <row r="11" spans="1:41" ht="12.75" customHeight="1">
      <c r="A11" s="9"/>
      <c r="B11" s="20"/>
      <c r="C11" s="20" t="s">
        <v>5</v>
      </c>
      <c r="D11" s="23">
        <f>5371+9445+8634</f>
        <v>23450</v>
      </c>
      <c r="E11" s="23">
        <f>4331+9598+9519</f>
        <v>23448</v>
      </c>
      <c r="F11" s="23">
        <f>4047+7918+7632</f>
        <v>19597</v>
      </c>
      <c r="G11" s="23">
        <f>4522+7982+7854</f>
        <v>20358</v>
      </c>
      <c r="H11" s="23">
        <f>4971+8341+7715</f>
        <v>21027</v>
      </c>
      <c r="I11" s="23">
        <f>4938+9229+8043</f>
        <v>22210</v>
      </c>
      <c r="J11" s="23">
        <f>5255+10143+9119</f>
        <v>24517</v>
      </c>
      <c r="K11" s="23">
        <f>6334+10406+10357</f>
        <v>27097</v>
      </c>
      <c r="L11" s="23">
        <f>6276+11408+10644</f>
        <v>28328</v>
      </c>
      <c r="M11" s="23">
        <f>6555+11870+11019</f>
        <v>29444</v>
      </c>
      <c r="N11" s="25">
        <v>29803</v>
      </c>
      <c r="O11" s="36">
        <v>30750</v>
      </c>
      <c r="P11" s="31">
        <v>29355</v>
      </c>
      <c r="Q11" s="31">
        <v>29550</v>
      </c>
      <c r="R11" s="31">
        <v>30837</v>
      </c>
      <c r="S11" s="31">
        <v>32585</v>
      </c>
      <c r="T11" s="31">
        <v>30091</v>
      </c>
      <c r="U11" s="46">
        <v>29719</v>
      </c>
      <c r="V11" s="25">
        <v>28987</v>
      </c>
      <c r="W11" s="25">
        <v>28683</v>
      </c>
      <c r="X11" s="25">
        <v>30714</v>
      </c>
      <c r="Y11" s="25">
        <v>34068</v>
      </c>
      <c r="Z11" s="25">
        <v>35901</v>
      </c>
      <c r="AA11" s="25">
        <v>36865</v>
      </c>
      <c r="AB11" s="25">
        <v>36440</v>
      </c>
      <c r="AC11" s="25">
        <v>37993</v>
      </c>
      <c r="AD11" s="25">
        <v>37837</v>
      </c>
      <c r="AE11" s="25">
        <f>16+272+948.5+40+11054+399+2347+589+24+210+62+231+5151+101+722+135+109+251+1076+11106+342+2417+821+48+36</f>
        <v>38507.5</v>
      </c>
      <c r="AF11" s="25">
        <v>30074</v>
      </c>
      <c r="AG11" s="26"/>
      <c r="AH11" s="25">
        <v>37546</v>
      </c>
      <c r="AI11" s="26"/>
      <c r="AJ11" s="25">
        <v>38252.5</v>
      </c>
      <c r="AK11" s="26"/>
      <c r="AL11" s="25">
        <v>37805.5</v>
      </c>
      <c r="AM11" s="26"/>
      <c r="AN11" s="25">
        <v>35527.5</v>
      </c>
      <c r="AO11" s="12"/>
    </row>
    <row r="12" spans="1:41" ht="12.75" customHeight="1">
      <c r="A12" s="9"/>
      <c r="B12" s="20"/>
      <c r="C12" s="20"/>
      <c r="D12" s="27">
        <f aca="true" t="shared" si="0" ref="D12:M12">SUM(D9:D11)</f>
        <v>249796</v>
      </c>
      <c r="E12" s="27">
        <f t="shared" si="0"/>
        <v>256098</v>
      </c>
      <c r="F12" s="27">
        <f t="shared" si="0"/>
        <v>242716</v>
      </c>
      <c r="G12" s="27">
        <f t="shared" si="0"/>
        <v>234782</v>
      </c>
      <c r="H12" s="27">
        <f t="shared" si="0"/>
        <v>229478</v>
      </c>
      <c r="I12" s="27">
        <f t="shared" si="0"/>
        <v>233046</v>
      </c>
      <c r="J12" s="27">
        <f t="shared" si="0"/>
        <v>243874</v>
      </c>
      <c r="K12" s="27">
        <f t="shared" si="0"/>
        <v>254298</v>
      </c>
      <c r="L12" s="27">
        <f t="shared" si="0"/>
        <v>263122</v>
      </c>
      <c r="M12" s="27">
        <f t="shared" si="0"/>
        <v>273646</v>
      </c>
      <c r="N12" s="22">
        <f aca="true" t="shared" si="1" ref="N12:U12">SUM(N9:N11)</f>
        <v>265571</v>
      </c>
      <c r="O12" s="31">
        <f t="shared" si="1"/>
        <v>257369</v>
      </c>
      <c r="P12" s="51">
        <f t="shared" si="1"/>
        <v>234324</v>
      </c>
      <c r="Q12" s="51">
        <f t="shared" si="1"/>
        <v>234173</v>
      </c>
      <c r="R12" s="51">
        <f t="shared" si="1"/>
        <v>241358</v>
      </c>
      <c r="S12" s="51">
        <f t="shared" si="1"/>
        <v>245497</v>
      </c>
      <c r="T12" s="51">
        <f t="shared" si="1"/>
        <v>243867</v>
      </c>
      <c r="U12" s="52">
        <f t="shared" si="1"/>
        <v>242846</v>
      </c>
      <c r="V12" s="52">
        <f aca="true" t="shared" si="2" ref="V12:AA12">SUM(V9:V11)</f>
        <v>246026</v>
      </c>
      <c r="W12" s="26">
        <f t="shared" si="2"/>
        <v>246498</v>
      </c>
      <c r="X12" s="26">
        <f t="shared" si="2"/>
        <v>245851</v>
      </c>
      <c r="Y12" s="26">
        <f t="shared" si="2"/>
        <v>254347</v>
      </c>
      <c r="Z12" s="26">
        <f t="shared" si="2"/>
        <v>256065</v>
      </c>
      <c r="AA12" s="26">
        <f t="shared" si="2"/>
        <v>254412</v>
      </c>
      <c r="AB12" s="26">
        <f>SUM(AB9:AB11)</f>
        <v>247753</v>
      </c>
      <c r="AC12" s="26">
        <f>SUM(AC9:AC11)</f>
        <v>251853</v>
      </c>
      <c r="AD12" s="26">
        <f>SUM(AD9:AD11)</f>
        <v>250954</v>
      </c>
      <c r="AE12" s="26">
        <f>SUM(AE9:AE11)</f>
        <v>252579.5</v>
      </c>
      <c r="AF12" s="26">
        <f>SUM(AF9:AF11)</f>
        <v>195122</v>
      </c>
      <c r="AG12" s="26"/>
      <c r="AH12" s="26">
        <f>SUM(AH9:AH11)</f>
        <v>220675</v>
      </c>
      <c r="AI12" s="26"/>
      <c r="AJ12" s="26">
        <f>SUM(AJ9:AJ11)</f>
        <v>219407.5</v>
      </c>
      <c r="AK12" s="26"/>
      <c r="AL12" s="26">
        <f>SUM(AL9:AL11)</f>
        <v>228866.5</v>
      </c>
      <c r="AM12" s="26"/>
      <c r="AN12" s="26">
        <f>SUM(AN9:AN11)</f>
        <v>229943.5</v>
      </c>
      <c r="AO12" s="12"/>
    </row>
    <row r="13" spans="1:41" ht="12.75" customHeight="1">
      <c r="A13" s="9"/>
      <c r="B13" s="20"/>
      <c r="C13" s="2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22"/>
      <c r="O13" s="31"/>
      <c r="P13" s="31"/>
      <c r="Q13" s="31"/>
      <c r="R13" s="31"/>
      <c r="S13" s="31"/>
      <c r="T13" s="20"/>
      <c r="U13" s="20"/>
      <c r="V13" s="20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12"/>
    </row>
    <row r="14" spans="1:41" ht="12.75" customHeight="1">
      <c r="A14" s="9"/>
      <c r="B14" s="68" t="s">
        <v>6</v>
      </c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56"/>
      <c r="O14" s="34"/>
      <c r="P14" s="34"/>
      <c r="Q14" s="34"/>
      <c r="R14" s="34"/>
      <c r="S14" s="34"/>
      <c r="T14" s="33"/>
      <c r="U14" s="33"/>
      <c r="V14" s="33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12"/>
    </row>
    <row r="15" spans="1:41" ht="12.75" customHeight="1">
      <c r="A15" s="9"/>
      <c r="B15" s="20"/>
      <c r="C15" s="20" t="s">
        <v>3</v>
      </c>
      <c r="D15" s="31"/>
      <c r="E15" s="31"/>
      <c r="F15" s="31"/>
      <c r="G15" s="31"/>
      <c r="H15" s="31"/>
      <c r="I15" s="31">
        <f>205306-I9</f>
        <v>351</v>
      </c>
      <c r="J15" s="31">
        <v>0</v>
      </c>
      <c r="K15" s="31">
        <f>221047-K9</f>
        <v>335</v>
      </c>
      <c r="L15" s="31">
        <f>228839-L9</f>
        <v>580</v>
      </c>
      <c r="M15" s="22">
        <f>238186-M9</f>
        <v>547</v>
      </c>
      <c r="N15" s="22">
        <v>14096</v>
      </c>
      <c r="O15" s="31">
        <v>17948</v>
      </c>
      <c r="P15" s="31">
        <v>19349</v>
      </c>
      <c r="Q15" s="31">
        <v>21966</v>
      </c>
      <c r="R15" s="31">
        <v>22404</v>
      </c>
      <c r="S15" s="31">
        <v>23633</v>
      </c>
      <c r="T15" s="31">
        <v>25229</v>
      </c>
      <c r="U15" s="31">
        <v>24024</v>
      </c>
      <c r="V15" s="22">
        <v>23704</v>
      </c>
      <c r="W15" s="22">
        <v>21160</v>
      </c>
      <c r="X15" s="22">
        <v>14469</v>
      </c>
      <c r="Y15" s="22">
        <v>20969</v>
      </c>
      <c r="Z15" s="22">
        <v>24318</v>
      </c>
      <c r="AA15" s="22">
        <v>24523</v>
      </c>
      <c r="AB15" s="22">
        <v>27585</v>
      </c>
      <c r="AC15" s="22">
        <v>31848</v>
      </c>
      <c r="AD15" s="22">
        <v>32465</v>
      </c>
      <c r="AE15" s="22">
        <f>373+1787+6584+866+546+2044+19926</f>
        <v>32126</v>
      </c>
      <c r="AF15" s="22">
        <v>58174</v>
      </c>
      <c r="AG15" s="22"/>
      <c r="AH15" s="22">
        <v>70976</v>
      </c>
      <c r="AI15" s="22"/>
      <c r="AJ15" s="22">
        <v>75924</v>
      </c>
      <c r="AK15" s="22"/>
      <c r="AL15" s="22">
        <v>63538</v>
      </c>
      <c r="AM15" s="22"/>
      <c r="AN15" s="22">
        <v>63272</v>
      </c>
      <c r="AO15" s="12"/>
    </row>
    <row r="16" spans="1:41" ht="12.75" customHeight="1">
      <c r="A16" s="9"/>
      <c r="B16" s="20"/>
      <c r="C16" s="20" t="s">
        <v>4</v>
      </c>
      <c r="D16" s="31"/>
      <c r="E16" s="31"/>
      <c r="F16" s="31"/>
      <c r="G16" s="31"/>
      <c r="H16" s="31"/>
      <c r="I16" s="31">
        <f>6418-I10</f>
        <v>537</v>
      </c>
      <c r="J16" s="31">
        <v>0</v>
      </c>
      <c r="K16" s="31">
        <v>0</v>
      </c>
      <c r="L16" s="31">
        <f>6627-L10</f>
        <v>92</v>
      </c>
      <c r="M16" s="22">
        <v>0</v>
      </c>
      <c r="N16" s="22">
        <v>0</v>
      </c>
      <c r="O16" s="31">
        <v>0</v>
      </c>
      <c r="P16" s="31">
        <v>6</v>
      </c>
      <c r="Q16" s="31">
        <v>0</v>
      </c>
      <c r="R16" s="31">
        <v>3</v>
      </c>
      <c r="S16" s="31">
        <v>0</v>
      </c>
      <c r="T16" s="31">
        <v>0</v>
      </c>
      <c r="U16" s="31">
        <v>11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606</v>
      </c>
      <c r="AG16" s="22"/>
      <c r="AH16" s="22">
        <v>769</v>
      </c>
      <c r="AI16" s="22"/>
      <c r="AJ16" s="22">
        <v>786</v>
      </c>
      <c r="AK16" s="22"/>
      <c r="AL16" s="22">
        <v>717</v>
      </c>
      <c r="AM16" s="22"/>
      <c r="AN16" s="22">
        <v>402</v>
      </c>
      <c r="AO16" s="12"/>
    </row>
    <row r="17" spans="1:41" ht="12.75" customHeight="1">
      <c r="A17" s="9"/>
      <c r="B17" s="20"/>
      <c r="C17" s="20" t="s">
        <v>5</v>
      </c>
      <c r="D17" s="36"/>
      <c r="E17" s="36"/>
      <c r="F17" s="36"/>
      <c r="G17" s="36"/>
      <c r="H17" s="36"/>
      <c r="I17" s="36">
        <f>22718-I11</f>
        <v>508</v>
      </c>
      <c r="J17" s="36">
        <f>25530-J11</f>
        <v>1013</v>
      </c>
      <c r="K17" s="36">
        <f>27763-K11</f>
        <v>666</v>
      </c>
      <c r="L17" s="36">
        <f>28797-L11</f>
        <v>469</v>
      </c>
      <c r="M17" s="36">
        <f>30376-M11</f>
        <v>932</v>
      </c>
      <c r="N17" s="25">
        <v>2926</v>
      </c>
      <c r="O17" s="36">
        <v>3360</v>
      </c>
      <c r="P17" s="31">
        <v>3316</v>
      </c>
      <c r="Q17" s="31">
        <v>3264</v>
      </c>
      <c r="R17" s="31">
        <v>3312</v>
      </c>
      <c r="S17" s="31">
        <v>3499</v>
      </c>
      <c r="T17" s="31">
        <v>3362</v>
      </c>
      <c r="U17" s="46">
        <v>2855</v>
      </c>
      <c r="V17" s="25">
        <v>2721</v>
      </c>
      <c r="W17" s="25">
        <v>3118</v>
      </c>
      <c r="X17" s="25">
        <v>3137</v>
      </c>
      <c r="Y17" s="25">
        <v>3527</v>
      </c>
      <c r="Z17" s="25">
        <v>5385</v>
      </c>
      <c r="AA17" s="25">
        <v>5958</v>
      </c>
      <c r="AB17" s="25">
        <v>6724</v>
      </c>
      <c r="AC17" s="25">
        <v>5625</v>
      </c>
      <c r="AD17" s="25">
        <v>6042</v>
      </c>
      <c r="AE17" s="25">
        <f>1121+7+1291+420+6+1464</f>
        <v>4309</v>
      </c>
      <c r="AF17" s="25">
        <v>8127</v>
      </c>
      <c r="AG17" s="26"/>
      <c r="AH17" s="25">
        <v>11717</v>
      </c>
      <c r="AI17" s="26"/>
      <c r="AJ17" s="25">
        <v>12139</v>
      </c>
      <c r="AK17" s="26"/>
      <c r="AL17" s="25">
        <v>11579</v>
      </c>
      <c r="AM17" s="26"/>
      <c r="AN17" s="25">
        <v>11157</v>
      </c>
      <c r="AO17" s="12"/>
    </row>
    <row r="18" spans="1:41" ht="12.75" customHeight="1">
      <c r="A18" s="9"/>
      <c r="B18" s="20"/>
      <c r="C18" s="20"/>
      <c r="D18" s="22"/>
      <c r="E18" s="22"/>
      <c r="F18" s="22"/>
      <c r="G18" s="22"/>
      <c r="H18" s="22"/>
      <c r="I18" s="22">
        <f aca="true" t="shared" si="3" ref="I18:N18">SUM(I15:I17)</f>
        <v>1396</v>
      </c>
      <c r="J18" s="22">
        <f t="shared" si="3"/>
        <v>1013</v>
      </c>
      <c r="K18" s="22">
        <f t="shared" si="3"/>
        <v>1001</v>
      </c>
      <c r="L18" s="22">
        <f t="shared" si="3"/>
        <v>1141</v>
      </c>
      <c r="M18" s="22">
        <f t="shared" si="3"/>
        <v>1479</v>
      </c>
      <c r="N18" s="22">
        <f t="shared" si="3"/>
        <v>17022</v>
      </c>
      <c r="O18" s="31">
        <f aca="true" t="shared" si="4" ref="O18:U18">SUM(O15:O17)</f>
        <v>21308</v>
      </c>
      <c r="P18" s="51">
        <f t="shared" si="4"/>
        <v>22671</v>
      </c>
      <c r="Q18" s="51">
        <f t="shared" si="4"/>
        <v>25230</v>
      </c>
      <c r="R18" s="51">
        <f t="shared" si="4"/>
        <v>25719</v>
      </c>
      <c r="S18" s="51">
        <f t="shared" si="4"/>
        <v>27132</v>
      </c>
      <c r="T18" s="51">
        <f t="shared" si="4"/>
        <v>28591</v>
      </c>
      <c r="U18" s="52">
        <f t="shared" si="4"/>
        <v>26890</v>
      </c>
      <c r="V18" s="52">
        <f aca="true" t="shared" si="5" ref="V18:AA18">SUM(V15:V17)</f>
        <v>26425</v>
      </c>
      <c r="W18" s="26">
        <f t="shared" si="5"/>
        <v>24278</v>
      </c>
      <c r="X18" s="26">
        <f t="shared" si="5"/>
        <v>17606</v>
      </c>
      <c r="Y18" s="26">
        <f t="shared" si="5"/>
        <v>24496</v>
      </c>
      <c r="Z18" s="26">
        <f t="shared" si="5"/>
        <v>29703</v>
      </c>
      <c r="AA18" s="26">
        <f t="shared" si="5"/>
        <v>30481</v>
      </c>
      <c r="AB18" s="26">
        <f>SUM(AB15:AB17)</f>
        <v>34309</v>
      </c>
      <c r="AC18" s="26">
        <f>SUM(AC15:AC17)</f>
        <v>37473</v>
      </c>
      <c r="AD18" s="26">
        <f>SUM(AD15:AD17)</f>
        <v>38507</v>
      </c>
      <c r="AE18" s="26">
        <f>SUM(AE15:AE17)</f>
        <v>36435</v>
      </c>
      <c r="AF18" s="26">
        <f>SUM(AF15:AF17)</f>
        <v>66907</v>
      </c>
      <c r="AG18" s="26"/>
      <c r="AH18" s="26">
        <f>SUM(AH15:AH17)</f>
        <v>83462</v>
      </c>
      <c r="AI18" s="26"/>
      <c r="AJ18" s="26">
        <f>SUM(AJ15:AJ17)</f>
        <v>88849</v>
      </c>
      <c r="AK18" s="26"/>
      <c r="AL18" s="26">
        <f>SUM(AL15:AL17)</f>
        <v>75834</v>
      </c>
      <c r="AM18" s="26"/>
      <c r="AN18" s="26">
        <f>SUM(AN15:AN17)</f>
        <v>74831</v>
      </c>
      <c r="AO18" s="12"/>
    </row>
    <row r="19" spans="1:41" ht="12.75" customHeight="1">
      <c r="A19" s="9"/>
      <c r="B19" s="20"/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31"/>
      <c r="P19" s="52"/>
      <c r="Q19" s="52"/>
      <c r="R19" s="52"/>
      <c r="S19" s="52"/>
      <c r="T19" s="52"/>
      <c r="U19" s="52"/>
      <c r="V19" s="52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12"/>
    </row>
    <row r="20" spans="1:41" ht="12.75" customHeight="1">
      <c r="A20" s="9"/>
      <c r="B20" s="68" t="s">
        <v>37</v>
      </c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56"/>
      <c r="O20" s="34"/>
      <c r="P20" s="34"/>
      <c r="Q20" s="34"/>
      <c r="R20" s="34"/>
      <c r="S20" s="34"/>
      <c r="T20" s="33"/>
      <c r="U20" s="33"/>
      <c r="V20" s="33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12"/>
    </row>
    <row r="21" spans="1:41" ht="12.75" customHeight="1">
      <c r="A21" s="9"/>
      <c r="B21" s="20"/>
      <c r="C21" s="20" t="s">
        <v>3</v>
      </c>
      <c r="D21" s="31">
        <f aca="true" t="shared" si="6" ref="D21:G23">D9</f>
        <v>225554</v>
      </c>
      <c r="E21" s="31">
        <f t="shared" si="6"/>
        <v>230659</v>
      </c>
      <c r="F21" s="31">
        <f t="shared" si="6"/>
        <v>218209</v>
      </c>
      <c r="G21" s="31">
        <f t="shared" si="6"/>
        <v>209691</v>
      </c>
      <c r="H21" s="31">
        <f>H9</f>
        <v>203449</v>
      </c>
      <c r="I21" s="22">
        <f aca="true" t="shared" si="7" ref="I21:X21">I9+I15</f>
        <v>205306</v>
      </c>
      <c r="J21" s="22">
        <f t="shared" si="7"/>
        <v>213224</v>
      </c>
      <c r="K21" s="22">
        <f t="shared" si="7"/>
        <v>221047</v>
      </c>
      <c r="L21" s="22">
        <f t="shared" si="7"/>
        <v>228839</v>
      </c>
      <c r="M21" s="22">
        <f t="shared" si="7"/>
        <v>238186</v>
      </c>
      <c r="N21" s="22">
        <f t="shared" si="7"/>
        <v>243316</v>
      </c>
      <c r="O21" s="22">
        <f t="shared" si="7"/>
        <v>238162</v>
      </c>
      <c r="P21" s="22">
        <f t="shared" si="7"/>
        <v>217740</v>
      </c>
      <c r="Q21" s="22">
        <f t="shared" si="7"/>
        <v>219977</v>
      </c>
      <c r="R21" s="22">
        <f t="shared" si="7"/>
        <v>226372</v>
      </c>
      <c r="S21" s="22">
        <f t="shared" si="7"/>
        <v>229693</v>
      </c>
      <c r="T21" s="22">
        <f t="shared" si="7"/>
        <v>232042</v>
      </c>
      <c r="U21" s="22">
        <f t="shared" si="7"/>
        <v>230084</v>
      </c>
      <c r="V21" s="22">
        <f t="shared" si="7"/>
        <v>233246</v>
      </c>
      <c r="W21" s="22">
        <f t="shared" si="7"/>
        <v>231585</v>
      </c>
      <c r="X21" s="22">
        <f t="shared" si="7"/>
        <v>222286</v>
      </c>
      <c r="Y21" s="22">
        <f aca="true" t="shared" si="8" ref="Y21:Z23">Y9+Y15</f>
        <v>234301</v>
      </c>
      <c r="Z21" s="22">
        <f t="shared" si="8"/>
        <v>237801</v>
      </c>
      <c r="AA21" s="22">
        <f aca="true" t="shared" si="9" ref="AA21:AB23">AA9+AA15</f>
        <v>234986</v>
      </c>
      <c r="AB21" s="22">
        <f t="shared" si="9"/>
        <v>231647</v>
      </c>
      <c r="AC21" s="22">
        <f aca="true" t="shared" si="10" ref="AC21:AD23">AC9+AC15</f>
        <v>238643</v>
      </c>
      <c r="AD21" s="22">
        <f t="shared" si="10"/>
        <v>238136</v>
      </c>
      <c r="AE21" s="22">
        <f aca="true" t="shared" si="11" ref="AE21:AF23">AE9+AE15</f>
        <v>238887</v>
      </c>
      <c r="AF21" s="22">
        <f t="shared" si="11"/>
        <v>216665</v>
      </c>
      <c r="AG21" s="22"/>
      <c r="AH21" s="22">
        <f>AH9+AH15</f>
        <v>247134</v>
      </c>
      <c r="AI21" s="22"/>
      <c r="AJ21" s="22">
        <f>AJ9+AJ15</f>
        <v>250449</v>
      </c>
      <c r="AK21" s="22"/>
      <c r="AL21" s="22">
        <f>AL9+AL15</f>
        <v>247925</v>
      </c>
      <c r="AM21" s="22"/>
      <c r="AN21" s="22">
        <f>AN9+AN15</f>
        <v>250983</v>
      </c>
      <c r="AO21" s="12"/>
    </row>
    <row r="22" spans="1:41" ht="12.75" customHeight="1">
      <c r="A22" s="9"/>
      <c r="B22" s="20"/>
      <c r="C22" s="20" t="s">
        <v>4</v>
      </c>
      <c r="D22" s="31">
        <f t="shared" si="6"/>
        <v>792</v>
      </c>
      <c r="E22" s="31">
        <f t="shared" si="6"/>
        <v>1991</v>
      </c>
      <c r="F22" s="31">
        <f t="shared" si="6"/>
        <v>4910</v>
      </c>
      <c r="G22" s="31">
        <f t="shared" si="6"/>
        <v>4733</v>
      </c>
      <c r="H22" s="31">
        <f>H10</f>
        <v>5002</v>
      </c>
      <c r="I22" s="22">
        <f aca="true" t="shared" si="12" ref="I22:X22">I10+I16</f>
        <v>6418</v>
      </c>
      <c r="J22" s="22">
        <f t="shared" si="12"/>
        <v>6133</v>
      </c>
      <c r="K22" s="22">
        <f t="shared" si="12"/>
        <v>6489</v>
      </c>
      <c r="L22" s="22">
        <f t="shared" si="12"/>
        <v>6627</v>
      </c>
      <c r="M22" s="22">
        <f t="shared" si="12"/>
        <v>6563</v>
      </c>
      <c r="N22" s="22">
        <f t="shared" si="12"/>
        <v>6548</v>
      </c>
      <c r="O22" s="22">
        <f t="shared" si="12"/>
        <v>6405</v>
      </c>
      <c r="P22" s="22">
        <f t="shared" si="12"/>
        <v>6584</v>
      </c>
      <c r="Q22" s="22">
        <f t="shared" si="12"/>
        <v>6612</v>
      </c>
      <c r="R22" s="22">
        <f t="shared" si="12"/>
        <v>6556</v>
      </c>
      <c r="S22" s="22">
        <f t="shared" si="12"/>
        <v>6852</v>
      </c>
      <c r="T22" s="22">
        <f t="shared" si="12"/>
        <v>6963</v>
      </c>
      <c r="U22" s="22">
        <f t="shared" si="12"/>
        <v>7078</v>
      </c>
      <c r="V22" s="22">
        <f t="shared" si="12"/>
        <v>7497</v>
      </c>
      <c r="W22" s="22">
        <f t="shared" si="12"/>
        <v>7390</v>
      </c>
      <c r="X22" s="22">
        <f t="shared" si="12"/>
        <v>7320</v>
      </c>
      <c r="Y22" s="22">
        <f t="shared" si="8"/>
        <v>6947</v>
      </c>
      <c r="Z22" s="22">
        <f t="shared" si="8"/>
        <v>6681</v>
      </c>
      <c r="AA22" s="22">
        <f t="shared" si="9"/>
        <v>7084</v>
      </c>
      <c r="AB22" s="22">
        <f t="shared" si="9"/>
        <v>7251</v>
      </c>
      <c r="AC22" s="22">
        <f t="shared" si="10"/>
        <v>7065</v>
      </c>
      <c r="AD22" s="22">
        <f t="shared" si="10"/>
        <v>7446</v>
      </c>
      <c r="AE22" s="22">
        <f t="shared" si="11"/>
        <v>7311</v>
      </c>
      <c r="AF22" s="22">
        <f t="shared" si="11"/>
        <v>7163</v>
      </c>
      <c r="AG22" s="22"/>
      <c r="AH22" s="22">
        <f>AH10+AH16</f>
        <v>7740</v>
      </c>
      <c r="AI22" s="22"/>
      <c r="AJ22" s="22">
        <f>AJ10+AJ16</f>
        <v>7416</v>
      </c>
      <c r="AK22" s="22"/>
      <c r="AL22" s="22">
        <f>AL10+AL16</f>
        <v>7391</v>
      </c>
      <c r="AM22" s="22"/>
      <c r="AN22" s="22">
        <f>AN10+AN16</f>
        <v>7107</v>
      </c>
      <c r="AO22" s="12"/>
    </row>
    <row r="23" spans="1:41" ht="12.75" customHeight="1">
      <c r="A23" s="9"/>
      <c r="B23" s="20"/>
      <c r="C23" s="20" t="s">
        <v>5</v>
      </c>
      <c r="D23" s="36">
        <f t="shared" si="6"/>
        <v>23450</v>
      </c>
      <c r="E23" s="36">
        <f t="shared" si="6"/>
        <v>23448</v>
      </c>
      <c r="F23" s="36">
        <f t="shared" si="6"/>
        <v>19597</v>
      </c>
      <c r="G23" s="36">
        <f t="shared" si="6"/>
        <v>20358</v>
      </c>
      <c r="H23" s="36">
        <f>H11</f>
        <v>21027</v>
      </c>
      <c r="I23" s="25">
        <f aca="true" t="shared" si="13" ref="I23:X23">I11+I17</f>
        <v>22718</v>
      </c>
      <c r="J23" s="25">
        <f t="shared" si="13"/>
        <v>25530</v>
      </c>
      <c r="K23" s="25">
        <f t="shared" si="13"/>
        <v>27763</v>
      </c>
      <c r="L23" s="25">
        <f t="shared" si="13"/>
        <v>28797</v>
      </c>
      <c r="M23" s="25">
        <f t="shared" si="13"/>
        <v>30376</v>
      </c>
      <c r="N23" s="25">
        <f t="shared" si="13"/>
        <v>32729</v>
      </c>
      <c r="O23" s="25">
        <f t="shared" si="13"/>
        <v>34110</v>
      </c>
      <c r="P23" s="25">
        <f t="shared" si="13"/>
        <v>32671</v>
      </c>
      <c r="Q23" s="25">
        <f t="shared" si="13"/>
        <v>32814</v>
      </c>
      <c r="R23" s="25">
        <f t="shared" si="13"/>
        <v>34149</v>
      </c>
      <c r="S23" s="25">
        <f t="shared" si="13"/>
        <v>36084</v>
      </c>
      <c r="T23" s="25">
        <f t="shared" si="13"/>
        <v>33453</v>
      </c>
      <c r="U23" s="25">
        <f t="shared" si="13"/>
        <v>32574</v>
      </c>
      <c r="V23" s="25">
        <f t="shared" si="13"/>
        <v>31708</v>
      </c>
      <c r="W23" s="25">
        <f t="shared" si="13"/>
        <v>31801</v>
      </c>
      <c r="X23" s="25">
        <f t="shared" si="13"/>
        <v>33851</v>
      </c>
      <c r="Y23" s="25">
        <f t="shared" si="8"/>
        <v>37595</v>
      </c>
      <c r="Z23" s="25">
        <f t="shared" si="8"/>
        <v>41286</v>
      </c>
      <c r="AA23" s="25">
        <f t="shared" si="9"/>
        <v>42823</v>
      </c>
      <c r="AB23" s="25">
        <f t="shared" si="9"/>
        <v>43164</v>
      </c>
      <c r="AC23" s="25">
        <f t="shared" si="10"/>
        <v>43618</v>
      </c>
      <c r="AD23" s="25">
        <f t="shared" si="10"/>
        <v>43879</v>
      </c>
      <c r="AE23" s="25">
        <f t="shared" si="11"/>
        <v>42816.5</v>
      </c>
      <c r="AF23" s="25">
        <f t="shared" si="11"/>
        <v>38201</v>
      </c>
      <c r="AG23" s="26"/>
      <c r="AH23" s="25">
        <f>AH11+AH17</f>
        <v>49263</v>
      </c>
      <c r="AI23" s="26"/>
      <c r="AJ23" s="25">
        <f>AJ11+AJ17</f>
        <v>50391.5</v>
      </c>
      <c r="AK23" s="26"/>
      <c r="AL23" s="25">
        <f>AL11+AL17</f>
        <v>49384.5</v>
      </c>
      <c r="AM23" s="26"/>
      <c r="AN23" s="25">
        <f>AN11+AN17</f>
        <v>46684.5</v>
      </c>
      <c r="AO23" s="12"/>
    </row>
    <row r="24" spans="1:41" ht="12.75" customHeight="1">
      <c r="A24" s="9"/>
      <c r="B24" s="20"/>
      <c r="C24" s="20"/>
      <c r="D24" s="22">
        <f aca="true" t="shared" si="14" ref="D24:X24">SUM(D21:D23)</f>
        <v>249796</v>
      </c>
      <c r="E24" s="22">
        <f t="shared" si="14"/>
        <v>256098</v>
      </c>
      <c r="F24" s="22">
        <f t="shared" si="14"/>
        <v>242716</v>
      </c>
      <c r="G24" s="22">
        <f t="shared" si="14"/>
        <v>234782</v>
      </c>
      <c r="H24" s="22">
        <f t="shared" si="14"/>
        <v>229478</v>
      </c>
      <c r="I24" s="22">
        <f t="shared" si="14"/>
        <v>234442</v>
      </c>
      <c r="J24" s="22">
        <f t="shared" si="14"/>
        <v>244887</v>
      </c>
      <c r="K24" s="22">
        <f t="shared" si="14"/>
        <v>255299</v>
      </c>
      <c r="L24" s="22">
        <f t="shared" si="14"/>
        <v>264263</v>
      </c>
      <c r="M24" s="22">
        <f t="shared" si="14"/>
        <v>275125</v>
      </c>
      <c r="N24" s="22">
        <f t="shared" si="14"/>
        <v>282593</v>
      </c>
      <c r="O24" s="31">
        <f t="shared" si="14"/>
        <v>278677</v>
      </c>
      <c r="P24" s="51">
        <f t="shared" si="14"/>
        <v>256995</v>
      </c>
      <c r="Q24" s="51">
        <f t="shared" si="14"/>
        <v>259403</v>
      </c>
      <c r="R24" s="51">
        <f t="shared" si="14"/>
        <v>267077</v>
      </c>
      <c r="S24" s="51">
        <f t="shared" si="14"/>
        <v>272629</v>
      </c>
      <c r="T24" s="51">
        <f t="shared" si="14"/>
        <v>272458</v>
      </c>
      <c r="U24" s="52">
        <f t="shared" si="14"/>
        <v>269736</v>
      </c>
      <c r="V24" s="52">
        <f t="shared" si="14"/>
        <v>272451</v>
      </c>
      <c r="W24" s="26">
        <f t="shared" si="14"/>
        <v>270776</v>
      </c>
      <c r="X24" s="26">
        <f t="shared" si="14"/>
        <v>263457</v>
      </c>
      <c r="Y24" s="26">
        <f aca="true" t="shared" si="15" ref="Y24:AD24">SUM(Y21:Y23)</f>
        <v>278843</v>
      </c>
      <c r="Z24" s="26">
        <f t="shared" si="15"/>
        <v>285768</v>
      </c>
      <c r="AA24" s="26">
        <f t="shared" si="15"/>
        <v>284893</v>
      </c>
      <c r="AB24" s="26">
        <f t="shared" si="15"/>
        <v>282062</v>
      </c>
      <c r="AC24" s="26">
        <f t="shared" si="15"/>
        <v>289326</v>
      </c>
      <c r="AD24" s="26">
        <f t="shared" si="15"/>
        <v>289461</v>
      </c>
      <c r="AE24" s="26">
        <f>SUM(AE21:AE23)</f>
        <v>289014.5</v>
      </c>
      <c r="AF24" s="26">
        <f>SUM(AF21:AF23)</f>
        <v>262029</v>
      </c>
      <c r="AG24" s="26"/>
      <c r="AH24" s="26">
        <f>SUM(AH21:AH23)</f>
        <v>304137</v>
      </c>
      <c r="AI24" s="26"/>
      <c r="AJ24" s="26">
        <f>SUM(AJ21:AJ23)</f>
        <v>308256.5</v>
      </c>
      <c r="AK24" s="26"/>
      <c r="AL24" s="26">
        <f>SUM(AL21:AL23)</f>
        <v>304700.5</v>
      </c>
      <c r="AM24" s="26"/>
      <c r="AN24" s="26">
        <f>SUM(AN21:AN23)</f>
        <v>304774.5</v>
      </c>
      <c r="AO24" s="12"/>
    </row>
    <row r="25" spans="1:41" ht="12.75" customHeight="1">
      <c r="A25" s="9"/>
      <c r="B25" s="59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12"/>
    </row>
    <row r="26" spans="1:41" ht="12.75" customHeight="1">
      <c r="A26" s="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2"/>
    </row>
    <row r="27" spans="1:41" ht="12.75" customHeight="1">
      <c r="A27" s="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2"/>
    </row>
    <row r="28" spans="1:41" s="8" customFormat="1" ht="12.75" customHeight="1">
      <c r="A28" s="40"/>
      <c r="B28" s="59" t="s">
        <v>38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45"/>
      <c r="AG28" s="11"/>
      <c r="AH28" s="45"/>
      <c r="AI28" s="11"/>
      <c r="AJ28" s="45"/>
      <c r="AK28" s="11"/>
      <c r="AL28" s="45"/>
      <c r="AM28" s="11"/>
      <c r="AN28" s="45" t="s">
        <v>48</v>
      </c>
      <c r="AO28" s="41"/>
    </row>
  </sheetData>
  <sheetProtection/>
  <mergeCells count="1">
    <mergeCell ref="A2:AO2"/>
  </mergeCells>
  <printOptions/>
  <pageMargins left="0.75" right="0.5" top="0.5" bottom="0.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O28"/>
  <sheetViews>
    <sheetView zoomScalePageLayoutView="0" workbookViewId="0" topLeftCell="A1">
      <selection activeCell="A1" sqref="A1"/>
    </sheetView>
  </sheetViews>
  <sheetFormatPr defaultColWidth="9.83203125" defaultRowHeight="12.75" customHeight="1"/>
  <cols>
    <col min="1" max="1" width="2.83203125" style="54" customWidth="1"/>
    <col min="2" max="2" width="3.16015625" style="54" customWidth="1"/>
    <col min="3" max="3" width="16.83203125" style="54" customWidth="1"/>
    <col min="4" max="31" width="12.33203125" style="54" hidden="1" customWidth="1"/>
    <col min="32" max="32" width="12.33203125" style="54" customWidth="1"/>
    <col min="33" max="33" width="3.83203125" style="54" customWidth="1"/>
    <col min="34" max="34" width="12.33203125" style="54" customWidth="1"/>
    <col min="35" max="35" width="3.83203125" style="54" customWidth="1"/>
    <col min="36" max="36" width="12.33203125" style="54" customWidth="1"/>
    <col min="37" max="37" width="3.83203125" style="54" customWidth="1"/>
    <col min="38" max="38" width="12.33203125" style="54" customWidth="1"/>
    <col min="39" max="39" width="3.83203125" style="54" customWidth="1"/>
    <col min="40" max="40" width="12.33203125" style="54" customWidth="1"/>
    <col min="41" max="41" width="2.83203125" style="54" customWidth="1"/>
    <col min="42" max="16384" width="9.83203125" style="54" customWidth="1"/>
  </cols>
  <sheetData>
    <row r="1" spans="1:41" ht="12.75" customHeight="1">
      <c r="A1" s="53"/>
      <c r="B1" s="53"/>
      <c r="C1" s="5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41" s="55" customFormat="1" ht="12.75" customHeight="1">
      <c r="A2" s="69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ht="12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2"/>
    </row>
    <row r="4" spans="1:41" s="55" customFormat="1" ht="12.75" customHeight="1">
      <c r="A4" s="65"/>
      <c r="B4" s="3" t="s">
        <v>9</v>
      </c>
      <c r="C4" s="6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1"/>
    </row>
    <row r="5" spans="1:41" s="55" customFormat="1" ht="12.75" customHeight="1">
      <c r="A5" s="2"/>
      <c r="B5" s="3" t="s">
        <v>25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"/>
    </row>
    <row r="6" spans="1:41" ht="12.75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2"/>
    </row>
    <row r="7" spans="1:41" ht="13.5" customHeight="1" thickTop="1">
      <c r="A7" s="13"/>
      <c r="B7" s="63"/>
      <c r="C7" s="63"/>
      <c r="D7" s="43" t="s">
        <v>35</v>
      </c>
      <c r="E7" s="43" t="s">
        <v>34</v>
      </c>
      <c r="F7" s="43" t="s">
        <v>33</v>
      </c>
      <c r="G7" s="43" t="s">
        <v>32</v>
      </c>
      <c r="H7" s="43" t="s">
        <v>31</v>
      </c>
      <c r="I7" s="43" t="s">
        <v>30</v>
      </c>
      <c r="J7" s="43" t="s">
        <v>29</v>
      </c>
      <c r="K7" s="43" t="s">
        <v>28</v>
      </c>
      <c r="L7" s="43" t="s">
        <v>27</v>
      </c>
      <c r="M7" s="43" t="s">
        <v>26</v>
      </c>
      <c r="N7" s="43" t="s">
        <v>18</v>
      </c>
      <c r="O7" s="43" t="s">
        <v>17</v>
      </c>
      <c r="P7" s="43" t="s">
        <v>13</v>
      </c>
      <c r="Q7" s="43" t="s">
        <v>12</v>
      </c>
      <c r="R7" s="43" t="s">
        <v>11</v>
      </c>
      <c r="S7" s="43" t="s">
        <v>10</v>
      </c>
      <c r="T7" s="43" t="s">
        <v>14</v>
      </c>
      <c r="U7" s="43" t="s">
        <v>15</v>
      </c>
      <c r="V7" s="43" t="s">
        <v>16</v>
      </c>
      <c r="W7" s="43" t="s">
        <v>20</v>
      </c>
      <c r="X7" s="43" t="s">
        <v>21</v>
      </c>
      <c r="Y7" s="43" t="s">
        <v>22</v>
      </c>
      <c r="Z7" s="44" t="s">
        <v>23</v>
      </c>
      <c r="AA7" s="44" t="s">
        <v>24</v>
      </c>
      <c r="AB7" s="44" t="s">
        <v>36</v>
      </c>
      <c r="AC7" s="44" t="s">
        <v>39</v>
      </c>
      <c r="AD7" s="44" t="s">
        <v>40</v>
      </c>
      <c r="AE7" s="44" t="s">
        <v>41</v>
      </c>
      <c r="AF7" s="44" t="s">
        <v>43</v>
      </c>
      <c r="AG7" s="64"/>
      <c r="AH7" s="44" t="s">
        <v>44</v>
      </c>
      <c r="AI7" s="64"/>
      <c r="AJ7" s="44" t="s">
        <v>45</v>
      </c>
      <c r="AK7" s="64"/>
      <c r="AL7" s="44" t="s">
        <v>46</v>
      </c>
      <c r="AM7" s="64"/>
      <c r="AN7" s="44" t="s">
        <v>47</v>
      </c>
      <c r="AO7" s="12"/>
    </row>
    <row r="8" spans="1:41" ht="12.75" customHeight="1">
      <c r="A8" s="13"/>
      <c r="B8" s="68" t="s">
        <v>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2"/>
    </row>
    <row r="9" spans="1:41" ht="12.75" customHeight="1">
      <c r="A9" s="9"/>
      <c r="B9" s="20"/>
      <c r="C9" s="20" t="s">
        <v>3</v>
      </c>
      <c r="D9" s="27">
        <f>MU!D9+UMKC!D9+'S&amp;T'!D9+UMSL!D9</f>
        <v>1063386</v>
      </c>
      <c r="E9" s="27">
        <f>MU!E9+UMKC!E9+'S&amp;T'!E9+UMSL!E9</f>
        <v>1112660</v>
      </c>
      <c r="F9" s="27">
        <f>MU!F9+UMKC!F9+'S&amp;T'!F9+UMSL!F9</f>
        <v>1099411</v>
      </c>
      <c r="G9" s="27">
        <f>MU!G9+UMKC!G9+'S&amp;T'!G9+UMSL!G9</f>
        <v>1052586</v>
      </c>
      <c r="H9" s="27">
        <f>MU!H9+UMKC!H9+'S&amp;T'!H9+UMSL!H9</f>
        <v>1010598</v>
      </c>
      <c r="I9" s="27">
        <f>MU!I9+UMKC!I9+'S&amp;T'!I9+UMSL!I9</f>
        <v>977878</v>
      </c>
      <c r="J9" s="27">
        <f>MU!J9+UMKC!J9+'S&amp;T'!J9+UMSL!J9</f>
        <v>964452</v>
      </c>
      <c r="K9" s="27">
        <f>MU!K9+UMKC!K9+'S&amp;T'!K9+UMSL!K9</f>
        <v>964229</v>
      </c>
      <c r="L9" s="27">
        <f>MU!L9+UMKC!L9+'S&amp;T'!L9+UMSL!L9</f>
        <v>983128</v>
      </c>
      <c r="M9" s="27">
        <f>MU!M9+UMKC!M9+'S&amp;T'!M9+UMSL!M9</f>
        <v>999981</v>
      </c>
      <c r="N9" s="27"/>
      <c r="O9" s="27">
        <f>MU!O9+UMKC!O9+'S&amp;T'!O9+UMSL!O9</f>
        <v>971049</v>
      </c>
      <c r="P9" s="27">
        <f>MU!P9+UMKC!P9+'S&amp;T'!P9+UMSL!P9</f>
        <v>913910</v>
      </c>
      <c r="Q9" s="27">
        <f>MU!Q9+UMKC!Q9+'S&amp;T'!Q9+UMSL!Q9</f>
        <v>875849</v>
      </c>
      <c r="R9" s="27">
        <f>MU!R9+UMKC!R9+'S&amp;T'!R9+UMSL!R9</f>
        <v>879219</v>
      </c>
      <c r="S9" s="27">
        <f>MU!S9+UMKC!S9+'S&amp;T'!S9+UMSL!S9</f>
        <v>898843</v>
      </c>
      <c r="T9" s="27">
        <f>MU!T9+UMKC!T9+'S&amp;T'!T9+UMSL!T9</f>
        <v>915102</v>
      </c>
      <c r="U9" s="27">
        <f>MU!U9+UMKC!U9+'S&amp;T'!U9+UMSL!U9</f>
        <v>921099</v>
      </c>
      <c r="V9" s="27">
        <f>MU!V9+UMKC!V9+'S&amp;T'!V9+UMSL!V9</f>
        <v>934078.5</v>
      </c>
      <c r="W9" s="27">
        <f>MU!W9+UMKC!W9+'S&amp;T'!W9+UMSL!W9</f>
        <v>931568</v>
      </c>
      <c r="X9" s="27">
        <f>MU!X9+UMKC!X9+'S&amp;T'!X9+UMSL!X9</f>
        <v>936271.5</v>
      </c>
      <c r="Y9" s="27">
        <f>MU!Y9+UMKC!Y9+'S&amp;T'!Y9+UMSL!Y9</f>
        <v>965291.5</v>
      </c>
      <c r="Z9" s="27">
        <f>MU!Z9+UMKC!Z9+'S&amp;T'!Z9+UMSL!Z9</f>
        <v>1001470.5</v>
      </c>
      <c r="AA9" s="27">
        <f>MU!AA9+UMKC!AA9+'S&amp;T'!AA9+UMSL!AA9</f>
        <v>1028552</v>
      </c>
      <c r="AB9" s="27">
        <f>MU!AB9+UMKC!AB9+'S&amp;T'!AB9+UMSL!AB9</f>
        <v>1050450</v>
      </c>
      <c r="AC9" s="27">
        <f>MU!AC9+UMKC!AC9+'S&amp;T'!AC9+UMSL!AC9</f>
        <v>1079727</v>
      </c>
      <c r="AD9" s="27">
        <f>MU!AD9+UMKC!AD9+'S&amp;T'!AD9+UMSL!AD9</f>
        <v>1089703</v>
      </c>
      <c r="AE9" s="27">
        <f>MU!AE9+UMKC!AE9+'S&amp;T'!AE9+UMSL!AE9</f>
        <v>1096828</v>
      </c>
      <c r="AF9" s="27">
        <f>MU!AF9+UMKC!AF9+'S&amp;T'!AF9+UMSL!AF9</f>
        <v>1098274.5</v>
      </c>
      <c r="AG9" s="21"/>
      <c r="AH9" s="27">
        <f>MU!AH9+UMKC!AH9+'S&amp;T'!AH9+UMSL!AH9</f>
        <v>1153317.5</v>
      </c>
      <c r="AI9" s="21"/>
      <c r="AJ9" s="27">
        <f>MU!AJ9+UMKC!AJ9+'S&amp;T'!AJ9+UMSL!AJ9</f>
        <v>1194328.5</v>
      </c>
      <c r="AK9" s="21"/>
      <c r="AL9" s="27">
        <f>MU!AL9+UMKC!AL9+'S&amp;T'!AL9+UMSL!AL9</f>
        <v>1228919.75</v>
      </c>
      <c r="AM9" s="21"/>
      <c r="AN9" s="27">
        <f>MU!AN9+UMKC!AN9+'S&amp;T'!AN9+UMSL!AN9</f>
        <v>1239372</v>
      </c>
      <c r="AO9" s="12"/>
    </row>
    <row r="10" spans="1:41" ht="12.75" customHeight="1">
      <c r="A10" s="9"/>
      <c r="B10" s="20"/>
      <c r="C10" s="20" t="s">
        <v>4</v>
      </c>
      <c r="D10" s="27">
        <f>MU!D10+UMKC!D10+'S&amp;T'!D10+UMSL!D10</f>
        <v>99774</v>
      </c>
      <c r="E10" s="27">
        <f>MU!E10+UMKC!E10+'S&amp;T'!E10+UMSL!E10</f>
        <v>104332</v>
      </c>
      <c r="F10" s="27">
        <f>MU!F10+UMKC!F10+'S&amp;T'!F10+UMSL!F10</f>
        <v>109339</v>
      </c>
      <c r="G10" s="27">
        <f>MU!G10+UMKC!G10+'S&amp;T'!G10+UMSL!G10</f>
        <v>107880</v>
      </c>
      <c r="H10" s="27">
        <f>MU!H10+UMKC!H10+'S&amp;T'!H10+UMSL!H10</f>
        <v>105923</v>
      </c>
      <c r="I10" s="27">
        <f>MU!I10+UMKC!I10+'S&amp;T'!I10+UMSL!I10</f>
        <v>105529</v>
      </c>
      <c r="J10" s="27">
        <f>MU!J10+UMKC!J10+'S&amp;T'!J10+UMSL!J10</f>
        <v>102259</v>
      </c>
      <c r="K10" s="27">
        <f>MU!K10+UMKC!K10+'S&amp;T'!K10+UMSL!K10</f>
        <v>104169</v>
      </c>
      <c r="L10" s="27">
        <f>MU!L10+UMKC!L10+'S&amp;T'!L10+UMSL!L10</f>
        <v>102697</v>
      </c>
      <c r="M10" s="27">
        <f>MU!M10+UMKC!M10+'S&amp;T'!M10+UMSL!M10</f>
        <v>101919</v>
      </c>
      <c r="N10" s="27"/>
      <c r="O10" s="27">
        <f>MU!O10+UMKC!O10+'S&amp;T'!O10+UMSL!O10</f>
        <v>99429</v>
      </c>
      <c r="P10" s="27">
        <f>MU!P10+UMKC!P10+'S&amp;T'!P10+UMSL!P10</f>
        <v>99880</v>
      </c>
      <c r="Q10" s="27">
        <f>MU!Q10+UMKC!Q10+'S&amp;T'!Q10+UMSL!Q10</f>
        <v>98557</v>
      </c>
      <c r="R10" s="27">
        <f>MU!R10+UMKC!R10+'S&amp;T'!R10+UMSL!R10</f>
        <v>98877</v>
      </c>
      <c r="S10" s="27">
        <f>MU!S10+UMKC!S10+'S&amp;T'!S10+UMSL!S10</f>
        <v>97506</v>
      </c>
      <c r="T10" s="27">
        <f>MU!T10+UMKC!T10+'S&amp;T'!T10+UMSL!T10</f>
        <v>98926</v>
      </c>
      <c r="U10" s="27">
        <f>MU!U10+UMKC!U10+'S&amp;T'!U10+UMSL!U10</f>
        <v>100207</v>
      </c>
      <c r="V10" s="27">
        <f>MU!V10+UMKC!V10+'S&amp;T'!V10+UMSL!V10</f>
        <v>103970.5</v>
      </c>
      <c r="W10" s="27">
        <f>MU!W10+UMKC!W10+'S&amp;T'!W10+UMSL!W10</f>
        <v>103666</v>
      </c>
      <c r="X10" s="27">
        <f>MU!X10+UMKC!X10+'S&amp;T'!X10+UMSL!X10</f>
        <v>105580</v>
      </c>
      <c r="Y10" s="27">
        <f>MU!Y10+UMKC!Y10+'S&amp;T'!Y10+UMSL!Y10</f>
        <v>103946</v>
      </c>
      <c r="Z10" s="27">
        <f>MU!Z10+UMKC!Z10+'S&amp;T'!Z10+UMSL!Z10</f>
        <v>113692</v>
      </c>
      <c r="AA10" s="27">
        <f>MU!AA10+UMKC!AA10+'S&amp;T'!AA10+UMSL!AA10</f>
        <v>103370</v>
      </c>
      <c r="AB10" s="27">
        <f>MU!AB10+UMKC!AB10+'S&amp;T'!AB10+UMSL!AB10</f>
        <v>105477</v>
      </c>
      <c r="AC10" s="27">
        <f>MU!AC10+UMKC!AC10+'S&amp;T'!AC10+UMSL!AC10</f>
        <v>108616</v>
      </c>
      <c r="AD10" s="27">
        <f>MU!AD10+UMKC!AD10+'S&amp;T'!AD10+UMSL!AD10</f>
        <v>107214</v>
      </c>
      <c r="AE10" s="27">
        <f>MU!AE10+UMKC!AE10+'S&amp;T'!AE10+UMSL!AE10</f>
        <v>108121</v>
      </c>
      <c r="AF10" s="27">
        <f>MU!AF10+UMKC!AF10+'S&amp;T'!AF10+UMSL!AF10</f>
        <v>108236</v>
      </c>
      <c r="AG10" s="21"/>
      <c r="AH10" s="27">
        <f>MU!AH10+UMKC!AH10+'S&amp;T'!AH10+UMSL!AH10</f>
        <v>113168</v>
      </c>
      <c r="AI10" s="21"/>
      <c r="AJ10" s="27">
        <f>MU!AJ10+UMKC!AJ10+'S&amp;T'!AJ10+UMSL!AJ10</f>
        <v>118764</v>
      </c>
      <c r="AK10" s="21"/>
      <c r="AL10" s="27">
        <f>MU!AL10+UMKC!AL10+'S&amp;T'!AL10+UMSL!AL10</f>
        <v>118157</v>
      </c>
      <c r="AM10" s="21"/>
      <c r="AN10" s="27">
        <f>MU!AN10+UMKC!AN10+'S&amp;T'!AN10+UMSL!AN10</f>
        <v>122479.5</v>
      </c>
      <c r="AO10" s="12"/>
    </row>
    <row r="11" spans="1:41" ht="12.75" customHeight="1">
      <c r="A11" s="9"/>
      <c r="B11" s="20"/>
      <c r="C11" s="20" t="s">
        <v>5</v>
      </c>
      <c r="D11" s="37">
        <f>MU!D11+UMKC!D11+'S&amp;T'!D11+UMSL!D11</f>
        <v>165914</v>
      </c>
      <c r="E11" s="37">
        <f>MU!E11+UMKC!E11+'S&amp;T'!E11+UMSL!E11</f>
        <v>164284</v>
      </c>
      <c r="F11" s="37">
        <f>MU!F11+UMKC!F11+'S&amp;T'!F11+UMSL!F11</f>
        <v>156063</v>
      </c>
      <c r="G11" s="37">
        <f>MU!G11+UMKC!G11+'S&amp;T'!G11+UMSL!G11</f>
        <v>155559</v>
      </c>
      <c r="H11" s="37">
        <f>MU!H11+UMKC!H11+'S&amp;T'!H11+UMSL!H11</f>
        <v>154387</v>
      </c>
      <c r="I11" s="37">
        <f>MU!I11+UMKC!I11+'S&amp;T'!I11+UMSL!I11</f>
        <v>154467</v>
      </c>
      <c r="J11" s="37">
        <f>MU!J11+UMKC!J11+'S&amp;T'!J11+UMSL!J11</f>
        <v>161318</v>
      </c>
      <c r="K11" s="37">
        <f>MU!K11+UMKC!K11+'S&amp;T'!K11+UMSL!K11</f>
        <v>165606</v>
      </c>
      <c r="L11" s="37">
        <f>MU!L11+UMKC!L11+'S&amp;T'!L11+UMSL!L11</f>
        <v>168559</v>
      </c>
      <c r="M11" s="37">
        <f>MU!M11+UMKC!M11+'S&amp;T'!M11+UMSL!M11</f>
        <v>172844</v>
      </c>
      <c r="N11" s="37"/>
      <c r="O11" s="37">
        <f>MU!O11+UMKC!O11+'S&amp;T'!O11+UMSL!O11</f>
        <v>174101</v>
      </c>
      <c r="P11" s="37">
        <f>MU!P11+UMKC!P11+'S&amp;T'!P11+UMSL!P11</f>
        <v>168079</v>
      </c>
      <c r="Q11" s="37">
        <f>MU!Q11+UMKC!Q11+'S&amp;T'!Q11+UMSL!Q11</f>
        <v>164327</v>
      </c>
      <c r="R11" s="37">
        <f>MU!R11+UMKC!R11+'S&amp;T'!R11+UMSL!R11</f>
        <v>162446</v>
      </c>
      <c r="S11" s="37">
        <f>MU!S11+UMKC!S11+'S&amp;T'!S11+UMSL!S11</f>
        <v>165130</v>
      </c>
      <c r="T11" s="37">
        <f>MU!T11+UMKC!T11+'S&amp;T'!T11+UMSL!T11</f>
        <v>156055</v>
      </c>
      <c r="U11" s="37">
        <f>MU!U11+UMKC!U11+'S&amp;T'!U11+UMSL!U11</f>
        <v>150197.5</v>
      </c>
      <c r="V11" s="37">
        <f>MU!V11+UMKC!V11+'S&amp;T'!V11+UMSL!V11</f>
        <v>147629.5</v>
      </c>
      <c r="W11" s="37">
        <f>MU!W11+UMKC!W11+'S&amp;T'!W11+UMSL!W11</f>
        <v>150070</v>
      </c>
      <c r="X11" s="37">
        <f>MU!X11+UMKC!X11+'S&amp;T'!X11+UMSL!X11</f>
        <v>158895.5</v>
      </c>
      <c r="Y11" s="37">
        <f>MU!Y11+UMKC!Y11+'S&amp;T'!Y11+UMSL!Y11</f>
        <v>164588.5</v>
      </c>
      <c r="Z11" s="37">
        <f>MU!Z11+UMKC!Z11+'S&amp;T'!Z11+UMSL!Z11</f>
        <v>174530</v>
      </c>
      <c r="AA11" s="37">
        <f>MU!AA11+UMKC!AA11+'S&amp;T'!AA11+UMSL!AA11</f>
        <v>170155</v>
      </c>
      <c r="AB11" s="37">
        <f>MU!AB11+UMKC!AB11+'S&amp;T'!AB11+UMSL!AB11</f>
        <v>166294</v>
      </c>
      <c r="AC11" s="37">
        <f>MU!AC11+UMKC!AC11+'S&amp;T'!AC11+UMSL!AC11</f>
        <v>171526</v>
      </c>
      <c r="AD11" s="37">
        <f>MU!AD11+UMKC!AD11+'S&amp;T'!AD11+UMSL!AD11</f>
        <v>173536</v>
      </c>
      <c r="AE11" s="37">
        <f>MU!AE11+UMKC!AE11+'S&amp;T'!AE11+UMSL!AE11</f>
        <v>172806.5</v>
      </c>
      <c r="AF11" s="37">
        <f>MU!AF11+UMKC!AF11+'S&amp;T'!AF11+UMSL!AF11</f>
        <v>166394.5</v>
      </c>
      <c r="AG11" s="30"/>
      <c r="AH11" s="37">
        <f>MU!AH11+UMKC!AH11+'S&amp;T'!AH11+UMSL!AH11</f>
        <v>181088</v>
      </c>
      <c r="AI11" s="30"/>
      <c r="AJ11" s="37">
        <f>MU!AJ11+UMKC!AJ11+'S&amp;T'!AJ11+UMSL!AJ11</f>
        <v>183421.5</v>
      </c>
      <c r="AK11" s="30"/>
      <c r="AL11" s="37">
        <f>MU!AL11+UMKC!AL11+'S&amp;T'!AL11+UMSL!AL11</f>
        <v>186204.25</v>
      </c>
      <c r="AM11" s="30"/>
      <c r="AN11" s="37">
        <f>MU!AN11+UMKC!AN11+'S&amp;T'!AN11+UMSL!AN11</f>
        <v>180910</v>
      </c>
      <c r="AO11" s="12"/>
    </row>
    <row r="12" spans="1:41" ht="12.75" customHeight="1">
      <c r="A12" s="9"/>
      <c r="B12" s="20"/>
      <c r="C12" s="20"/>
      <c r="D12" s="22">
        <f aca="true" t="shared" si="0" ref="D12:M12">SUM(D9:D11)</f>
        <v>1329074</v>
      </c>
      <c r="E12" s="22">
        <f t="shared" si="0"/>
        <v>1381276</v>
      </c>
      <c r="F12" s="22">
        <f t="shared" si="0"/>
        <v>1364813</v>
      </c>
      <c r="G12" s="22">
        <f t="shared" si="0"/>
        <v>1316025</v>
      </c>
      <c r="H12" s="22">
        <f t="shared" si="0"/>
        <v>1270908</v>
      </c>
      <c r="I12" s="22">
        <f t="shared" si="0"/>
        <v>1237874</v>
      </c>
      <c r="J12" s="22">
        <f t="shared" si="0"/>
        <v>1228029</v>
      </c>
      <c r="K12" s="22">
        <f t="shared" si="0"/>
        <v>1234004</v>
      </c>
      <c r="L12" s="22">
        <f t="shared" si="0"/>
        <v>1254384</v>
      </c>
      <c r="M12" s="22">
        <f t="shared" si="0"/>
        <v>1274744</v>
      </c>
      <c r="N12" s="27"/>
      <c r="O12" s="22">
        <f aca="true" t="shared" si="1" ref="O12:U12">SUM(O9:O11)</f>
        <v>1244579</v>
      </c>
      <c r="P12" s="22">
        <f t="shared" si="1"/>
        <v>1181869</v>
      </c>
      <c r="Q12" s="22">
        <f t="shared" si="1"/>
        <v>1138733</v>
      </c>
      <c r="R12" s="27">
        <f t="shared" si="1"/>
        <v>1140542</v>
      </c>
      <c r="S12" s="27">
        <f t="shared" si="1"/>
        <v>1161479</v>
      </c>
      <c r="T12" s="27">
        <f t="shared" si="1"/>
        <v>1170083</v>
      </c>
      <c r="U12" s="27">
        <f t="shared" si="1"/>
        <v>1171503.5</v>
      </c>
      <c r="V12" s="27">
        <f aca="true" t="shared" si="2" ref="V12:AA12">SUM(V9:V11)</f>
        <v>1185678.5</v>
      </c>
      <c r="W12" s="27">
        <f t="shared" si="2"/>
        <v>1185304</v>
      </c>
      <c r="X12" s="27">
        <f t="shared" si="2"/>
        <v>1200747</v>
      </c>
      <c r="Y12" s="27">
        <f t="shared" si="2"/>
        <v>1233826</v>
      </c>
      <c r="Z12" s="27">
        <f t="shared" si="2"/>
        <v>1289692.5</v>
      </c>
      <c r="AA12" s="27">
        <f t="shared" si="2"/>
        <v>1302077</v>
      </c>
      <c r="AB12" s="27">
        <f>SUM(AB9:AB11)</f>
        <v>1322221</v>
      </c>
      <c r="AC12" s="27">
        <f>SUM(AC9:AC11)</f>
        <v>1359869</v>
      </c>
      <c r="AD12" s="27">
        <f>SUM(AD9:AD11)</f>
        <v>1370453</v>
      </c>
      <c r="AE12" s="27">
        <f>SUM(AE9:AE11)</f>
        <v>1377755.5</v>
      </c>
      <c r="AF12" s="27">
        <f>SUM(AF9:AF11)</f>
        <v>1372905</v>
      </c>
      <c r="AG12" s="21"/>
      <c r="AH12" s="27">
        <f>SUM(AH9:AH11)</f>
        <v>1447573.5</v>
      </c>
      <c r="AI12" s="21"/>
      <c r="AJ12" s="27">
        <f>SUM(AJ9:AJ11)</f>
        <v>1496514</v>
      </c>
      <c r="AK12" s="21"/>
      <c r="AL12" s="27">
        <f>SUM(AL9:AL11)</f>
        <v>1533281</v>
      </c>
      <c r="AM12" s="21"/>
      <c r="AN12" s="27">
        <f>SUM(AN9:AN11)</f>
        <v>1542761.5</v>
      </c>
      <c r="AO12" s="12"/>
    </row>
    <row r="13" spans="1:41" ht="12.75" customHeight="1">
      <c r="A13" s="9"/>
      <c r="B13" s="20"/>
      <c r="C13" s="2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12"/>
    </row>
    <row r="14" spans="1:41" ht="12.75" customHeight="1">
      <c r="A14" s="9"/>
      <c r="B14" s="68" t="s">
        <v>6</v>
      </c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12"/>
    </row>
    <row r="15" spans="1:41" ht="12.75" customHeight="1">
      <c r="A15" s="9"/>
      <c r="B15" s="20"/>
      <c r="C15" s="20" t="s">
        <v>3</v>
      </c>
      <c r="D15" s="22"/>
      <c r="E15" s="22"/>
      <c r="F15" s="22"/>
      <c r="G15" s="22"/>
      <c r="H15" s="22"/>
      <c r="I15" s="27">
        <f>MU!I15+UMKC!I15+'S&amp;T'!I15+UMSL!I15</f>
        <v>22407</v>
      </c>
      <c r="J15" s="27">
        <f>MU!J15+UMKC!J15+'S&amp;T'!J15+UMSL!J15</f>
        <v>18843</v>
      </c>
      <c r="K15" s="27">
        <f>MU!K15+UMKC!K15+'S&amp;T'!K15+UMSL!K15</f>
        <v>12602</v>
      </c>
      <c r="L15" s="27">
        <f>MU!L15+UMKC!L15+'S&amp;T'!L15+UMSL!L15</f>
        <v>8914</v>
      </c>
      <c r="M15" s="27">
        <f>MU!M15+UMKC!M15+'S&amp;T'!M15+UMSL!M15</f>
        <v>12454</v>
      </c>
      <c r="N15" s="22"/>
      <c r="O15" s="27">
        <f>MU!O15+UMKC!O15+'S&amp;T'!O15+UMSL!O15</f>
        <v>43029</v>
      </c>
      <c r="P15" s="27">
        <f>MU!P15+UMKC!P15+'S&amp;T'!P15+UMSL!P15</f>
        <v>40891</v>
      </c>
      <c r="Q15" s="27">
        <f>MU!Q15+UMKC!Q15+'S&amp;T'!Q15+UMSL!Q15</f>
        <v>41666</v>
      </c>
      <c r="R15" s="27">
        <f>MU!R15+UMKC!R15+'S&amp;T'!R15+UMSL!R15</f>
        <v>43198</v>
      </c>
      <c r="S15" s="27">
        <f>MU!S15+UMKC!S15+'S&amp;T'!S15+UMSL!S15</f>
        <v>42121</v>
      </c>
      <c r="T15" s="27">
        <f>MU!T15+UMKC!T15+'S&amp;T'!T15+UMSL!T15</f>
        <v>42771</v>
      </c>
      <c r="U15" s="27">
        <f>MU!U15+UMKC!U15+'S&amp;T'!U15+UMSL!U15</f>
        <v>44626</v>
      </c>
      <c r="V15" s="27">
        <f>MU!V15+UMKC!V15+'S&amp;T'!V15+UMSL!V15</f>
        <v>49470</v>
      </c>
      <c r="W15" s="27">
        <f>MU!W15+UMKC!W15+'S&amp;T'!W15+UMSL!W15</f>
        <v>52414</v>
      </c>
      <c r="X15" s="27">
        <f>MU!X15+UMKC!X15+'S&amp;T'!X15+UMSL!X15</f>
        <v>53643</v>
      </c>
      <c r="Y15" s="27">
        <f>MU!Y15+UMKC!Y15+'S&amp;T'!Y15+UMSL!Y15</f>
        <v>60786</v>
      </c>
      <c r="Z15" s="27">
        <f>MU!Z15+UMKC!Z15+'S&amp;T'!Z15+UMSL!Z15</f>
        <v>61256</v>
      </c>
      <c r="AA15" s="27">
        <f>MU!AA15+UMKC!AA15+'S&amp;T'!AA15+UMSL!AA15</f>
        <v>63898</v>
      </c>
      <c r="AB15" s="27">
        <f>MU!AB15+UMKC!AB15+'S&amp;T'!AB15+UMSL!AB15</f>
        <v>67498</v>
      </c>
      <c r="AC15" s="27">
        <f>MU!AC15+UMKC!AC15+'S&amp;T'!AC15+UMSL!AC15</f>
        <v>73847</v>
      </c>
      <c r="AD15" s="27">
        <f>MU!AD15+UMKC!AD15+'S&amp;T'!AD15+UMSL!AD15</f>
        <v>76506</v>
      </c>
      <c r="AE15" s="27">
        <f>MU!AE15+UMKC!AE15+'S&amp;T'!AE15+UMSL!AE15</f>
        <v>80767</v>
      </c>
      <c r="AF15" s="27">
        <f>MU!AF15+UMKC!AF15+'S&amp;T'!AF15+UMSL!AF15</f>
        <v>106133</v>
      </c>
      <c r="AG15" s="21"/>
      <c r="AH15" s="27">
        <f>MU!AH15+UMKC!AH15+'S&amp;T'!AH15+UMSL!AH15</f>
        <v>129233</v>
      </c>
      <c r="AI15" s="21"/>
      <c r="AJ15" s="27">
        <f>MU!AJ15+UMKC!AJ15+'S&amp;T'!AJ15+UMSL!AJ15</f>
        <v>143146.5</v>
      </c>
      <c r="AK15" s="21"/>
      <c r="AL15" s="27">
        <f>MU!AL15+UMKC!AL15+'S&amp;T'!AL15+UMSL!AL15</f>
        <v>137656.5</v>
      </c>
      <c r="AM15" s="21"/>
      <c r="AN15" s="27">
        <f>MU!AN15+UMKC!AN15+'S&amp;T'!AN15+UMSL!AN15</f>
        <v>170199.75</v>
      </c>
      <c r="AO15" s="12"/>
    </row>
    <row r="16" spans="1:41" ht="12.75" customHeight="1">
      <c r="A16" s="9"/>
      <c r="B16" s="20"/>
      <c r="C16" s="20" t="s">
        <v>4</v>
      </c>
      <c r="D16" s="22"/>
      <c r="E16" s="22"/>
      <c r="F16" s="22"/>
      <c r="G16" s="22"/>
      <c r="H16" s="22"/>
      <c r="I16" s="27">
        <f>MU!I16+UMKC!I16+'S&amp;T'!I16+UMSL!I16</f>
        <v>579</v>
      </c>
      <c r="J16" s="27">
        <f>MU!J16+UMKC!J16+'S&amp;T'!J16+UMSL!J16</f>
        <v>2476</v>
      </c>
      <c r="K16" s="27">
        <f>MU!K16+UMKC!K16+'S&amp;T'!K16+UMSL!K16</f>
        <v>290</v>
      </c>
      <c r="L16" s="27">
        <f>MU!L16+UMKC!L16+'S&amp;T'!L16+UMSL!L16</f>
        <v>1217</v>
      </c>
      <c r="M16" s="27">
        <f>MU!M16+UMKC!M16+'S&amp;T'!M16+UMSL!M16</f>
        <v>197</v>
      </c>
      <c r="N16" s="22"/>
      <c r="O16" s="27">
        <f>MU!O16+UMKC!O16+'S&amp;T'!O16+UMSL!O16</f>
        <v>98</v>
      </c>
      <c r="P16" s="27">
        <f>MU!P16+UMKC!P16+'S&amp;T'!P16+UMSL!P16</f>
        <v>135</v>
      </c>
      <c r="Q16" s="27">
        <f>MU!Q16+UMKC!Q16+'S&amp;T'!Q16+UMSL!Q16</f>
        <v>58</v>
      </c>
      <c r="R16" s="27">
        <f>MU!R16+UMKC!R16+'S&amp;T'!R16+UMSL!R16</f>
        <v>70</v>
      </c>
      <c r="S16" s="27">
        <f>MU!S16+UMKC!S16+'S&amp;T'!S16+UMSL!S16</f>
        <v>27</v>
      </c>
      <c r="T16" s="27">
        <f>MU!T16+UMKC!T16+'S&amp;T'!T16+UMSL!T16</f>
        <v>100</v>
      </c>
      <c r="U16" s="27">
        <f>MU!U16+UMKC!U16+'S&amp;T'!U16+UMSL!U16</f>
        <v>80</v>
      </c>
      <c r="V16" s="27">
        <f>MU!V16+UMKC!V16+'S&amp;T'!V16+UMSL!V16</f>
        <v>441</v>
      </c>
      <c r="W16" s="27">
        <f>MU!W16+UMKC!W16+'S&amp;T'!W16+UMSL!W16</f>
        <v>780</v>
      </c>
      <c r="X16" s="27">
        <f>MU!X16+UMKC!X16+'S&amp;T'!X16+UMSL!X16</f>
        <v>388.5</v>
      </c>
      <c r="Y16" s="27">
        <f>MU!Y16+UMKC!Y16+'S&amp;T'!Y16+UMSL!Y16</f>
        <v>341</v>
      </c>
      <c r="Z16" s="27">
        <f>MU!Z16+UMKC!Z16+'S&amp;T'!Z16+UMSL!Z16</f>
        <v>440</v>
      </c>
      <c r="AA16" s="27">
        <f>MU!AA16+UMKC!AA16+'S&amp;T'!AA16+UMSL!AA16</f>
        <v>385</v>
      </c>
      <c r="AB16" s="27">
        <f>MU!AB16+UMKC!AB16+'S&amp;T'!AB16+UMSL!AB16</f>
        <v>545</v>
      </c>
      <c r="AC16" s="27">
        <f>MU!AC16+UMKC!AC16+'S&amp;T'!AC16+UMSL!AC16</f>
        <v>600</v>
      </c>
      <c r="AD16" s="27">
        <f>MU!AD16+UMKC!AD16+'S&amp;T'!AD16+UMSL!AD16</f>
        <v>764</v>
      </c>
      <c r="AE16" s="27">
        <f>MU!AE16+UMKC!AE16+'S&amp;T'!AE16+UMSL!AE16</f>
        <v>2037.5</v>
      </c>
      <c r="AF16" s="27">
        <f>MU!AF16+UMKC!AF16+'S&amp;T'!AF16+UMSL!AF16</f>
        <v>4493.5</v>
      </c>
      <c r="AG16" s="21"/>
      <c r="AH16" s="27">
        <f>MU!AH16+UMKC!AH16+'S&amp;T'!AH16+UMSL!AH16</f>
        <v>5683.5</v>
      </c>
      <c r="AI16" s="21"/>
      <c r="AJ16" s="27">
        <f>MU!AJ16+UMKC!AJ16+'S&amp;T'!AJ16+UMSL!AJ16</f>
        <v>5938.5</v>
      </c>
      <c r="AK16" s="21"/>
      <c r="AL16" s="27">
        <f>MU!AL16+UMKC!AL16+'S&amp;T'!AL16+UMSL!AL16</f>
        <v>6677.5</v>
      </c>
      <c r="AM16" s="21"/>
      <c r="AN16" s="27">
        <f>MU!AN16+UMKC!AN16+'S&amp;T'!AN16+UMSL!AN16</f>
        <v>6960.5</v>
      </c>
      <c r="AO16" s="12"/>
    </row>
    <row r="17" spans="1:41" ht="12.75" customHeight="1">
      <c r="A17" s="9"/>
      <c r="B17" s="20"/>
      <c r="C17" s="20" t="s">
        <v>5</v>
      </c>
      <c r="D17" s="25"/>
      <c r="E17" s="25"/>
      <c r="F17" s="25"/>
      <c r="G17" s="25"/>
      <c r="H17" s="25"/>
      <c r="I17" s="37">
        <f>MU!I17+UMKC!I17+'S&amp;T'!I17+UMSL!I17</f>
        <v>11119</v>
      </c>
      <c r="J17" s="37">
        <f>MU!J17+UMKC!J17+'S&amp;T'!J17+UMSL!J17</f>
        <v>11545</v>
      </c>
      <c r="K17" s="37">
        <f>MU!K17+UMKC!K17+'S&amp;T'!K17+UMSL!K17</f>
        <v>16347</v>
      </c>
      <c r="L17" s="37">
        <f>MU!L17+UMKC!L17+'S&amp;T'!L17+UMSL!L17</f>
        <v>16244</v>
      </c>
      <c r="M17" s="37">
        <f>MU!M17+UMKC!M17+'S&amp;T'!M17+UMSL!M17</f>
        <v>15032</v>
      </c>
      <c r="N17" s="25"/>
      <c r="O17" s="37">
        <f>MU!O17+UMKC!O17+'S&amp;T'!O17+UMSL!O17</f>
        <v>22288</v>
      </c>
      <c r="P17" s="37">
        <f>MU!P17+UMKC!P17+'S&amp;T'!P17+UMSL!P17</f>
        <v>19207</v>
      </c>
      <c r="Q17" s="37">
        <f>MU!Q17+UMKC!Q17+'S&amp;T'!Q17+UMSL!Q17</f>
        <v>19991</v>
      </c>
      <c r="R17" s="37">
        <f>MU!R17+UMKC!R17+'S&amp;T'!R17+UMSL!R17</f>
        <v>20553</v>
      </c>
      <c r="S17" s="37">
        <f>MU!S17+UMKC!S17+'S&amp;T'!S17+UMSL!S17</f>
        <v>22022</v>
      </c>
      <c r="T17" s="37">
        <f>MU!T17+UMKC!T17+'S&amp;T'!T17+UMSL!T17</f>
        <v>20333</v>
      </c>
      <c r="U17" s="37">
        <f>MU!U17+UMKC!U17+'S&amp;T'!U17+UMSL!U17</f>
        <v>20051</v>
      </c>
      <c r="V17" s="37">
        <f>MU!V17+UMKC!V17+'S&amp;T'!V17+UMSL!V17</f>
        <v>20042</v>
      </c>
      <c r="W17" s="37">
        <f>MU!W17+UMKC!W17+'S&amp;T'!W17+UMSL!W17</f>
        <v>18818</v>
      </c>
      <c r="X17" s="37">
        <f>MU!X17+UMKC!X17+'S&amp;T'!X17+UMSL!X17</f>
        <v>23928</v>
      </c>
      <c r="Y17" s="37">
        <f>MU!Y17+UMKC!Y17+'S&amp;T'!Y17+UMSL!Y17</f>
        <v>27836</v>
      </c>
      <c r="Z17" s="37">
        <f>MU!Z17+UMKC!Z17+'S&amp;T'!Z17+UMSL!Z17</f>
        <v>26555</v>
      </c>
      <c r="AA17" s="37">
        <f>MU!AA17+UMKC!AA17+'S&amp;T'!AA17+UMSL!AA17</f>
        <v>29315</v>
      </c>
      <c r="AB17" s="37">
        <f>MU!AB17+UMKC!AB17+'S&amp;T'!AB17+UMSL!AB17</f>
        <v>30654</v>
      </c>
      <c r="AC17" s="37">
        <f>MU!AC17+UMKC!AC17+'S&amp;T'!AC17+UMSL!AC17</f>
        <v>31302</v>
      </c>
      <c r="AD17" s="37">
        <f>MU!AD17+UMKC!AD17+'S&amp;T'!AD17+UMSL!AD17</f>
        <v>33406</v>
      </c>
      <c r="AE17" s="37">
        <f>MU!AE17+UMKC!AE17+'S&amp;T'!AE17+UMSL!AE17</f>
        <v>37828.5</v>
      </c>
      <c r="AF17" s="37">
        <f>MU!AF17+UMKC!AF17+'S&amp;T'!AF17+UMSL!AF17</f>
        <v>46373</v>
      </c>
      <c r="AG17" s="30"/>
      <c r="AH17" s="37">
        <f>MU!AH17+UMKC!AH17+'S&amp;T'!AH17+UMSL!AH17</f>
        <v>52042.5</v>
      </c>
      <c r="AI17" s="30"/>
      <c r="AJ17" s="37">
        <f>MU!AJ17+UMKC!AJ17+'S&amp;T'!AJ17+UMSL!AJ17</f>
        <v>54528.5</v>
      </c>
      <c r="AK17" s="30"/>
      <c r="AL17" s="37">
        <f>MU!AL17+UMKC!AL17+'S&amp;T'!AL17+UMSL!AL17</f>
        <v>57357</v>
      </c>
      <c r="AM17" s="30"/>
      <c r="AN17" s="37">
        <f>MU!AN17+UMKC!AN17+'S&amp;T'!AN17+UMSL!AN17</f>
        <v>56875.5</v>
      </c>
      <c r="AO17" s="12"/>
    </row>
    <row r="18" spans="1:41" ht="12.75" customHeight="1">
      <c r="A18" s="9"/>
      <c r="B18" s="20"/>
      <c r="C18" s="20"/>
      <c r="D18" s="22"/>
      <c r="E18" s="22"/>
      <c r="F18" s="22"/>
      <c r="G18" s="22"/>
      <c r="H18" s="22"/>
      <c r="I18" s="22">
        <f>SUM(I15:I17)</f>
        <v>34105</v>
      </c>
      <c r="J18" s="22">
        <f>SUM(J15:J17)</f>
        <v>32864</v>
      </c>
      <c r="K18" s="22">
        <f>SUM(K15:K17)</f>
        <v>29239</v>
      </c>
      <c r="L18" s="22">
        <f>SUM(L15:L17)</f>
        <v>26375</v>
      </c>
      <c r="M18" s="22">
        <f>SUM(M15:M17)</f>
        <v>27683</v>
      </c>
      <c r="N18" s="22"/>
      <c r="O18" s="22">
        <f aca="true" t="shared" si="3" ref="O18:U18">SUM(O15:O17)</f>
        <v>65415</v>
      </c>
      <c r="P18" s="22">
        <f t="shared" si="3"/>
        <v>60233</v>
      </c>
      <c r="Q18" s="22">
        <f t="shared" si="3"/>
        <v>61715</v>
      </c>
      <c r="R18" s="27">
        <f t="shared" si="3"/>
        <v>63821</v>
      </c>
      <c r="S18" s="27">
        <f t="shared" si="3"/>
        <v>64170</v>
      </c>
      <c r="T18" s="27">
        <f t="shared" si="3"/>
        <v>63204</v>
      </c>
      <c r="U18" s="27">
        <f t="shared" si="3"/>
        <v>64757</v>
      </c>
      <c r="V18" s="27">
        <f aca="true" t="shared" si="4" ref="V18:AA18">SUM(V15:V17)</f>
        <v>69953</v>
      </c>
      <c r="W18" s="27">
        <f t="shared" si="4"/>
        <v>72012</v>
      </c>
      <c r="X18" s="27">
        <f t="shared" si="4"/>
        <v>77959.5</v>
      </c>
      <c r="Y18" s="27">
        <f t="shared" si="4"/>
        <v>88963</v>
      </c>
      <c r="Z18" s="27">
        <f t="shared" si="4"/>
        <v>88251</v>
      </c>
      <c r="AA18" s="27">
        <f t="shared" si="4"/>
        <v>93598</v>
      </c>
      <c r="AB18" s="27">
        <f>SUM(AB15:AB17)</f>
        <v>98697</v>
      </c>
      <c r="AC18" s="27">
        <f>SUM(AC15:AC17)</f>
        <v>105749</v>
      </c>
      <c r="AD18" s="27">
        <f>SUM(AD15:AD17)</f>
        <v>110676</v>
      </c>
      <c r="AE18" s="27">
        <f>SUM(AE15:AE17)</f>
        <v>120633</v>
      </c>
      <c r="AF18" s="27">
        <f>SUM(AF15:AF17)</f>
        <v>156999.5</v>
      </c>
      <c r="AG18" s="21"/>
      <c r="AH18" s="27">
        <f>SUM(AH15:AH17)</f>
        <v>186959</v>
      </c>
      <c r="AI18" s="21"/>
      <c r="AJ18" s="27">
        <f>SUM(AJ15:AJ17)</f>
        <v>203613.5</v>
      </c>
      <c r="AK18" s="21"/>
      <c r="AL18" s="27">
        <f>SUM(AL15:AL17)</f>
        <v>201691</v>
      </c>
      <c r="AM18" s="21"/>
      <c r="AN18" s="27">
        <f>SUM(AN15:AN17)</f>
        <v>234035.75</v>
      </c>
      <c r="AO18" s="12"/>
    </row>
    <row r="19" spans="1:41" ht="12.75" customHeight="1">
      <c r="A19" s="9"/>
      <c r="B19" s="20"/>
      <c r="C19" s="2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0"/>
      <c r="P19" s="20"/>
      <c r="Q19" s="20"/>
      <c r="R19" s="20"/>
      <c r="S19" s="31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12"/>
    </row>
    <row r="20" spans="1:41" ht="12.75" customHeight="1">
      <c r="A20" s="13"/>
      <c r="B20" s="68" t="s">
        <v>37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2"/>
    </row>
    <row r="21" spans="1:41" ht="12.75" customHeight="1">
      <c r="A21" s="9"/>
      <c r="B21" s="20"/>
      <c r="C21" s="20" t="s">
        <v>3</v>
      </c>
      <c r="D21" s="27">
        <f>MU!D21+UMKC!D21+'S&amp;T'!D21+UMSL!D21</f>
        <v>1063386</v>
      </c>
      <c r="E21" s="27">
        <f>MU!E21+UMKC!E21+'S&amp;T'!E21+UMSL!E21</f>
        <v>1112660</v>
      </c>
      <c r="F21" s="27">
        <f>MU!F21+UMKC!F21+'S&amp;T'!F21+UMSL!F21</f>
        <v>1099411</v>
      </c>
      <c r="G21" s="27">
        <f>MU!G21+UMKC!G21+'S&amp;T'!G21+UMSL!G21</f>
        <v>1052586</v>
      </c>
      <c r="H21" s="27">
        <f>MU!H21+UMKC!H21+'S&amp;T'!H21+UMSL!H21</f>
        <v>1010598</v>
      </c>
      <c r="I21" s="27">
        <f>MU!I21+UMKC!I21+'S&amp;T'!I21+UMSL!I21</f>
        <v>1000285</v>
      </c>
      <c r="J21" s="27">
        <f>MU!J21+UMKC!J21+'S&amp;T'!J21+UMSL!J21</f>
        <v>983295</v>
      </c>
      <c r="K21" s="27">
        <f>MU!K21+UMKC!K21+'S&amp;T'!K21+UMSL!K21</f>
        <v>976831</v>
      </c>
      <c r="L21" s="27">
        <f>MU!L21+UMKC!L21+'S&amp;T'!L21+UMSL!L21</f>
        <v>992042</v>
      </c>
      <c r="M21" s="27">
        <f>MU!M21+UMKC!M21+'S&amp;T'!M21+UMSL!M21</f>
        <v>1012435</v>
      </c>
      <c r="N21" s="27"/>
      <c r="O21" s="27">
        <f>MU!O21+UMKC!O21+'S&amp;T'!O21+UMSL!O21</f>
        <v>1014078</v>
      </c>
      <c r="P21" s="27">
        <f>MU!P21+UMKC!P21+'S&amp;T'!P21+UMSL!P21</f>
        <v>954801</v>
      </c>
      <c r="Q21" s="27">
        <f>MU!Q21+UMKC!Q21+'S&amp;T'!Q21+UMSL!Q21</f>
        <v>917515</v>
      </c>
      <c r="R21" s="27">
        <f>MU!R21+UMKC!R21+'S&amp;T'!R21+UMSL!R21</f>
        <v>922417</v>
      </c>
      <c r="S21" s="27">
        <f>MU!S21+UMKC!S21+'S&amp;T'!S21+UMSL!S21</f>
        <v>940964</v>
      </c>
      <c r="T21" s="27">
        <f>MU!T21+UMKC!T21+'S&amp;T'!T21+UMSL!T21</f>
        <v>957873</v>
      </c>
      <c r="U21" s="27">
        <f>MU!U21+UMKC!U21+'S&amp;T'!U21+UMSL!U21</f>
        <v>965725</v>
      </c>
      <c r="V21" s="27">
        <f>MU!V21+UMKC!V21+'S&amp;T'!V21+UMSL!V21</f>
        <v>983548.5</v>
      </c>
      <c r="W21" s="27">
        <f>MU!W21+UMKC!W21+'S&amp;T'!W21+UMSL!W21</f>
        <v>983982</v>
      </c>
      <c r="X21" s="27">
        <f>MU!X21+UMKC!X21+'S&amp;T'!X21+UMSL!X21</f>
        <v>989914.5</v>
      </c>
      <c r="Y21" s="27">
        <f>MU!Y21+UMKC!Y21+'S&amp;T'!Y21+UMSL!Y21</f>
        <v>1026077.5</v>
      </c>
      <c r="Z21" s="27">
        <f>MU!Z21+UMKC!Z21+'S&amp;T'!Z21+UMSL!Z21</f>
        <v>1062726.5</v>
      </c>
      <c r="AA21" s="27">
        <f>MU!AA21+UMKC!AA21+'S&amp;T'!AA21+UMSL!AA21</f>
        <v>1092450</v>
      </c>
      <c r="AB21" s="27">
        <f>MU!AB21+UMKC!AB21+'S&amp;T'!AB21+UMSL!AB21</f>
        <v>1117948</v>
      </c>
      <c r="AC21" s="27">
        <f>MU!AC21+UMKC!AC21+'S&amp;T'!AC21+UMSL!AC21</f>
        <v>1153574</v>
      </c>
      <c r="AD21" s="27">
        <f>MU!AD21+UMKC!AD21+'S&amp;T'!AD21+UMSL!AD21</f>
        <v>1166209</v>
      </c>
      <c r="AE21" s="27">
        <f>MU!AE21+UMKC!AE21+'S&amp;T'!AE21+UMSL!AE21</f>
        <v>1177595</v>
      </c>
      <c r="AF21" s="27">
        <f>MU!AF21+UMKC!AF21+'S&amp;T'!AF21+UMSL!AF21</f>
        <v>1204407.5</v>
      </c>
      <c r="AG21" s="21"/>
      <c r="AH21" s="27">
        <f>MU!AH21+UMKC!AH21+'S&amp;T'!AH21+UMSL!AH21</f>
        <v>1282550.5</v>
      </c>
      <c r="AI21" s="21"/>
      <c r="AJ21" s="27">
        <f>MU!AJ21+UMKC!AJ21+'S&amp;T'!AJ21+UMSL!AJ21</f>
        <v>1337475</v>
      </c>
      <c r="AK21" s="21"/>
      <c r="AL21" s="27">
        <f>MU!AL21+UMKC!AL21+'S&amp;T'!AL21+UMSL!AL21</f>
        <v>1366576.25</v>
      </c>
      <c r="AM21" s="21"/>
      <c r="AN21" s="27">
        <f>MU!AN21+UMKC!AN21+'S&amp;T'!AN21+UMSL!AN21</f>
        <v>1409571.75</v>
      </c>
      <c r="AO21" s="12"/>
    </row>
    <row r="22" spans="1:41" ht="12.75" customHeight="1">
      <c r="A22" s="9"/>
      <c r="B22" s="20"/>
      <c r="C22" s="20" t="s">
        <v>4</v>
      </c>
      <c r="D22" s="27">
        <f>MU!D22+UMKC!D22+'S&amp;T'!D22+UMSL!D22</f>
        <v>99774</v>
      </c>
      <c r="E22" s="27">
        <f>MU!E22+UMKC!E22+'S&amp;T'!E22+UMSL!E22</f>
        <v>104332</v>
      </c>
      <c r="F22" s="27">
        <f>MU!F22+UMKC!F22+'S&amp;T'!F22+UMSL!F22</f>
        <v>109339</v>
      </c>
      <c r="G22" s="27">
        <f>MU!G22+UMKC!G22+'S&amp;T'!G22+UMSL!G22</f>
        <v>107880</v>
      </c>
      <c r="H22" s="27">
        <f>MU!H22+UMKC!H22+'S&amp;T'!H22+UMSL!H22</f>
        <v>105923</v>
      </c>
      <c r="I22" s="27">
        <f>MU!I22+UMKC!I22+'S&amp;T'!I22+UMSL!I22</f>
        <v>106108</v>
      </c>
      <c r="J22" s="27">
        <f>MU!J22+UMKC!J22+'S&amp;T'!J22+UMSL!J22</f>
        <v>104735</v>
      </c>
      <c r="K22" s="27">
        <f>MU!K22+UMKC!K22+'S&amp;T'!K22+UMSL!K22</f>
        <v>104459</v>
      </c>
      <c r="L22" s="27">
        <f>MU!L22+UMKC!L22+'S&amp;T'!L22+UMSL!L22</f>
        <v>103914</v>
      </c>
      <c r="M22" s="27">
        <f>MU!M22+UMKC!M22+'S&amp;T'!M22+UMSL!M22</f>
        <v>102116</v>
      </c>
      <c r="N22" s="27"/>
      <c r="O22" s="27">
        <f>MU!O22+UMKC!O22+'S&amp;T'!O22+UMSL!O22</f>
        <v>99527</v>
      </c>
      <c r="P22" s="27">
        <f>MU!P22+UMKC!P22+'S&amp;T'!P22+UMSL!P22</f>
        <v>100015</v>
      </c>
      <c r="Q22" s="27">
        <f>MU!Q22+UMKC!Q22+'S&amp;T'!Q22+UMSL!Q22</f>
        <v>98615</v>
      </c>
      <c r="R22" s="27">
        <f>MU!R22+UMKC!R22+'S&amp;T'!R22+UMSL!R22</f>
        <v>98947</v>
      </c>
      <c r="S22" s="27">
        <f>MU!S22+UMKC!S22+'S&amp;T'!S22+UMSL!S22</f>
        <v>97533</v>
      </c>
      <c r="T22" s="27">
        <f>MU!T22+UMKC!T22+'S&amp;T'!T22+UMSL!T22</f>
        <v>99026</v>
      </c>
      <c r="U22" s="27">
        <f>MU!U22+UMKC!U22+'S&amp;T'!U22+UMSL!U22</f>
        <v>100287</v>
      </c>
      <c r="V22" s="27">
        <f>MU!V22+UMKC!V22+'S&amp;T'!V22+UMSL!V22</f>
        <v>104411.5</v>
      </c>
      <c r="W22" s="27">
        <f>MU!W22+UMKC!W22+'S&amp;T'!W22+UMSL!W22</f>
        <v>104446</v>
      </c>
      <c r="X22" s="27">
        <f>MU!X22+UMKC!X22+'S&amp;T'!X22+UMSL!X22</f>
        <v>105968.5</v>
      </c>
      <c r="Y22" s="27">
        <f>MU!Y22+UMKC!Y22+'S&amp;T'!Y22+UMSL!Y22</f>
        <v>104287</v>
      </c>
      <c r="Z22" s="27">
        <f>MU!Z22+UMKC!Z22+'S&amp;T'!Z22+UMSL!Z22</f>
        <v>114132</v>
      </c>
      <c r="AA22" s="27">
        <f>MU!AA22+UMKC!AA22+'S&amp;T'!AA22+UMSL!AA22</f>
        <v>103755</v>
      </c>
      <c r="AB22" s="27">
        <f>MU!AB22+UMKC!AB22+'S&amp;T'!AB22+UMSL!AB22</f>
        <v>106022</v>
      </c>
      <c r="AC22" s="27">
        <f>MU!AC22+UMKC!AC22+'S&amp;T'!AC22+UMSL!AC22</f>
        <v>109216</v>
      </c>
      <c r="AD22" s="27">
        <f>MU!AD22+UMKC!AD22+'S&amp;T'!AD22+UMSL!AD22</f>
        <v>107978</v>
      </c>
      <c r="AE22" s="27">
        <f>MU!AE22+UMKC!AE22+'S&amp;T'!AE22+UMSL!AE22</f>
        <v>110158.5</v>
      </c>
      <c r="AF22" s="27">
        <f>MU!AF22+UMKC!AF22+'S&amp;T'!AF22+UMSL!AF22</f>
        <v>112729.5</v>
      </c>
      <c r="AG22" s="21"/>
      <c r="AH22" s="27">
        <f>MU!AH22+UMKC!AH22+'S&amp;T'!AH22+UMSL!AH22</f>
        <v>118851.5</v>
      </c>
      <c r="AI22" s="21"/>
      <c r="AJ22" s="27">
        <f>MU!AJ22+UMKC!AJ22+'S&amp;T'!AJ22+UMSL!AJ22</f>
        <v>124702.5</v>
      </c>
      <c r="AK22" s="21"/>
      <c r="AL22" s="27">
        <f>MU!AL22+UMKC!AL22+'S&amp;T'!AL22+UMSL!AL22</f>
        <v>124834.5</v>
      </c>
      <c r="AM22" s="21"/>
      <c r="AN22" s="27">
        <f>MU!AN22+UMKC!AN22+'S&amp;T'!AN22+UMSL!AN22</f>
        <v>129440</v>
      </c>
      <c r="AO22" s="12"/>
    </row>
    <row r="23" spans="1:41" ht="12.75" customHeight="1">
      <c r="A23" s="9"/>
      <c r="B23" s="20"/>
      <c r="C23" s="20" t="s">
        <v>5</v>
      </c>
      <c r="D23" s="37">
        <f>MU!D23+UMKC!D23+'S&amp;T'!D23+UMSL!D23</f>
        <v>165914</v>
      </c>
      <c r="E23" s="37">
        <f>MU!E23+UMKC!E23+'S&amp;T'!E23+UMSL!E23</f>
        <v>164284</v>
      </c>
      <c r="F23" s="37">
        <f>MU!F23+UMKC!F23+'S&amp;T'!F23+UMSL!F23</f>
        <v>156063</v>
      </c>
      <c r="G23" s="37">
        <f>MU!G23+UMKC!G23+'S&amp;T'!G23+UMSL!G23</f>
        <v>155559</v>
      </c>
      <c r="H23" s="37">
        <f>MU!H23+UMKC!H23+'S&amp;T'!H23+UMSL!H23</f>
        <v>154387</v>
      </c>
      <c r="I23" s="37">
        <f>MU!I23+UMKC!I23+'S&amp;T'!I23+UMSL!I23</f>
        <v>165586</v>
      </c>
      <c r="J23" s="37">
        <f>MU!J23+UMKC!J23+'S&amp;T'!J23+UMSL!J23</f>
        <v>172863</v>
      </c>
      <c r="K23" s="37">
        <f>MU!K23+UMKC!K23+'S&amp;T'!K23+UMSL!K23</f>
        <v>181953</v>
      </c>
      <c r="L23" s="37">
        <f>MU!L23+UMKC!L23+'S&amp;T'!L23+UMSL!L23</f>
        <v>184803</v>
      </c>
      <c r="M23" s="37">
        <f>MU!M23+UMKC!M23+'S&amp;T'!M23+UMSL!M23</f>
        <v>187876</v>
      </c>
      <c r="N23" s="37"/>
      <c r="O23" s="37">
        <f>MU!O23+UMKC!O23+'S&amp;T'!O23+UMSL!O23</f>
        <v>196389</v>
      </c>
      <c r="P23" s="37">
        <f>MU!P23+UMKC!P23+'S&amp;T'!P23+UMSL!P23</f>
        <v>187286</v>
      </c>
      <c r="Q23" s="37">
        <f>MU!Q23+UMKC!Q23+'S&amp;T'!Q23+UMSL!Q23</f>
        <v>184318</v>
      </c>
      <c r="R23" s="37">
        <f>MU!R23+UMKC!R23+'S&amp;T'!R23+UMSL!R23</f>
        <v>182999</v>
      </c>
      <c r="S23" s="37">
        <f>MU!S23+UMKC!S23+'S&amp;T'!S23+UMSL!S23</f>
        <v>187152</v>
      </c>
      <c r="T23" s="37">
        <f>MU!T23+UMKC!T23+'S&amp;T'!T23+UMSL!T23</f>
        <v>176388</v>
      </c>
      <c r="U23" s="37">
        <f>MU!U23+UMKC!U23+'S&amp;T'!U23+UMSL!U23</f>
        <v>170248.5</v>
      </c>
      <c r="V23" s="37">
        <f>MU!V23+UMKC!V23+'S&amp;T'!V23+UMSL!V23</f>
        <v>167671.5</v>
      </c>
      <c r="W23" s="37">
        <f>MU!W23+UMKC!W23+'S&amp;T'!W23+UMSL!W23</f>
        <v>168888</v>
      </c>
      <c r="X23" s="37">
        <f>MU!X23+UMKC!X23+'S&amp;T'!X23+UMSL!X23</f>
        <v>182823.5</v>
      </c>
      <c r="Y23" s="37">
        <f>MU!Y23+UMKC!Y23+'S&amp;T'!Y23+UMSL!Y23</f>
        <v>192424.5</v>
      </c>
      <c r="Z23" s="37">
        <f>MU!Z23+UMKC!Z23+'S&amp;T'!Z23+UMSL!Z23</f>
        <v>201085</v>
      </c>
      <c r="AA23" s="37">
        <f>MU!AA23+UMKC!AA23+'S&amp;T'!AA23+UMSL!AA23</f>
        <v>199470</v>
      </c>
      <c r="AB23" s="37">
        <f>MU!AB23+UMKC!AB23+'S&amp;T'!AB23+UMSL!AB23</f>
        <v>196948</v>
      </c>
      <c r="AC23" s="37">
        <f>MU!AC23+UMKC!AC23+'S&amp;T'!AC23+UMSL!AC23</f>
        <v>202828</v>
      </c>
      <c r="AD23" s="37">
        <f>MU!AD23+UMKC!AD23+'S&amp;T'!AD23+UMSL!AD23</f>
        <v>206942</v>
      </c>
      <c r="AE23" s="37">
        <f>MU!AE23+UMKC!AE23+'S&amp;T'!AE23+UMSL!AE23</f>
        <v>210635</v>
      </c>
      <c r="AF23" s="37">
        <f>MU!AF23+UMKC!AF23+'S&amp;T'!AF23+UMSL!AF23</f>
        <v>212767.5</v>
      </c>
      <c r="AG23" s="30"/>
      <c r="AH23" s="37">
        <f>MU!AH23+UMKC!AH23+'S&amp;T'!AH23+UMSL!AH23</f>
        <v>233130.5</v>
      </c>
      <c r="AI23" s="30"/>
      <c r="AJ23" s="37">
        <f>MU!AJ23+UMKC!AJ23+'S&amp;T'!AJ23+UMSL!AJ23</f>
        <v>237950</v>
      </c>
      <c r="AK23" s="30"/>
      <c r="AL23" s="37">
        <f>MU!AL23+UMKC!AL23+'S&amp;T'!AL23+UMSL!AL23</f>
        <v>243561.25</v>
      </c>
      <c r="AM23" s="30"/>
      <c r="AN23" s="37">
        <f>MU!AN23+UMKC!AN23+'S&amp;T'!AN23+UMSL!AN23</f>
        <v>237785.5</v>
      </c>
      <c r="AO23" s="12"/>
    </row>
    <row r="24" spans="1:41" ht="12.75" customHeight="1">
      <c r="A24" s="9"/>
      <c r="B24" s="20"/>
      <c r="C24" s="20"/>
      <c r="D24" s="22">
        <f aca="true" t="shared" si="5" ref="D24:M24">SUM(D21:D23)</f>
        <v>1329074</v>
      </c>
      <c r="E24" s="22">
        <f t="shared" si="5"/>
        <v>1381276</v>
      </c>
      <c r="F24" s="22">
        <f t="shared" si="5"/>
        <v>1364813</v>
      </c>
      <c r="G24" s="22">
        <f t="shared" si="5"/>
        <v>1316025</v>
      </c>
      <c r="H24" s="22">
        <f t="shared" si="5"/>
        <v>1270908</v>
      </c>
      <c r="I24" s="22">
        <f t="shared" si="5"/>
        <v>1271979</v>
      </c>
      <c r="J24" s="22">
        <f t="shared" si="5"/>
        <v>1260893</v>
      </c>
      <c r="K24" s="22">
        <f t="shared" si="5"/>
        <v>1263243</v>
      </c>
      <c r="L24" s="22">
        <f t="shared" si="5"/>
        <v>1280759</v>
      </c>
      <c r="M24" s="22">
        <f t="shared" si="5"/>
        <v>1302427</v>
      </c>
      <c r="N24" s="27"/>
      <c r="O24" s="22">
        <f aca="true" t="shared" si="6" ref="O24:X24">SUM(O21:O23)</f>
        <v>1309994</v>
      </c>
      <c r="P24" s="22">
        <f t="shared" si="6"/>
        <v>1242102</v>
      </c>
      <c r="Q24" s="22">
        <f t="shared" si="6"/>
        <v>1200448</v>
      </c>
      <c r="R24" s="27">
        <f t="shared" si="6"/>
        <v>1204363</v>
      </c>
      <c r="S24" s="27">
        <f t="shared" si="6"/>
        <v>1225649</v>
      </c>
      <c r="T24" s="27">
        <f t="shared" si="6"/>
        <v>1233287</v>
      </c>
      <c r="U24" s="27">
        <f t="shared" si="6"/>
        <v>1236260.5</v>
      </c>
      <c r="V24" s="27">
        <f t="shared" si="6"/>
        <v>1255631.5</v>
      </c>
      <c r="W24" s="27">
        <f t="shared" si="6"/>
        <v>1257316</v>
      </c>
      <c r="X24" s="27">
        <f t="shared" si="6"/>
        <v>1278706.5</v>
      </c>
      <c r="Y24" s="27">
        <f aca="true" t="shared" si="7" ref="Y24:AD24">SUM(Y21:Y23)</f>
        <v>1322789</v>
      </c>
      <c r="Z24" s="27">
        <f t="shared" si="7"/>
        <v>1377943.5</v>
      </c>
      <c r="AA24" s="27">
        <f t="shared" si="7"/>
        <v>1395675</v>
      </c>
      <c r="AB24" s="27">
        <f t="shared" si="7"/>
        <v>1420918</v>
      </c>
      <c r="AC24" s="27">
        <f t="shared" si="7"/>
        <v>1465618</v>
      </c>
      <c r="AD24" s="27">
        <f t="shared" si="7"/>
        <v>1481129</v>
      </c>
      <c r="AE24" s="27">
        <f>SUM(AE21:AE23)</f>
        <v>1498388.5</v>
      </c>
      <c r="AF24" s="27">
        <f>SUM(AF21:AF23)</f>
        <v>1529904.5</v>
      </c>
      <c r="AG24" s="21"/>
      <c r="AH24" s="27">
        <f>SUM(AH21:AH23)</f>
        <v>1634532.5</v>
      </c>
      <c r="AI24" s="21"/>
      <c r="AJ24" s="27">
        <f>SUM(AJ21:AJ23)</f>
        <v>1700127.5</v>
      </c>
      <c r="AK24" s="21"/>
      <c r="AL24" s="27">
        <f>SUM(AL21:AL23)</f>
        <v>1734972</v>
      </c>
      <c r="AM24" s="21"/>
      <c r="AN24" s="27">
        <f>SUM(AN21:AN23)</f>
        <v>1776797.25</v>
      </c>
      <c r="AO24" s="12"/>
    </row>
    <row r="25" spans="1:41" ht="12.75" customHeight="1">
      <c r="A25" s="9"/>
      <c r="B25" s="59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12"/>
    </row>
    <row r="26" spans="1:41" ht="12.75" customHeight="1">
      <c r="A26" s="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2"/>
    </row>
    <row r="27" spans="1:41" ht="12.75" customHeight="1">
      <c r="A27" s="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2"/>
    </row>
    <row r="28" spans="1:41" s="8" customFormat="1" ht="12.75" customHeight="1">
      <c r="A28" s="40"/>
      <c r="B28" s="59" t="s">
        <v>38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45"/>
      <c r="AG28" s="11"/>
      <c r="AH28" s="45"/>
      <c r="AI28" s="11"/>
      <c r="AJ28" s="45"/>
      <c r="AK28" s="11"/>
      <c r="AL28" s="45"/>
      <c r="AM28" s="11"/>
      <c r="AN28" s="45" t="s">
        <v>48</v>
      </c>
      <c r="AO28" s="41"/>
    </row>
  </sheetData>
  <sheetProtection/>
  <mergeCells count="1">
    <mergeCell ref="A2:AO2"/>
  </mergeCells>
  <printOptions/>
  <pageMargins left="0.7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Electric Bootie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Farr</dc:creator>
  <cp:keywords/>
  <dc:description/>
  <cp:lastModifiedBy>sader</cp:lastModifiedBy>
  <cp:lastPrinted>2012-12-21T20:57:31Z</cp:lastPrinted>
  <dcterms:created xsi:type="dcterms:W3CDTF">1998-01-08T20:37:14Z</dcterms:created>
  <dcterms:modified xsi:type="dcterms:W3CDTF">2013-09-19T15:10:45Z</dcterms:modified>
  <cp:category/>
  <cp:version/>
  <cp:contentType/>
  <cp:contentStatus/>
</cp:coreProperties>
</file>