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bookViews>
    <workbookView xWindow="480" yWindow="90" windowWidth="18195" windowHeight="11565"/>
  </bookViews>
  <sheets>
    <sheet name="UM System" sheetId="5" r:id="rId1"/>
    <sheet name="MU" sheetId="1" r:id="rId2"/>
    <sheet name="UMKC" sheetId="2" r:id="rId3"/>
    <sheet name="S&amp;T" sheetId="3" r:id="rId4"/>
    <sheet name="UMSL" sheetId="4" r:id="rId5"/>
  </sheets>
  <calcPr calcId="152511"/>
</workbook>
</file>

<file path=xl/calcChain.xml><?xml version="1.0" encoding="utf-8"?>
<calcChain xmlns="http://schemas.openxmlformats.org/spreadsheetml/2006/main">
  <c r="AP18" i="5" l="1"/>
  <c r="AP17" i="5"/>
  <c r="AP16" i="5"/>
  <c r="AP12" i="5"/>
  <c r="AP11" i="5"/>
  <c r="AP10" i="5"/>
  <c r="AP24" i="4"/>
  <c r="AP23" i="4"/>
  <c r="AP22" i="4"/>
  <c r="AP19" i="4"/>
  <c r="AP13" i="4"/>
  <c r="AP21" i="3"/>
  <c r="AP20" i="3"/>
  <c r="AP17" i="3"/>
  <c r="AP12" i="3"/>
  <c r="AP24" i="2"/>
  <c r="AP23" i="2"/>
  <c r="AP22" i="2"/>
  <c r="AP19" i="2"/>
  <c r="AP13" i="2"/>
  <c r="AP24" i="1"/>
  <c r="AP23" i="1"/>
  <c r="AP22" i="1"/>
  <c r="AP19" i="1"/>
  <c r="AP13" i="1"/>
  <c r="AP13" i="5" l="1"/>
  <c r="AP22" i="5"/>
  <c r="AP23" i="5"/>
  <c r="AP19" i="5"/>
  <c r="AP24" i="5"/>
  <c r="AP25" i="4"/>
  <c r="AP22" i="3"/>
  <c r="AP25" i="2"/>
  <c r="AP25" i="1"/>
  <c r="AO18" i="5"/>
  <c r="AO17" i="5"/>
  <c r="AO16" i="5"/>
  <c r="AO12" i="5"/>
  <c r="AO11" i="5"/>
  <c r="AO10" i="5"/>
  <c r="AO24" i="4"/>
  <c r="AO23" i="4"/>
  <c r="AO22" i="4"/>
  <c r="AO19" i="4"/>
  <c r="AO13" i="4"/>
  <c r="AO21" i="3"/>
  <c r="AO20" i="3"/>
  <c r="AO22" i="3" s="1"/>
  <c r="AO17" i="3"/>
  <c r="AO12" i="3"/>
  <c r="AP25" i="5" l="1"/>
  <c r="AO24" i="5"/>
  <c r="AO22" i="5"/>
  <c r="AO23" i="5"/>
  <c r="AO19" i="5"/>
  <c r="AO13" i="5"/>
  <c r="AO25" i="4"/>
  <c r="AO24" i="2"/>
  <c r="AO23" i="2"/>
  <c r="AO22" i="2"/>
  <c r="AO19" i="2"/>
  <c r="AO13" i="2"/>
  <c r="AO24" i="1"/>
  <c r="AO23" i="1"/>
  <c r="AO22" i="1"/>
  <c r="AO19" i="1"/>
  <c r="AO13" i="1"/>
  <c r="AO25" i="5" l="1"/>
  <c r="AO25" i="2"/>
  <c r="AO25" i="1"/>
  <c r="AN18" i="5"/>
  <c r="AN17" i="5"/>
  <c r="AN16" i="5"/>
  <c r="AN12" i="5"/>
  <c r="AN11" i="5"/>
  <c r="AN10" i="5"/>
  <c r="AN24" i="4"/>
  <c r="AN23" i="4"/>
  <c r="AN22" i="4"/>
  <c r="AN19" i="4"/>
  <c r="AN13" i="4"/>
  <c r="AN21" i="3"/>
  <c r="AN20" i="3"/>
  <c r="AN17" i="3"/>
  <c r="AN12" i="3"/>
  <c r="AN24" i="2"/>
  <c r="AN23" i="2"/>
  <c r="AN22" i="2"/>
  <c r="AN19" i="2"/>
  <c r="AN13" i="2"/>
  <c r="AN24" i="1"/>
  <c r="AN23" i="1"/>
  <c r="AN22" i="1"/>
  <c r="AN19" i="1"/>
  <c r="AN13" i="1"/>
  <c r="AN13" i="5" l="1"/>
  <c r="AN23" i="5"/>
  <c r="AN24" i="5"/>
  <c r="AN19" i="5"/>
  <c r="AN22" i="5"/>
  <c r="AN25" i="4"/>
  <c r="AN22" i="3"/>
  <c r="AN25" i="2"/>
  <c r="AN25" i="1"/>
  <c r="AM18" i="5"/>
  <c r="AM17" i="5"/>
  <c r="AM16" i="5"/>
  <c r="AM12" i="5"/>
  <c r="AM11" i="5"/>
  <c r="AM10" i="5"/>
  <c r="AM24" i="4"/>
  <c r="AM23" i="4"/>
  <c r="AM22" i="4"/>
  <c r="AM19" i="4"/>
  <c r="AM13" i="4"/>
  <c r="AM21" i="3"/>
  <c r="AM20" i="3"/>
  <c r="AM17" i="3"/>
  <c r="AM12" i="3"/>
  <c r="AM24" i="2"/>
  <c r="AM23" i="2"/>
  <c r="AM22" i="2"/>
  <c r="AM19" i="2"/>
  <c r="AM13" i="2"/>
  <c r="AM24" i="1"/>
  <c r="AM23" i="1"/>
  <c r="AM22" i="1"/>
  <c r="AM19" i="1"/>
  <c r="AM13" i="1"/>
  <c r="AN25" i="5" l="1"/>
  <c r="AM23" i="5"/>
  <c r="AM24" i="5"/>
  <c r="AM19" i="5"/>
  <c r="AM22" i="3"/>
  <c r="AM13" i="5"/>
  <c r="AM22" i="5"/>
  <c r="AM25" i="4"/>
  <c r="AM25" i="1"/>
  <c r="AM25" i="2"/>
  <c r="AL18" i="5"/>
  <c r="AL17" i="5"/>
  <c r="AL16" i="5"/>
  <c r="AL12" i="5"/>
  <c r="AL11" i="5"/>
  <c r="AL10" i="5"/>
  <c r="AL24" i="4"/>
  <c r="AL23" i="4"/>
  <c r="AL22" i="4"/>
  <c r="AL19" i="4"/>
  <c r="AL13" i="4"/>
  <c r="AL21" i="3"/>
  <c r="AL20" i="3"/>
  <c r="AL17" i="3"/>
  <c r="AL12" i="3"/>
  <c r="AL24" i="2"/>
  <c r="AL23" i="2"/>
  <c r="AL22" i="2"/>
  <c r="AL19" i="2"/>
  <c r="AL13" i="2"/>
  <c r="AL24" i="1"/>
  <c r="AL23" i="1"/>
  <c r="AL22" i="1"/>
  <c r="AL19" i="1"/>
  <c r="AL13" i="1"/>
  <c r="AM25" i="5" l="1"/>
  <c r="AL13" i="5"/>
  <c r="AL23" i="5"/>
  <c r="AL19" i="5"/>
  <c r="AL24" i="5"/>
  <c r="AL22" i="5"/>
  <c r="AL25" i="4"/>
  <c r="AL22" i="3"/>
  <c r="AL25" i="2"/>
  <c r="AL25" i="1"/>
  <c r="U18" i="5"/>
  <c r="T18" i="5"/>
  <c r="S18" i="5"/>
  <c r="R18" i="5"/>
  <c r="Q18" i="5"/>
  <c r="P18" i="5"/>
  <c r="O18" i="5"/>
  <c r="U17" i="5"/>
  <c r="T17" i="5"/>
  <c r="S17" i="5"/>
  <c r="R17" i="5"/>
  <c r="Q17" i="5"/>
  <c r="P17" i="5"/>
  <c r="O17" i="5"/>
  <c r="U16" i="5"/>
  <c r="T16" i="5"/>
  <c r="S16" i="5"/>
  <c r="R16" i="5"/>
  <c r="Q16" i="5"/>
  <c r="P16" i="5"/>
  <c r="O16" i="5"/>
  <c r="U12" i="5"/>
  <c r="T12" i="5"/>
  <c r="S12" i="5"/>
  <c r="R12" i="5"/>
  <c r="Q12" i="5"/>
  <c r="P12" i="5"/>
  <c r="O12" i="5"/>
  <c r="U11" i="5"/>
  <c r="T11" i="5"/>
  <c r="S11" i="5"/>
  <c r="R11" i="5"/>
  <c r="Q11" i="5"/>
  <c r="P11" i="5"/>
  <c r="O11" i="5"/>
  <c r="U10" i="5"/>
  <c r="T10" i="5"/>
  <c r="S10" i="5"/>
  <c r="R10" i="5"/>
  <c r="Q10" i="5"/>
  <c r="P10" i="5"/>
  <c r="O10" i="5"/>
  <c r="AD18" i="5"/>
  <c r="AC18" i="5"/>
  <c r="AB18" i="5"/>
  <c r="AA18" i="5"/>
  <c r="Z18" i="5"/>
  <c r="Y18" i="5"/>
  <c r="X18" i="5"/>
  <c r="W18" i="5"/>
  <c r="V18" i="5"/>
  <c r="AE17" i="5"/>
  <c r="AD17" i="5"/>
  <c r="AC17" i="5"/>
  <c r="AB17" i="5"/>
  <c r="AA17" i="5"/>
  <c r="Z17" i="5"/>
  <c r="Y17" i="5"/>
  <c r="X17" i="5"/>
  <c r="W17" i="5"/>
  <c r="V17" i="5"/>
  <c r="AD16" i="5"/>
  <c r="AC16" i="5"/>
  <c r="AB16" i="5"/>
  <c r="AA16" i="5"/>
  <c r="Z16" i="5"/>
  <c r="Y16" i="5"/>
  <c r="X16" i="5"/>
  <c r="W16" i="5"/>
  <c r="V16" i="5"/>
  <c r="AD12" i="5"/>
  <c r="AC12" i="5"/>
  <c r="AC24" i="5" s="1"/>
  <c r="AB12" i="5"/>
  <c r="AB24" i="5" s="1"/>
  <c r="AA12" i="5"/>
  <c r="AA24" i="5" s="1"/>
  <c r="Z12" i="5"/>
  <c r="Z24" i="5" s="1"/>
  <c r="Y12" i="5"/>
  <c r="Y24" i="5" s="1"/>
  <c r="X12" i="5"/>
  <c r="X24" i="5" s="1"/>
  <c r="W12" i="5"/>
  <c r="W24" i="5" s="1"/>
  <c r="V12" i="5"/>
  <c r="V24" i="5" s="1"/>
  <c r="AD11" i="5"/>
  <c r="AC11" i="5"/>
  <c r="AB11" i="5"/>
  <c r="AA11" i="5"/>
  <c r="X11" i="5"/>
  <c r="V11" i="5"/>
  <c r="AD10" i="5"/>
  <c r="AD22" i="5" s="1"/>
  <c r="AC10" i="5"/>
  <c r="AC22" i="5" s="1"/>
  <c r="AB10" i="5"/>
  <c r="AA10" i="5"/>
  <c r="Z10" i="5"/>
  <c r="Z22" i="5" s="1"/>
  <c r="Y10" i="5"/>
  <c r="Y22" i="5" s="1"/>
  <c r="X10" i="5"/>
  <c r="W10" i="5"/>
  <c r="W22" i="5" s="1"/>
  <c r="V10" i="5"/>
  <c r="V22" i="5" s="1"/>
  <c r="AJ18" i="5"/>
  <c r="AI18" i="5"/>
  <c r="AH18" i="5"/>
  <c r="AG18" i="5"/>
  <c r="AF18" i="5"/>
  <c r="AK18" i="5"/>
  <c r="AJ17" i="5"/>
  <c r="AI17" i="5"/>
  <c r="AH17" i="5"/>
  <c r="AG17" i="5"/>
  <c r="AF17" i="5"/>
  <c r="AK17" i="5"/>
  <c r="AJ16" i="5"/>
  <c r="AI16" i="5"/>
  <c r="AH16" i="5"/>
  <c r="AG16" i="5"/>
  <c r="AF16" i="5"/>
  <c r="AK16" i="5"/>
  <c r="AJ12" i="5"/>
  <c r="AI12" i="5"/>
  <c r="AH12" i="5"/>
  <c r="AG12" i="5"/>
  <c r="AF12" i="5"/>
  <c r="AK12" i="5"/>
  <c r="AJ11" i="5"/>
  <c r="AI11" i="5"/>
  <c r="AH11" i="5"/>
  <c r="AG11" i="5"/>
  <c r="AF11" i="5"/>
  <c r="AK11" i="5"/>
  <c r="AJ10" i="5"/>
  <c r="AI10" i="5"/>
  <c r="AH10" i="5"/>
  <c r="AG10" i="5"/>
  <c r="AF10" i="5"/>
  <c r="AK10" i="5"/>
  <c r="AK24" i="4"/>
  <c r="AK23" i="4"/>
  <c r="AK22" i="4"/>
  <c r="AK19" i="4"/>
  <c r="AK13" i="4"/>
  <c r="AJ24" i="4"/>
  <c r="AI24" i="4"/>
  <c r="AH24" i="4"/>
  <c r="AG24" i="4"/>
  <c r="AF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AJ23" i="4"/>
  <c r="AI23" i="4"/>
  <c r="AH23" i="4"/>
  <c r="AG23" i="4"/>
  <c r="AF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AJ22" i="4"/>
  <c r="AJ25" i="4" s="1"/>
  <c r="AI22" i="4"/>
  <c r="AH22" i="4"/>
  <c r="AH25" i="4" s="1"/>
  <c r="AG22" i="4"/>
  <c r="AF22" i="4"/>
  <c r="AF25" i="4" s="1"/>
  <c r="AD22" i="4"/>
  <c r="AD25" i="4" s="1"/>
  <c r="AC22" i="4"/>
  <c r="AB22" i="4"/>
  <c r="AB25" i="4" s="1"/>
  <c r="AA22" i="4"/>
  <c r="Z22" i="4"/>
  <c r="Z25" i="4" s="1"/>
  <c r="Y22" i="4"/>
  <c r="X22" i="4"/>
  <c r="X25" i="4" s="1"/>
  <c r="W22" i="4"/>
  <c r="V22" i="4"/>
  <c r="V25" i="4" s="1"/>
  <c r="U22" i="4"/>
  <c r="T22" i="4"/>
  <c r="T25" i="4" s="1"/>
  <c r="S22" i="4"/>
  <c r="R22" i="4"/>
  <c r="R25" i="4" s="1"/>
  <c r="Q22" i="4"/>
  <c r="P22" i="4"/>
  <c r="P25" i="4" s="1"/>
  <c r="O22" i="4"/>
  <c r="N22" i="4"/>
  <c r="N25" i="4" s="1"/>
  <c r="AJ19" i="4"/>
  <c r="AI19" i="4"/>
  <c r="AH19" i="4"/>
  <c r="AG19" i="4"/>
  <c r="AF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AE18" i="4"/>
  <c r="AE16" i="4"/>
  <c r="AJ13" i="4"/>
  <c r="AI13" i="4"/>
  <c r="AH13" i="4"/>
  <c r="AG13" i="4"/>
  <c r="AF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AE12" i="4"/>
  <c r="AE24" i="4" s="1"/>
  <c r="M12" i="4"/>
  <c r="L12" i="4"/>
  <c r="L18" i="4" s="1"/>
  <c r="L24" i="4" s="1"/>
  <c r="K12" i="4"/>
  <c r="J12" i="4"/>
  <c r="J18" i="4" s="1"/>
  <c r="I12" i="4"/>
  <c r="H12" i="4"/>
  <c r="H24" i="4" s="1"/>
  <c r="G12" i="4"/>
  <c r="G24" i="4" s="1"/>
  <c r="F12" i="4"/>
  <c r="F24" i="4" s="1"/>
  <c r="E12" i="4"/>
  <c r="E24" i="4" s="1"/>
  <c r="D12" i="4"/>
  <c r="D24" i="4" s="1"/>
  <c r="AE11" i="4"/>
  <c r="AE23" i="4" s="1"/>
  <c r="M11" i="4"/>
  <c r="M23" i="4" s="1"/>
  <c r="L11" i="4"/>
  <c r="K11" i="4"/>
  <c r="K23" i="4" s="1"/>
  <c r="J11" i="4"/>
  <c r="J23" i="4" s="1"/>
  <c r="I11" i="4"/>
  <c r="I17" i="4" s="1"/>
  <c r="I23" i="4" s="1"/>
  <c r="H11" i="4"/>
  <c r="H23" i="4" s="1"/>
  <c r="G11" i="4"/>
  <c r="G23" i="4" s="1"/>
  <c r="F11" i="4"/>
  <c r="F23" i="4" s="1"/>
  <c r="E11" i="4"/>
  <c r="E23" i="4" s="1"/>
  <c r="D11" i="4"/>
  <c r="D23" i="4" s="1"/>
  <c r="AE10" i="4"/>
  <c r="AE22" i="4" s="1"/>
  <c r="AE25" i="4" s="1"/>
  <c r="M10" i="4"/>
  <c r="L10" i="4"/>
  <c r="L16" i="4" s="1"/>
  <c r="K10" i="4"/>
  <c r="J10" i="4"/>
  <c r="J22" i="4" s="1"/>
  <c r="I10" i="4"/>
  <c r="H10" i="4"/>
  <c r="H22" i="4" s="1"/>
  <c r="G10" i="4"/>
  <c r="G22" i="4" s="1"/>
  <c r="F10" i="4"/>
  <c r="F22" i="4" s="1"/>
  <c r="E10" i="4"/>
  <c r="E22" i="4" s="1"/>
  <c r="D10" i="4"/>
  <c r="D22" i="4" s="1"/>
  <c r="AK21" i="3"/>
  <c r="AK20" i="3"/>
  <c r="AK22" i="3" s="1"/>
  <c r="AK17" i="3"/>
  <c r="AK12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M11" i="3"/>
  <c r="L11" i="3"/>
  <c r="L16" i="3" s="1"/>
  <c r="K11" i="3"/>
  <c r="J11" i="3"/>
  <c r="J21" i="3" s="1"/>
  <c r="I11" i="3"/>
  <c r="I21" i="3" s="1"/>
  <c r="H11" i="3"/>
  <c r="H21" i="3" s="1"/>
  <c r="G11" i="3"/>
  <c r="G21" i="3" s="1"/>
  <c r="F11" i="3"/>
  <c r="F21" i="3" s="1"/>
  <c r="E11" i="3"/>
  <c r="E21" i="3" s="1"/>
  <c r="D11" i="3"/>
  <c r="D21" i="3" s="1"/>
  <c r="M10" i="3"/>
  <c r="L10" i="3"/>
  <c r="K10" i="3"/>
  <c r="J10" i="3"/>
  <c r="I10" i="3"/>
  <c r="H10" i="3"/>
  <c r="G10" i="3"/>
  <c r="G20" i="3" s="1"/>
  <c r="F10" i="3"/>
  <c r="E10" i="3"/>
  <c r="E20" i="3" s="1"/>
  <c r="D10" i="3"/>
  <c r="AA22" i="5" l="1"/>
  <c r="AG24" i="5"/>
  <c r="AK22" i="5"/>
  <c r="AF13" i="5"/>
  <c r="AJ13" i="5"/>
  <c r="AF24" i="5"/>
  <c r="AJ24" i="5"/>
  <c r="AH19" i="5"/>
  <c r="AH24" i="5"/>
  <c r="AJ22" i="5"/>
  <c r="AH22" i="5"/>
  <c r="AK13" i="5"/>
  <c r="AI22" i="5"/>
  <c r="AG23" i="5"/>
  <c r="AK24" i="5"/>
  <c r="AI24" i="5"/>
  <c r="AI23" i="5"/>
  <c r="AG22" i="5"/>
  <c r="AG25" i="5" s="1"/>
  <c r="AK23" i="5"/>
  <c r="AK25" i="5" s="1"/>
  <c r="AK19" i="5"/>
  <c r="AL25" i="5"/>
  <c r="V19" i="5"/>
  <c r="AA13" i="5"/>
  <c r="AD19" i="5"/>
  <c r="P13" i="5"/>
  <c r="AH13" i="5"/>
  <c r="AF22" i="5"/>
  <c r="X13" i="5"/>
  <c r="AB13" i="5"/>
  <c r="X23" i="5"/>
  <c r="AB23" i="5"/>
  <c r="Z19" i="5"/>
  <c r="O22" i="5"/>
  <c r="Q22" i="5"/>
  <c r="S22" i="5"/>
  <c r="U22" i="5"/>
  <c r="P23" i="5"/>
  <c r="R23" i="5"/>
  <c r="T23" i="5"/>
  <c r="O24" i="5"/>
  <c r="Q24" i="5"/>
  <c r="S24" i="5"/>
  <c r="U24" i="5"/>
  <c r="P19" i="5"/>
  <c r="R19" i="5"/>
  <c r="T19" i="5"/>
  <c r="T13" i="5"/>
  <c r="AC13" i="5"/>
  <c r="AA23" i="5"/>
  <c r="AA25" i="5" s="1"/>
  <c r="AC23" i="5"/>
  <c r="AC25" i="5" s="1"/>
  <c r="V23" i="5"/>
  <c r="V25" i="5" s="1"/>
  <c r="X19" i="5"/>
  <c r="AB19" i="5"/>
  <c r="AD23" i="5"/>
  <c r="AD13" i="5"/>
  <c r="X22" i="5"/>
  <c r="AB22" i="5"/>
  <c r="AE19" i="4"/>
  <c r="R13" i="5"/>
  <c r="V13" i="5"/>
  <c r="AG13" i="5"/>
  <c r="AI13" i="5"/>
  <c r="AD24" i="5"/>
  <c r="P22" i="5"/>
  <c r="R22" i="5"/>
  <c r="T22" i="5"/>
  <c r="P24" i="5"/>
  <c r="R24" i="5"/>
  <c r="T24" i="5"/>
  <c r="AF23" i="5"/>
  <c r="AH23" i="5"/>
  <c r="AJ23" i="5"/>
  <c r="O13" i="5"/>
  <c r="Q13" i="5"/>
  <c r="S13" i="5"/>
  <c r="U13" i="5"/>
  <c r="O23" i="5"/>
  <c r="Q23" i="5"/>
  <c r="S23" i="5"/>
  <c r="U23" i="5"/>
  <c r="AF19" i="5"/>
  <c r="AJ19" i="5"/>
  <c r="O19" i="5"/>
  <c r="Q19" i="5"/>
  <c r="S19" i="5"/>
  <c r="U19" i="5"/>
  <c r="W19" i="5"/>
  <c r="Y19" i="5"/>
  <c r="AA19" i="5"/>
  <c r="AC19" i="5"/>
  <c r="AG19" i="5"/>
  <c r="AI19" i="5"/>
  <c r="AK25" i="4"/>
  <c r="O25" i="4"/>
  <c r="Q25" i="4"/>
  <c r="S25" i="4"/>
  <c r="U25" i="4"/>
  <c r="W25" i="4"/>
  <c r="Y25" i="4"/>
  <c r="AA25" i="4"/>
  <c r="AC25" i="4"/>
  <c r="E25" i="4"/>
  <c r="G25" i="4"/>
  <c r="AG25" i="4"/>
  <c r="AI25" i="4"/>
  <c r="L22" i="4"/>
  <c r="J19" i="4"/>
  <c r="J24" i="4"/>
  <c r="F25" i="4"/>
  <c r="J25" i="4"/>
  <c r="D25" i="4"/>
  <c r="H25" i="4"/>
  <c r="D13" i="4"/>
  <c r="F13" i="4"/>
  <c r="H13" i="4"/>
  <c r="J13" i="4"/>
  <c r="L13" i="4"/>
  <c r="K16" i="4"/>
  <c r="K22" i="4" s="1"/>
  <c r="M16" i="4"/>
  <c r="I18" i="4"/>
  <c r="I24" i="4" s="1"/>
  <c r="K18" i="4"/>
  <c r="K24" i="4" s="1"/>
  <c r="M18" i="4"/>
  <c r="M24" i="4" s="1"/>
  <c r="E13" i="4"/>
  <c r="G13" i="4"/>
  <c r="I13" i="4"/>
  <c r="K13" i="4"/>
  <c r="M13" i="4"/>
  <c r="AE13" i="4"/>
  <c r="I16" i="4"/>
  <c r="L17" i="4"/>
  <c r="L19" i="4" s="1"/>
  <c r="D12" i="3"/>
  <c r="F12" i="3"/>
  <c r="H12" i="3"/>
  <c r="J12" i="3"/>
  <c r="L12" i="3"/>
  <c r="P22" i="3"/>
  <c r="R22" i="3"/>
  <c r="T22" i="3"/>
  <c r="V22" i="3"/>
  <c r="X22" i="3"/>
  <c r="Z22" i="3"/>
  <c r="AB22" i="3"/>
  <c r="AD22" i="3"/>
  <c r="AF22" i="3"/>
  <c r="AH22" i="3"/>
  <c r="AJ22" i="3"/>
  <c r="E22" i="3"/>
  <c r="O22" i="3"/>
  <c r="Q22" i="3"/>
  <c r="S22" i="3"/>
  <c r="U22" i="3"/>
  <c r="W22" i="3"/>
  <c r="Y22" i="3"/>
  <c r="AA22" i="3"/>
  <c r="AC22" i="3"/>
  <c r="AE22" i="3"/>
  <c r="AG22" i="3"/>
  <c r="AI22" i="3"/>
  <c r="G22" i="3"/>
  <c r="E12" i="3"/>
  <c r="G12" i="3"/>
  <c r="I12" i="3"/>
  <c r="K12" i="3"/>
  <c r="M12" i="3"/>
  <c r="J15" i="3"/>
  <c r="J17" i="3" s="1"/>
  <c r="L15" i="3"/>
  <c r="L17" i="3" s="1"/>
  <c r="K16" i="3"/>
  <c r="K21" i="3" s="1"/>
  <c r="M16" i="3"/>
  <c r="M21" i="3" s="1"/>
  <c r="D20" i="3"/>
  <c r="D22" i="3" s="1"/>
  <c r="F20" i="3"/>
  <c r="F22" i="3" s="1"/>
  <c r="H20" i="3"/>
  <c r="H22" i="3" s="1"/>
  <c r="L20" i="3"/>
  <c r="L21" i="3"/>
  <c r="I15" i="3"/>
  <c r="I17" i="3" s="1"/>
  <c r="K15" i="3"/>
  <c r="M15" i="3"/>
  <c r="M17" i="3" s="1"/>
  <c r="AK24" i="2"/>
  <c r="AK23" i="2"/>
  <c r="AK22" i="2"/>
  <c r="AK19" i="2"/>
  <c r="AK13" i="2"/>
  <c r="D10" i="2"/>
  <c r="E10" i="2"/>
  <c r="E22" i="2" s="1"/>
  <c r="F10" i="2"/>
  <c r="G10" i="2"/>
  <c r="G22" i="2" s="1"/>
  <c r="H10" i="2"/>
  <c r="I10" i="2"/>
  <c r="I22" i="2" s="1"/>
  <c r="J10" i="2"/>
  <c r="K10" i="2"/>
  <c r="K16" i="2" s="1"/>
  <c r="L10" i="2"/>
  <c r="M10" i="2"/>
  <c r="M16" i="2" s="1"/>
  <c r="D11" i="2"/>
  <c r="E11" i="2"/>
  <c r="E23" i="2" s="1"/>
  <c r="F11" i="2"/>
  <c r="G11" i="2"/>
  <c r="G23" i="2" s="1"/>
  <c r="H11" i="2"/>
  <c r="I11" i="2"/>
  <c r="I23" i="2" s="1"/>
  <c r="J11" i="2"/>
  <c r="K11" i="2"/>
  <c r="K17" i="2" s="1"/>
  <c r="K17" i="5" s="1"/>
  <c r="L11" i="2"/>
  <c r="M11" i="2"/>
  <c r="M17" i="2" s="1"/>
  <c r="M17" i="5" s="1"/>
  <c r="D12" i="2"/>
  <c r="E12" i="2"/>
  <c r="E24" i="2" s="1"/>
  <c r="F12" i="2"/>
  <c r="G12" i="2"/>
  <c r="G24" i="2" s="1"/>
  <c r="H12" i="2"/>
  <c r="I12" i="2"/>
  <c r="I24" i="2" s="1"/>
  <c r="J12" i="2"/>
  <c r="K12" i="2"/>
  <c r="K24" i="2" s="1"/>
  <c r="L12" i="2"/>
  <c r="M12" i="2"/>
  <c r="M24" i="2" s="1"/>
  <c r="D13" i="2"/>
  <c r="E13" i="2"/>
  <c r="F13" i="2"/>
  <c r="G13" i="2"/>
  <c r="H13" i="2"/>
  <c r="I13" i="2"/>
  <c r="J13" i="2"/>
  <c r="K13" i="2"/>
  <c r="L13" i="2"/>
  <c r="M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I16" i="2"/>
  <c r="L16" i="2"/>
  <c r="L22" i="2" s="1"/>
  <c r="J17" i="2"/>
  <c r="J17" i="5" s="1"/>
  <c r="L17" i="2"/>
  <c r="I18" i="2"/>
  <c r="J18" i="2"/>
  <c r="K18" i="2"/>
  <c r="L18" i="2"/>
  <c r="M18" i="2"/>
  <c r="L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D22" i="2"/>
  <c r="D25" i="2" s="1"/>
  <c r="F22" i="2"/>
  <c r="H22" i="2"/>
  <c r="H25" i="2" s="1"/>
  <c r="J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D23" i="2"/>
  <c r="F23" i="2"/>
  <c r="H23" i="2"/>
  <c r="L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D24" i="2"/>
  <c r="F24" i="2"/>
  <c r="H24" i="2"/>
  <c r="J24" i="2"/>
  <c r="L24" i="2"/>
  <c r="O24" i="2"/>
  <c r="O25" i="2" s="1"/>
  <c r="P24" i="2"/>
  <c r="Q24" i="2"/>
  <c r="R24" i="2"/>
  <c r="S24" i="2"/>
  <c r="S25" i="2" s="1"/>
  <c r="T24" i="2"/>
  <c r="U24" i="2"/>
  <c r="V24" i="2"/>
  <c r="W24" i="2"/>
  <c r="W25" i="2" s="1"/>
  <c r="X24" i="2"/>
  <c r="Y24" i="2"/>
  <c r="Z24" i="2"/>
  <c r="AA24" i="2"/>
  <c r="AA25" i="2" s="1"/>
  <c r="AB24" i="2"/>
  <c r="AC24" i="2"/>
  <c r="AD24" i="2"/>
  <c r="AE24" i="2"/>
  <c r="AE25" i="2" s="1"/>
  <c r="AF24" i="2"/>
  <c r="AG24" i="2"/>
  <c r="AH24" i="2"/>
  <c r="AI24" i="2"/>
  <c r="AI25" i="2" s="1"/>
  <c r="F25" i="2"/>
  <c r="Q25" i="2"/>
  <c r="U25" i="2"/>
  <c r="Y25" i="2"/>
  <c r="AC25" i="2"/>
  <c r="AG25" i="2"/>
  <c r="AI25" i="5" l="1"/>
  <c r="AJ25" i="5"/>
  <c r="AH25" i="5"/>
  <c r="AF25" i="5"/>
  <c r="U25" i="5"/>
  <c r="Q25" i="5"/>
  <c r="X25" i="5"/>
  <c r="AB25" i="5"/>
  <c r="S25" i="5"/>
  <c r="O25" i="5"/>
  <c r="R25" i="5"/>
  <c r="AD25" i="5"/>
  <c r="J23" i="2"/>
  <c r="J25" i="2" s="1"/>
  <c r="J19" i="2"/>
  <c r="T25" i="5"/>
  <c r="P25" i="5"/>
  <c r="I19" i="4"/>
  <c r="M19" i="4"/>
  <c r="L23" i="4"/>
  <c r="K25" i="4"/>
  <c r="L25" i="4"/>
  <c r="K19" i="4"/>
  <c r="M22" i="4"/>
  <c r="M25" i="4" s="1"/>
  <c r="I22" i="4"/>
  <c r="I25" i="4" s="1"/>
  <c r="L22" i="3"/>
  <c r="M20" i="3"/>
  <c r="M22" i="3" s="1"/>
  <c r="I20" i="3"/>
  <c r="I22" i="3" s="1"/>
  <c r="K17" i="3"/>
  <c r="J20" i="3"/>
  <c r="J22" i="3" s="1"/>
  <c r="K20" i="3"/>
  <c r="K22" i="3" s="1"/>
  <c r="AK25" i="2"/>
  <c r="I25" i="2"/>
  <c r="G25" i="2"/>
  <c r="E25" i="2"/>
  <c r="L25" i="2"/>
  <c r="AH25" i="2"/>
  <c r="AF25" i="2"/>
  <c r="AD25" i="2"/>
  <c r="AB25" i="2"/>
  <c r="Z25" i="2"/>
  <c r="X25" i="2"/>
  <c r="V25" i="2"/>
  <c r="T25" i="2"/>
  <c r="R25" i="2"/>
  <c r="P25" i="2"/>
  <c r="I19" i="2"/>
  <c r="M19" i="2"/>
  <c r="M22" i="2"/>
  <c r="K19" i="2"/>
  <c r="K22" i="2"/>
  <c r="M23" i="2"/>
  <c r="K23" i="2"/>
  <c r="M25" i="2" l="1"/>
  <c r="K25" i="2"/>
  <c r="AJ24" i="2" l="1"/>
  <c r="AJ23" i="2"/>
  <c r="AJ22" i="2"/>
  <c r="AJ19" i="2"/>
  <c r="AJ13" i="2"/>
  <c r="AJ25" i="2" l="1"/>
  <c r="AK24" i="1"/>
  <c r="AK23" i="1"/>
  <c r="AK22" i="1"/>
  <c r="AK19" i="1"/>
  <c r="AK13" i="1"/>
  <c r="AJ24" i="1"/>
  <c r="AI24" i="1"/>
  <c r="AH24" i="1"/>
  <c r="AG24" i="1"/>
  <c r="AF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AJ23" i="1"/>
  <c r="AI23" i="1"/>
  <c r="AH23" i="1"/>
  <c r="AG23" i="1"/>
  <c r="AF23" i="1"/>
  <c r="AD23" i="1"/>
  <c r="AC23" i="1"/>
  <c r="AB23" i="1"/>
  <c r="AA23" i="1"/>
  <c r="X23" i="1"/>
  <c r="V23" i="1"/>
  <c r="U23" i="1"/>
  <c r="T23" i="1"/>
  <c r="S23" i="1"/>
  <c r="R23" i="1"/>
  <c r="Q23" i="1"/>
  <c r="P23" i="1"/>
  <c r="O23" i="1"/>
  <c r="AJ22" i="1"/>
  <c r="AJ25" i="1" s="1"/>
  <c r="AI22" i="1"/>
  <c r="AH22" i="1"/>
  <c r="AH25" i="1" s="1"/>
  <c r="AG22" i="1"/>
  <c r="AF22" i="1"/>
  <c r="AF25" i="1" s="1"/>
  <c r="AD22" i="1"/>
  <c r="AC22" i="1"/>
  <c r="AC25" i="1" s="1"/>
  <c r="AB22" i="1"/>
  <c r="AA22" i="1"/>
  <c r="AA25" i="1" s="1"/>
  <c r="Z22" i="1"/>
  <c r="Y22" i="1"/>
  <c r="X22" i="1"/>
  <c r="W22" i="1"/>
  <c r="V22" i="1"/>
  <c r="U22" i="1"/>
  <c r="U25" i="1" s="1"/>
  <c r="T22" i="1"/>
  <c r="S22" i="1"/>
  <c r="S25" i="1" s="1"/>
  <c r="R22" i="1"/>
  <c r="Q22" i="1"/>
  <c r="Q25" i="1" s="1"/>
  <c r="P22" i="1"/>
  <c r="O22" i="1"/>
  <c r="O25" i="1" s="1"/>
  <c r="AJ19" i="1"/>
  <c r="AI19" i="1"/>
  <c r="AH19" i="1"/>
  <c r="AG19" i="1"/>
  <c r="AF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AE18" i="1"/>
  <c r="AE18" i="5" s="1"/>
  <c r="AE16" i="1"/>
  <c r="AJ13" i="1"/>
  <c r="AI13" i="1"/>
  <c r="AH13" i="1"/>
  <c r="AG13" i="1"/>
  <c r="AF13" i="1"/>
  <c r="AD13" i="1"/>
  <c r="AC13" i="1"/>
  <c r="AB13" i="1"/>
  <c r="AA13" i="1"/>
  <c r="X13" i="1"/>
  <c r="V13" i="1"/>
  <c r="U13" i="1"/>
  <c r="T13" i="1"/>
  <c r="S13" i="1"/>
  <c r="R13" i="1"/>
  <c r="Q13" i="1"/>
  <c r="P13" i="1"/>
  <c r="O13" i="1"/>
  <c r="AE12" i="1"/>
  <c r="M12" i="1"/>
  <c r="M12" i="5" s="1"/>
  <c r="L12" i="1"/>
  <c r="L12" i="5" s="1"/>
  <c r="K12" i="1"/>
  <c r="K12" i="5" s="1"/>
  <c r="J12" i="1"/>
  <c r="J12" i="5" s="1"/>
  <c r="I12" i="1"/>
  <c r="I12" i="5" s="1"/>
  <c r="H12" i="1"/>
  <c r="G12" i="1"/>
  <c r="F12" i="1"/>
  <c r="E12" i="1"/>
  <c r="D12" i="1"/>
  <c r="AE11" i="1"/>
  <c r="Z11" i="1"/>
  <c r="Y11" i="1"/>
  <c r="W11" i="1"/>
  <c r="M11" i="1"/>
  <c r="L11" i="1"/>
  <c r="L11" i="5" s="1"/>
  <c r="K11" i="1"/>
  <c r="J11" i="1"/>
  <c r="I11" i="1"/>
  <c r="I11" i="5" s="1"/>
  <c r="H11" i="1"/>
  <c r="G11" i="1"/>
  <c r="F11" i="1"/>
  <c r="E11" i="1"/>
  <c r="D11" i="1"/>
  <c r="AE10" i="1"/>
  <c r="M10" i="1"/>
  <c r="M10" i="5" s="1"/>
  <c r="L10" i="1"/>
  <c r="K10" i="1"/>
  <c r="K10" i="5" s="1"/>
  <c r="J10" i="1"/>
  <c r="I10" i="1"/>
  <c r="I10" i="5" s="1"/>
  <c r="H10" i="1"/>
  <c r="G10" i="1"/>
  <c r="F10" i="1"/>
  <c r="E10" i="1"/>
  <c r="D10" i="1"/>
  <c r="E22" i="1" l="1"/>
  <c r="E10" i="5"/>
  <c r="G22" i="1"/>
  <c r="G10" i="5"/>
  <c r="I13" i="5"/>
  <c r="D23" i="1"/>
  <c r="D11" i="5"/>
  <c r="D23" i="5" s="1"/>
  <c r="F23" i="1"/>
  <c r="F11" i="5"/>
  <c r="F23" i="5" s="1"/>
  <c r="H23" i="1"/>
  <c r="H11" i="5"/>
  <c r="H23" i="5" s="1"/>
  <c r="J23" i="1"/>
  <c r="J11" i="5"/>
  <c r="J23" i="5" s="1"/>
  <c r="W13" i="1"/>
  <c r="W11" i="5"/>
  <c r="Z23" i="1"/>
  <c r="Z11" i="5"/>
  <c r="D24" i="1"/>
  <c r="D12" i="5"/>
  <c r="D24" i="5" s="1"/>
  <c r="F24" i="1"/>
  <c r="F12" i="5"/>
  <c r="F24" i="5" s="1"/>
  <c r="H24" i="1"/>
  <c r="H12" i="5"/>
  <c r="H24" i="5" s="1"/>
  <c r="AE24" i="1"/>
  <c r="AE12" i="5"/>
  <c r="AE24" i="5" s="1"/>
  <c r="D13" i="1"/>
  <c r="D10" i="5"/>
  <c r="F13" i="1"/>
  <c r="F10" i="5"/>
  <c r="H13" i="1"/>
  <c r="H10" i="5"/>
  <c r="J13" i="1"/>
  <c r="J10" i="5"/>
  <c r="L13" i="1"/>
  <c r="L10" i="5"/>
  <c r="AE13" i="1"/>
  <c r="AE10" i="5"/>
  <c r="E23" i="1"/>
  <c r="E11" i="5"/>
  <c r="E23" i="5" s="1"/>
  <c r="G23" i="1"/>
  <c r="G11" i="5"/>
  <c r="G23" i="5" s="1"/>
  <c r="K23" i="1"/>
  <c r="K11" i="5"/>
  <c r="K23" i="5" s="1"/>
  <c r="M23" i="1"/>
  <c r="M11" i="5"/>
  <c r="M23" i="5" s="1"/>
  <c r="Y13" i="1"/>
  <c r="Y11" i="5"/>
  <c r="AE23" i="1"/>
  <c r="AE11" i="5"/>
  <c r="AE23" i="5" s="1"/>
  <c r="E24" i="1"/>
  <c r="E12" i="5"/>
  <c r="E24" i="5" s="1"/>
  <c r="G24" i="1"/>
  <c r="G12" i="5"/>
  <c r="G24" i="5" s="1"/>
  <c r="AE19" i="1"/>
  <c r="AE16" i="5"/>
  <c r="AE19" i="5" s="1"/>
  <c r="P25" i="1"/>
  <c r="R25" i="1"/>
  <c r="T25" i="1"/>
  <c r="V25" i="1"/>
  <c r="X25" i="1"/>
  <c r="AB25" i="1"/>
  <c r="AD25" i="1"/>
  <c r="AG25" i="1"/>
  <c r="AI25" i="1"/>
  <c r="AK25" i="1"/>
  <c r="Z25" i="1"/>
  <c r="E13" i="1"/>
  <c r="G13" i="1"/>
  <c r="I13" i="1"/>
  <c r="K13" i="1"/>
  <c r="M13" i="1"/>
  <c r="Z13" i="1"/>
  <c r="J16" i="1"/>
  <c r="J16" i="5" s="1"/>
  <c r="L16" i="1"/>
  <c r="L17" i="1"/>
  <c r="J18" i="1"/>
  <c r="L18" i="1"/>
  <c r="D22" i="1"/>
  <c r="D25" i="1" s="1"/>
  <c r="F22" i="1"/>
  <c r="H22" i="1"/>
  <c r="H25" i="1" s="1"/>
  <c r="J22" i="1"/>
  <c r="L22" i="1"/>
  <c r="AE22" i="1"/>
  <c r="W23" i="1"/>
  <c r="W25" i="1" s="1"/>
  <c r="Y23" i="1"/>
  <c r="Y25" i="1" s="1"/>
  <c r="I16" i="1"/>
  <c r="I16" i="5" s="1"/>
  <c r="K16" i="1"/>
  <c r="K16" i="5" s="1"/>
  <c r="M16" i="1"/>
  <c r="M16" i="5" s="1"/>
  <c r="I17" i="1"/>
  <c r="I18" i="1"/>
  <c r="K18" i="1"/>
  <c r="M18" i="1"/>
  <c r="M24" i="1" l="1"/>
  <c r="M18" i="5"/>
  <c r="M24" i="5" s="1"/>
  <c r="I24" i="1"/>
  <c r="I18" i="5"/>
  <c r="I24" i="5" s="1"/>
  <c r="J24" i="1"/>
  <c r="J18" i="5"/>
  <c r="J24" i="5" s="1"/>
  <c r="L19" i="1"/>
  <c r="L16" i="5"/>
  <c r="Y23" i="5"/>
  <c r="Y25" i="5" s="1"/>
  <c r="Y13" i="5"/>
  <c r="M13" i="5"/>
  <c r="K13" i="5"/>
  <c r="G22" i="5"/>
  <c r="G25" i="5" s="1"/>
  <c r="G13" i="5"/>
  <c r="E22" i="5"/>
  <c r="E25" i="5" s="1"/>
  <c r="E13" i="5"/>
  <c r="K24" i="1"/>
  <c r="K18" i="5"/>
  <c r="K24" i="5" s="1"/>
  <c r="I23" i="1"/>
  <c r="I17" i="5"/>
  <c r="I23" i="5" s="1"/>
  <c r="AE25" i="1"/>
  <c r="F25" i="1"/>
  <c r="L24" i="1"/>
  <c r="L18" i="5"/>
  <c r="L24" i="5" s="1"/>
  <c r="L23" i="1"/>
  <c r="L17" i="5"/>
  <c r="L23" i="5" s="1"/>
  <c r="AE22" i="5"/>
  <c r="AE25" i="5" s="1"/>
  <c r="AE13" i="5"/>
  <c r="L13" i="5"/>
  <c r="J22" i="5"/>
  <c r="J13" i="5"/>
  <c r="H22" i="5"/>
  <c r="H25" i="5" s="1"/>
  <c r="H13" i="5"/>
  <c r="F22" i="5"/>
  <c r="F25" i="5" s="1"/>
  <c r="F13" i="5"/>
  <c r="D22" i="5"/>
  <c r="D25" i="5" s="1"/>
  <c r="D13" i="5"/>
  <c r="Z23" i="5"/>
  <c r="Z25" i="5" s="1"/>
  <c r="Z13" i="5"/>
  <c r="W23" i="5"/>
  <c r="W25" i="5" s="1"/>
  <c r="W13" i="5"/>
  <c r="M22" i="5"/>
  <c r="K22" i="5"/>
  <c r="I22" i="5"/>
  <c r="G25" i="1"/>
  <c r="E25" i="1"/>
  <c r="K19" i="1"/>
  <c r="J25" i="1"/>
  <c r="J19" i="1"/>
  <c r="K22" i="1"/>
  <c r="K25" i="1" s="1"/>
  <c r="M19" i="1"/>
  <c r="I19" i="1"/>
  <c r="L25" i="1"/>
  <c r="M22" i="1"/>
  <c r="M25" i="1" s="1"/>
  <c r="I22" i="1"/>
  <c r="I25" i="1" s="1"/>
  <c r="K25" i="5" l="1"/>
  <c r="L19" i="5"/>
  <c r="J19" i="5"/>
  <c r="I19" i="5"/>
  <c r="I25" i="5"/>
  <c r="M25" i="5"/>
  <c r="J25" i="5"/>
  <c r="L22" i="5"/>
  <c r="L25" i="5" s="1"/>
  <c r="K19" i="5"/>
  <c r="M19" i="5"/>
</calcChain>
</file>

<file path=xl/sharedStrings.xml><?xml version="1.0" encoding="utf-8"?>
<sst xmlns="http://schemas.openxmlformats.org/spreadsheetml/2006/main" count="282" uniqueCount="55">
  <si>
    <t>TABLE 1.33</t>
  </si>
  <si>
    <t>UNIVERSITY OF MISSOURI-COLUMBIA</t>
  </si>
  <si>
    <t>FY 1981</t>
  </si>
  <si>
    <t>FY 1982</t>
  </si>
  <si>
    <t>FY 1983</t>
  </si>
  <si>
    <t>FY 1984</t>
  </si>
  <si>
    <t>FY 1985</t>
  </si>
  <si>
    <t>FY 1986</t>
  </si>
  <si>
    <t>FY 1987</t>
  </si>
  <si>
    <t>FY 1988</t>
  </si>
  <si>
    <t>FY 1989</t>
  </si>
  <si>
    <t>FY 1990</t>
  </si>
  <si>
    <t>FY 1991</t>
  </si>
  <si>
    <t>FY 1992</t>
  </si>
  <si>
    <t>FY 1993</t>
  </si>
  <si>
    <t>FY 1994</t>
  </si>
  <si>
    <t>FY 1995</t>
  </si>
  <si>
    <t>FY 1996</t>
  </si>
  <si>
    <t>FY 1997</t>
  </si>
  <si>
    <t>FY 1998</t>
  </si>
  <si>
    <t>FY 1999</t>
  </si>
  <si>
    <t>FY 2000</t>
  </si>
  <si>
    <t>FY 2001</t>
  </si>
  <si>
    <t>FY 2002</t>
  </si>
  <si>
    <t>FY 2003</t>
  </si>
  <si>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</si>
  <si>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</si>
  <si>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</si>
  <si>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</si>
  <si>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</si>
  <si>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</si>
  <si>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</si>
  <si>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</si>
  <si>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</si>
  <si>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</si>
  <si>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>ON CAMPUS</t>
  </si>
  <si>
    <t>Undergraduate</t>
  </si>
  <si>
    <t>OFF CAMPUS</t>
  </si>
  <si>
    <t>GRAND TOTAL</t>
  </si>
  <si>
    <t>FY 2014</t>
  </si>
  <si>
    <t>UNIVERSITY OF MISSOURI-KANSAS CITY</t>
  </si>
  <si>
    <t>STUDENT CREDIT HOURS</t>
  </si>
  <si>
    <t>MISSOURI UNIVERSITY OF SCIENCE AND TECHNOLOGY</t>
  </si>
  <si>
    <t>UNIVERSITY OF MISSOURI-ST. LOUIS</t>
  </si>
  <si>
    <t>UNIVERSITY OF MISSOURI SYSTEM</t>
  </si>
  <si>
    <t>Source: DHE 15-1, Student Credit Hours by Student Level and CIP</t>
  </si>
  <si>
    <t>Graduate (professional)</t>
  </si>
  <si>
    <t>Graduate (non-professional)</t>
  </si>
  <si>
    <t>FY 2015</t>
  </si>
  <si>
    <t>FY 2016</t>
  </si>
  <si>
    <t>Note: Billed hours based on student level, not course level.</t>
  </si>
  <si>
    <t>FY 2017</t>
  </si>
  <si>
    <t>FY 2018</t>
  </si>
  <si>
    <t>FY 2019</t>
  </si>
  <si>
    <t>UM-IR 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</si>
</sst>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0" borderId="0" xfId="0" applyFont="1" applyBorder="1" applyProtection="1"/>
    <xf numFmtId="1" fontId="3" fillId="0" borderId="0" xfId="0" applyNumberFormat="1" applyFont="1" applyBorder="1" applyProtection="1"/>
    <xf numFmtId="0" fontId="3" fillId="0" borderId="0" xfId="0" applyFont="1"/>
    <xf numFmtId="0" fontId="3" fillId="0" borderId="2" xfId="0" applyFont="1" applyBorder="1" applyProtection="1"/>
    <xf numFmtId="0" fontId="3" fillId="0" borderId="3" xfId="0" applyFont="1" applyBorder="1" applyProtection="1"/>
    <xf numFmtId="1" fontId="3" fillId="0" borderId="3" xfId="0" applyNumberFormat="1" applyFont="1" applyBorder="1" applyProtection="1"/>
    <xf numFmtId="0" fontId="3" fillId="0" borderId="1" xfId="0" applyFont="1" applyBorder="1" applyProtection="1"/>
    <xf numFmtId="0" fontId="2" fillId="0" borderId="2" xfId="0" applyFont="1" applyBorder="1" applyProtection="1"/>
    <xf numFmtId="0" fontId="2" fillId="0" borderId="0" xfId="0" applyFont="1" applyProtection="1"/>
    <xf numFmtId="1" fontId="2" fillId="0" borderId="0" xfId="0" applyNumberFormat="1" applyFont="1" applyProtection="1"/>
    <xf numFmtId="0" fontId="2" fillId="0" borderId="4" xfId="0" applyFont="1" applyBorder="1" applyProtection="1"/>
    <xf numFmtId="1" fontId="2" fillId="0" borderId="4" xfId="0" applyNumberFormat="1" applyFont="1" applyBorder="1" applyProtection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right"/>
    </xf>
    <xf numFmtId="1" fontId="3" fillId="0" borderId="5" xfId="0" applyNumberFormat="1" applyFont="1" applyBorder="1" applyAlignment="1" applyProtection="1">
      <alignment horizontal="right"/>
    </xf>
    <xf numFmtId="0" fontId="3" fillId="0" borderId="0" xfId="0" applyFont="1" applyProtection="1"/>
    <xf numFmtId="3" fontId="3" fillId="0" borderId="0" xfId="0" applyNumberFormat="1" applyFont="1" applyAlignment="1" applyProtection="1">
      <alignment horizontal="right"/>
    </xf>
    <xf numFmtId="3" fontId="3" fillId="0" borderId="0" xfId="0" applyNumberFormat="1" applyFont="1" applyProtection="1"/>
    <xf numFmtId="3" fontId="3" fillId="0" borderId="6" xfId="0" applyNumberFormat="1" applyFont="1" applyBorder="1" applyAlignment="1" applyProtection="1">
      <alignment horizontal="right"/>
    </xf>
    <xf numFmtId="3" fontId="3" fillId="0" borderId="3" xfId="0" applyNumberFormat="1" applyFont="1" applyBorder="1" applyAlignment="1" applyProtection="1">
      <alignment horizontal="right"/>
    </xf>
    <xf numFmtId="3" fontId="3" fillId="0" borderId="6" xfId="0" applyNumberFormat="1" applyFont="1" applyBorder="1" applyProtection="1"/>
    <xf numFmtId="3" fontId="3" fillId="0" borderId="7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Protection="1"/>
    <xf numFmtId="1" fontId="3" fillId="0" borderId="0" xfId="0" applyNumberFormat="1" applyFont="1" applyProtection="1"/>
    <xf numFmtId="3" fontId="3" fillId="0" borderId="7" xfId="0" applyNumberFormat="1" applyFont="1" applyBorder="1" applyProtection="1"/>
    <xf numFmtId="37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6" xfId="0" applyFont="1" applyBorder="1" applyProtection="1"/>
    <xf numFmtId="37" fontId="3" fillId="0" borderId="6" xfId="0" applyNumberFormat="1" applyFont="1" applyBorder="1" applyProtection="1"/>
    <xf numFmtId="1" fontId="3" fillId="0" borderId="6" xfId="0" applyNumberFormat="1" applyFont="1" applyBorder="1" applyProtection="1"/>
    <xf numFmtId="37" fontId="3" fillId="0" borderId="0" xfId="0" applyNumberFormat="1" applyFont="1" applyBorder="1" applyProtection="1"/>
    <xf numFmtId="0" fontId="3" fillId="0" borderId="8" xfId="0" applyFont="1" applyBorder="1" applyProtection="1"/>
    <xf numFmtId="0" fontId="3" fillId="0" borderId="6" xfId="0" applyFont="1" applyBorder="1"/>
    <xf numFmtId="0" fontId="3" fillId="0" borderId="3" xfId="0" applyFont="1" applyBorder="1" applyAlignment="1"/>
    <xf numFmtId="1" fontId="3" fillId="0" borderId="3" xfId="0" applyNumberFormat="1" applyFont="1" applyBorder="1" applyAlignment="1" applyProtection="1">
      <alignment horizontal="right"/>
    </xf>
    <xf numFmtId="0" fontId="3" fillId="0" borderId="9" xfId="0" applyFont="1" applyBorder="1" applyProtection="1"/>
    <xf numFmtId="1" fontId="3" fillId="0" borderId="0" xfId="0" applyNumberFormat="1" applyFont="1"/>
    <xf numFmtId="0" fontId="4" fillId="0" borderId="0" xfId="0" applyFont="1" applyProtection="1"/>
    <xf numFmtId="3" fontId="3" fillId="0" borderId="0" xfId="0" applyNumberFormat="1" applyFont="1" applyFill="1" applyProtection="1"/>
    <xf numFmtId="1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37" fontId="3" fillId="0" borderId="6" xfId="0" applyNumberFormat="1" applyFont="1" applyBorder="1" applyAlignment="1" applyProtection="1">
      <alignment horizontal="right"/>
    </xf>
    <xf numFmtId="37" fontId="3" fillId="0" borderId="3" xfId="0" applyNumberFormat="1" applyFont="1" applyBorder="1" applyProtection="1"/>
    <xf numFmtId="3" fontId="3" fillId="0" borderId="0" xfId="0" applyNumberFormat="1" applyFont="1" applyBorder="1" applyProtection="1"/>
    <xf numFmtId="3" fontId="3" fillId="0" borderId="0" xfId="0" applyNumberFormat="1" applyFont="1" applyBorder="1" applyAlignment="1" applyProtection="1"/>
    <xf numFmtId="0" fontId="2" fillId="0" borderId="0" xfId="0" applyFont="1" applyBorder="1" applyProtection="1"/>
    <xf numFmtId="164" fontId="3" fillId="0" borderId="3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Protection="1"/>
    <xf numFmtId="0" fontId="2" fillId="2" borderId="0" xfId="0" applyFont="1" applyFill="1" applyAlignment="1" applyProtection="1">
      <alignment vertical="center"/>
    </xf>
    <xf numFmtId="3" fontId="3" fillId="3" borderId="0" xfId="0" applyNumberFormat="1" applyFont="1" applyFill="1" applyProtection="1"/>
    <xf numFmtId="37" fontId="3" fillId="0" borderId="3" xfId="0" applyNumberFormat="1" applyFont="1" applyBorder="1" applyAlignment="1" applyProtection="1">
      <alignment horizontal="right"/>
    </xf>
    <xf numFmtId="37" fontId="3" fillId="4" borderId="0" xfId="0" applyNumberFormat="1" applyFont="1" applyFill="1" applyProtection="1"/>
    <xf numFmtId="0" fontId="2" fillId="0" borderId="3" xfId="0" applyFont="1" applyBorder="1" applyProtection="1"/>
    <xf numFmtId="0" fontId="3" fillId="0" borderId="6" xfId="0" applyFont="1" applyBorder="1" applyAlignment="1" applyProtection="1">
      <alignment horizontal="right"/>
    </xf>
    <xf numFmtId="1" fontId="3" fillId="0" borderId="6" xfId="0" applyNumberFormat="1" applyFont="1" applyBorder="1" applyAlignment="1" applyProtection="1">
      <alignment horizontal="right"/>
    </xf>
    <xf numFmtId="37" fontId="3" fillId="0" borderId="7" xfId="0" applyNumberFormat="1" applyFont="1" applyBorder="1" applyProtection="1"/>
    <xf numFmtId="3" fontId="3" fillId="5" borderId="0" xfId="0" applyNumberFormat="1" applyFont="1" applyFill="1" applyProtection="1"/>
    <xf numFmtId="0" fontId="3" fillId="0" borderId="3" xfId="0" applyFont="1" applyBorder="1"/>
    <xf numFmtId="0" fontId="3" fillId="0" borderId="5" xfId="0" applyFont="1" applyBorder="1" applyAlignment="1" applyProtection="1"/>
    <xf numFmtId="0" fontId="3" fillId="0" borderId="0" xfId="0" applyFont="1" applyBorder="1" applyAlignment="1" applyProtection="1"/>
    <xf numFmtId="3" fontId="3" fillId="6" borderId="0" xfId="0" applyNumberFormat="1" applyFont="1" applyFill="1" applyProtection="1"/>
    <xf numFmtId="0" fontId="2" fillId="3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2" fillId="6" borderId="0" xfId="0" applyFont="1" applyFill="1" applyAlignment="1" applyProtection="1">
      <alignment vertical="center"/>
    </xf>
    <xf numFmtId="3" fontId="3" fillId="6" borderId="0" xfId="0" applyNumberFormat="1" applyFont="1" applyFill="1" applyAlignment="1" applyProtection="1">
      <alignment vertical="center"/>
    </xf>
    <xf numFmtId="0" fontId="3" fillId="0" borderId="0" xfId="0" applyNumberFormat="1" applyFont="1" applyProtection="1"/>
    <xf numFmtId="0" fontId="4" fillId="0" borderId="1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DDDDDD"/>
      <color rgb="FFCCE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tabSelected="1" workbookViewId="0"/>
  </sheetViews>
  <sheetFormatPr defaultColWidth="8.42578125" defaultRowHeight="13.5" customHeight="1" x14ac:dyDescent="0.2"/>
  <cols>
    <col min="1" max="2" width="2.7109375" style="3" customWidth="1"/>
    <col min="3" max="3" width="23.7109375" style="3" customWidth="1"/>
    <col min="4" max="36" width="10.7109375" style="3" hidden="1" customWidth="1"/>
    <col min="37" max="42" width="10.7109375" style="3" customWidth="1"/>
    <col min="43" max="43" width="2.7109375" style="3" customWidth="1"/>
    <col min="44" max="16384" width="8.42578125" style="3"/>
  </cols>
  <sheetData>
    <row r="1" spans="1:43" ht="13.5" customHeight="1" x14ac:dyDescent="0.2">
      <c r="A1" s="59"/>
      <c r="B1" s="59"/>
      <c r="C1" s="5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</row>
    <row r="2" spans="1:43" ht="15" customHeight="1" x14ac:dyDescent="0.2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1"/>
    </row>
    <row r="3" spans="1:43" ht="13.5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7"/>
    </row>
    <row r="4" spans="1:43" ht="15" customHeight="1" x14ac:dyDescent="0.25">
      <c r="A4" s="4"/>
      <c r="B4" s="39" t="s">
        <v>41</v>
      </c>
      <c r="C4" s="16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7"/>
    </row>
    <row r="5" spans="1:43" ht="15" customHeight="1" x14ac:dyDescent="0.25">
      <c r="A5" s="8"/>
      <c r="B5" s="39" t="s">
        <v>44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7"/>
    </row>
    <row r="6" spans="1:43" ht="13.5" customHeight="1" thickBot="1" x14ac:dyDescent="0.25">
      <c r="A6" s="8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7"/>
    </row>
    <row r="7" spans="1:43" ht="13.5" customHeight="1" thickTop="1" x14ac:dyDescent="0.2">
      <c r="A7" s="8"/>
      <c r="B7" s="60"/>
      <c r="C7" s="60"/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14" t="s">
        <v>13</v>
      </c>
      <c r="P7" s="14" t="s">
        <v>14</v>
      </c>
      <c r="Q7" s="14" t="s">
        <v>15</v>
      </c>
      <c r="R7" s="14" t="s">
        <v>16</v>
      </c>
      <c r="S7" s="14" t="s">
        <v>17</v>
      </c>
      <c r="T7" s="14" t="s">
        <v>18</v>
      </c>
      <c r="U7" s="14" t="s">
        <v>19</v>
      </c>
      <c r="V7" s="14" t="s">
        <v>20</v>
      </c>
      <c r="W7" s="14" t="s">
        <v>21</v>
      </c>
      <c r="X7" s="14" t="s">
        <v>22</v>
      </c>
      <c r="Y7" s="14" t="s">
        <v>23</v>
      </c>
      <c r="Z7" s="15" t="s">
        <v>24</v>
      </c>
      <c r="AA7" s="15" t="s">
        <v>25</v>
      </c>
      <c r="AB7" s="15" t="s">
        <v>26</v>
      </c>
      <c r="AC7" s="15" t="s">
        <v>27</v>
      </c>
      <c r="AD7" s="15" t="s">
        <v>28</v>
      </c>
      <c r="AE7" s="15" t="s">
        <v>29</v>
      </c>
      <c r="AF7" s="15" t="s">
        <v>30</v>
      </c>
      <c r="AG7" s="15" t="s">
        <v>31</v>
      </c>
      <c r="AH7" s="15" t="s">
        <v>32</v>
      </c>
      <c r="AI7" s="15" t="s">
        <v>33</v>
      </c>
      <c r="AJ7" s="15" t="s">
        <v>34</v>
      </c>
      <c r="AK7" s="15" t="s">
        <v>39</v>
      </c>
      <c r="AL7" s="15" t="s">
        <v>48</v>
      </c>
      <c r="AM7" s="15" t="s">
        <v>49</v>
      </c>
      <c r="AN7" s="15" t="s">
        <v>51</v>
      </c>
      <c r="AO7" s="15" t="s">
        <v>52</v>
      </c>
      <c r="AP7" s="15" t="s">
        <v>53</v>
      </c>
      <c r="AQ7" s="7"/>
    </row>
    <row r="8" spans="1:43" ht="13.5" customHeight="1" x14ac:dyDescent="0.2">
      <c r="A8" s="8"/>
      <c r="B8" s="61"/>
      <c r="C8" s="6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7"/>
    </row>
    <row r="9" spans="1:43" ht="13.5" customHeight="1" x14ac:dyDescent="0.2">
      <c r="A9" s="8"/>
      <c r="B9" s="66" t="s">
        <v>35</v>
      </c>
      <c r="C9" s="67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7"/>
    </row>
    <row r="10" spans="1:43" ht="13.5" customHeight="1" x14ac:dyDescent="0.2">
      <c r="A10" s="4"/>
      <c r="B10" s="16"/>
      <c r="C10" s="68" t="s">
        <v>36</v>
      </c>
      <c r="D10" s="17">
        <f>MU!D10+UMKC!D10+'S&amp;T'!D10+UMSL!D10</f>
        <v>1063386</v>
      </c>
      <c r="E10" s="17">
        <f>MU!E10+UMKC!E10+'S&amp;T'!E10+UMSL!E10</f>
        <v>1112660</v>
      </c>
      <c r="F10" s="17">
        <f>MU!F10+UMKC!F10+'S&amp;T'!F10+UMSL!F10</f>
        <v>1099411</v>
      </c>
      <c r="G10" s="17">
        <f>MU!G10+UMKC!G10+'S&amp;T'!G10+UMSL!G10</f>
        <v>1052586</v>
      </c>
      <c r="H10" s="17">
        <f>MU!H10+UMKC!H10+'S&amp;T'!H10+UMSL!H10</f>
        <v>1010598</v>
      </c>
      <c r="I10" s="17">
        <f>MU!I10+UMKC!I10+'S&amp;T'!I10+UMSL!I10</f>
        <v>977878</v>
      </c>
      <c r="J10" s="17">
        <f>MU!J10+UMKC!J10+'S&amp;T'!J10+UMSL!J10</f>
        <v>964452</v>
      </c>
      <c r="K10" s="17">
        <f>MU!K10+UMKC!K10+'S&amp;T'!K10+UMSL!K10</f>
        <v>964229</v>
      </c>
      <c r="L10" s="17">
        <f>MU!L10+UMKC!L10+'S&amp;T'!L10+UMSL!L10</f>
        <v>983128</v>
      </c>
      <c r="M10" s="17">
        <f>MU!M10+UMKC!M10+'S&amp;T'!M10+UMSL!M10</f>
        <v>999981</v>
      </c>
      <c r="N10" s="17"/>
      <c r="O10" s="17">
        <f>MU!O10+UMKC!O10+'S&amp;T'!O10+UMSL!O10</f>
        <v>971049</v>
      </c>
      <c r="P10" s="17">
        <f>MU!P10+UMKC!P10+'S&amp;T'!P10+UMSL!P10</f>
        <v>913910</v>
      </c>
      <c r="Q10" s="17">
        <f>MU!Q10+UMKC!Q10+'S&amp;T'!Q10+UMSL!Q10</f>
        <v>875849</v>
      </c>
      <c r="R10" s="17">
        <f>MU!R10+UMKC!R10+'S&amp;T'!R10+UMSL!R10</f>
        <v>879219</v>
      </c>
      <c r="S10" s="17">
        <f>MU!S10+UMKC!S10+'S&amp;T'!S10+UMSL!S10</f>
        <v>898843</v>
      </c>
      <c r="T10" s="17">
        <f>MU!T10+UMKC!T10+'S&amp;T'!T10+UMSL!T10</f>
        <v>915102</v>
      </c>
      <c r="U10" s="17">
        <f>MU!U10+UMKC!U10+'S&amp;T'!U10+UMSL!U10</f>
        <v>921099</v>
      </c>
      <c r="V10" s="17">
        <f>MU!V10+UMKC!V10+'S&amp;T'!V10+UMSL!V10</f>
        <v>934078.5</v>
      </c>
      <c r="W10" s="17">
        <f>MU!W10+UMKC!W10+'S&amp;T'!W10+UMSL!W10</f>
        <v>931568</v>
      </c>
      <c r="X10" s="17">
        <f>MU!X10+UMKC!X10+'S&amp;T'!X10+UMSL!X10</f>
        <v>936271.5</v>
      </c>
      <c r="Y10" s="17">
        <f>MU!Y10+UMKC!Y10+'S&amp;T'!Y10+UMSL!Y10</f>
        <v>965291.5</v>
      </c>
      <c r="Z10" s="17">
        <f>MU!Z10+UMKC!Z10+'S&amp;T'!Z10+UMSL!Z10</f>
        <v>1001470.5</v>
      </c>
      <c r="AA10" s="17">
        <f>MU!AA10+UMKC!AA10+'S&amp;T'!AA10+UMSL!AA10</f>
        <v>1028552</v>
      </c>
      <c r="AB10" s="17">
        <f>MU!AB10+UMKC!AB10+'S&amp;T'!AB10+UMSL!AB10</f>
        <v>1050450</v>
      </c>
      <c r="AC10" s="17">
        <f>MU!AC10+UMKC!AC10+'S&amp;T'!AC10+UMSL!AC10</f>
        <v>1079727</v>
      </c>
      <c r="AD10" s="17">
        <f>MU!AD10+UMKC!AD10+'S&amp;T'!AD10+UMSL!AD10</f>
        <v>1089703</v>
      </c>
      <c r="AE10" s="17">
        <f>MU!AE10+UMKC!AE10+'S&amp;T'!AE10+UMSL!AE10</f>
        <v>1096828</v>
      </c>
      <c r="AF10" s="17">
        <f>MU!AF10+UMKC!AF10+'S&amp;T'!AF10+UMSL!AF10</f>
        <v>1098274.5</v>
      </c>
      <c r="AG10" s="17">
        <f>MU!AG10+UMKC!AG10+'S&amp;T'!AG10+UMSL!AG10</f>
        <v>1153317.5</v>
      </c>
      <c r="AH10" s="17">
        <f>MU!AH10+UMKC!AH10+'S&amp;T'!AH10+UMSL!AH10</f>
        <v>1194328.5</v>
      </c>
      <c r="AI10" s="17">
        <f>MU!AI10+UMKC!AI10+'S&amp;T'!AI10+UMSL!AI10</f>
        <v>1228919.75</v>
      </c>
      <c r="AJ10" s="17">
        <f>MU!AJ10+UMKC!AJ10+'S&amp;T'!AJ10+UMSL!AJ10</f>
        <v>1239372</v>
      </c>
      <c r="AK10" s="17">
        <f>MU!AK10+UMKC!AK10+'S&amp;T'!AK10+UMSL!AK10</f>
        <v>1230225</v>
      </c>
      <c r="AL10" s="17">
        <f>MU!AL10+UMKC!AL10+'S&amp;T'!AL10+UMSL!AL10</f>
        <v>1238169.5</v>
      </c>
      <c r="AM10" s="17">
        <f>MU!AM10+UMKC!AM10+'S&amp;T'!AM10+UMSL!AM10</f>
        <v>1228557.5</v>
      </c>
      <c r="AN10" s="17">
        <f>MU!AN10+UMKC!AN10+'S&amp;T'!AN10+UMSL!AN10</f>
        <v>1164630.5</v>
      </c>
      <c r="AO10" s="17">
        <f>MU!AO10+UMKC!AO10+'S&amp;T'!AO10+UMSL!AO10</f>
        <v>1098332</v>
      </c>
      <c r="AP10" s="17">
        <f>MU!AP10+UMKC!AP10+'S&amp;T'!AP10+UMSL!AP10</f>
        <v>1042896</v>
      </c>
      <c r="AQ10" s="7"/>
    </row>
    <row r="11" spans="1:43" ht="13.5" customHeight="1" x14ac:dyDescent="0.2">
      <c r="A11" s="4"/>
      <c r="B11" s="16"/>
      <c r="C11" s="68" t="s">
        <v>46</v>
      </c>
      <c r="D11" s="17">
        <f>MU!D11+UMKC!D11+UMSL!D11</f>
        <v>99774</v>
      </c>
      <c r="E11" s="17">
        <f>MU!E11+UMKC!E11+UMSL!E11</f>
        <v>104332</v>
      </c>
      <c r="F11" s="17">
        <f>MU!F11+UMKC!F11+UMSL!F11</f>
        <v>109339</v>
      </c>
      <c r="G11" s="17">
        <f>MU!G11+UMKC!G11+UMSL!G11</f>
        <v>107880</v>
      </c>
      <c r="H11" s="17">
        <f>MU!H11+UMKC!H11+UMSL!H11</f>
        <v>105923</v>
      </c>
      <c r="I11" s="17">
        <f>MU!I11+UMKC!I11+UMSL!I11</f>
        <v>105529</v>
      </c>
      <c r="J11" s="17">
        <f>MU!J11+UMKC!J11+UMSL!J11</f>
        <v>102259</v>
      </c>
      <c r="K11" s="17">
        <f>MU!K11+UMKC!K11+UMSL!K11</f>
        <v>104169</v>
      </c>
      <c r="L11" s="17">
        <f>MU!L11+UMKC!L11+UMSL!L11</f>
        <v>102697</v>
      </c>
      <c r="M11" s="17">
        <f>MU!M11+UMKC!M11+UMSL!M11</f>
        <v>101919</v>
      </c>
      <c r="N11" s="17"/>
      <c r="O11" s="17">
        <f>MU!O11+UMKC!O11+UMSL!O11</f>
        <v>99429</v>
      </c>
      <c r="P11" s="17">
        <f>MU!P11+UMKC!P11+UMSL!P11</f>
        <v>99880</v>
      </c>
      <c r="Q11" s="17">
        <f>MU!Q11+UMKC!Q11+UMSL!Q11</f>
        <v>98557</v>
      </c>
      <c r="R11" s="17">
        <f>MU!R11+UMKC!R11+UMSL!R11</f>
        <v>98877</v>
      </c>
      <c r="S11" s="17">
        <f>MU!S11+UMKC!S11+UMSL!S11</f>
        <v>97506</v>
      </c>
      <c r="T11" s="17">
        <f>MU!T11+UMKC!T11+UMSL!T11</f>
        <v>98926</v>
      </c>
      <c r="U11" s="17">
        <f>MU!U11+UMKC!U11+UMSL!U11</f>
        <v>100207</v>
      </c>
      <c r="V11" s="17">
        <f>MU!V11+UMKC!V11+UMSL!V11</f>
        <v>103970.5</v>
      </c>
      <c r="W11" s="17">
        <f>MU!W11+UMKC!W11+UMSL!W11</f>
        <v>103666</v>
      </c>
      <c r="X11" s="17">
        <f>MU!X11+UMKC!X11+UMSL!X11</f>
        <v>105580</v>
      </c>
      <c r="Y11" s="17">
        <f>MU!Y11+UMKC!Y11+UMSL!Y11</f>
        <v>103946</v>
      </c>
      <c r="Z11" s="17">
        <f>MU!Z11+UMKC!Z11+UMSL!Z11</f>
        <v>113692</v>
      </c>
      <c r="AA11" s="17">
        <f>MU!AA11+UMKC!AA11+UMSL!AA11</f>
        <v>103370</v>
      </c>
      <c r="AB11" s="17">
        <f>MU!AB11+UMKC!AB11+UMSL!AB11</f>
        <v>105477</v>
      </c>
      <c r="AC11" s="17">
        <f>MU!AC11+UMKC!AC11+UMSL!AC11</f>
        <v>108616</v>
      </c>
      <c r="AD11" s="17">
        <f>MU!AD11+UMKC!AD11+UMSL!AD11</f>
        <v>107214</v>
      </c>
      <c r="AE11" s="17">
        <f>MU!AE11+UMKC!AE11+UMSL!AE11</f>
        <v>108121</v>
      </c>
      <c r="AF11" s="17">
        <f>MU!AF11+UMKC!AF11+UMSL!AF11</f>
        <v>108236</v>
      </c>
      <c r="AG11" s="17">
        <f>MU!AG11+UMKC!AG11+UMSL!AG11</f>
        <v>113168</v>
      </c>
      <c r="AH11" s="17">
        <f>MU!AH11+UMKC!AH11+UMSL!AH11</f>
        <v>118764</v>
      </c>
      <c r="AI11" s="17">
        <f>MU!AI11+UMKC!AI11+UMSL!AI11</f>
        <v>118157</v>
      </c>
      <c r="AJ11" s="17">
        <f>MU!AJ11+UMKC!AJ11+UMSL!AJ11</f>
        <v>122479.5</v>
      </c>
      <c r="AK11" s="17">
        <f>MU!AK11+UMKC!AK11+UMSL!AK11</f>
        <v>122476</v>
      </c>
      <c r="AL11" s="17">
        <f>MU!AL11+UMKC!AL11+UMSL!AL11</f>
        <v>122624</v>
      </c>
      <c r="AM11" s="17">
        <f>MU!AM11+UMKC!AM11+UMSL!AM11</f>
        <v>120833.5</v>
      </c>
      <c r="AN11" s="17">
        <f>MU!AN11+UMKC!AN11+UMSL!AN11</f>
        <v>120154.5</v>
      </c>
      <c r="AO11" s="17">
        <f>MU!AO11+UMKC!AO11+UMSL!AO11</f>
        <v>120620</v>
      </c>
      <c r="AP11" s="17">
        <f>MU!AP11+UMKC!AP11+UMSL!AP11</f>
        <v>127754.5</v>
      </c>
      <c r="AQ11" s="7"/>
    </row>
    <row r="12" spans="1:43" ht="13.5" customHeight="1" x14ac:dyDescent="0.2">
      <c r="A12" s="4"/>
      <c r="B12" s="16"/>
      <c r="C12" s="68" t="s">
        <v>47</v>
      </c>
      <c r="D12" s="19">
        <f>MU!D12+UMKC!D12+'S&amp;T'!D11+UMSL!D12</f>
        <v>165914</v>
      </c>
      <c r="E12" s="19">
        <f>MU!E12+UMKC!E12+'S&amp;T'!E11+UMSL!E12</f>
        <v>164284</v>
      </c>
      <c r="F12" s="19">
        <f>MU!F12+UMKC!F12+'S&amp;T'!F11+UMSL!F12</f>
        <v>156063</v>
      </c>
      <c r="G12" s="19">
        <f>MU!G12+UMKC!G12+'S&amp;T'!G11+UMSL!G12</f>
        <v>155559</v>
      </c>
      <c r="H12" s="19">
        <f>MU!H12+UMKC!H12+'S&amp;T'!H11+UMSL!H12</f>
        <v>154387</v>
      </c>
      <c r="I12" s="19">
        <f>MU!I12+UMKC!I12+'S&amp;T'!I11+UMSL!I12</f>
        <v>154467</v>
      </c>
      <c r="J12" s="19">
        <f>MU!J12+UMKC!J12+'S&amp;T'!J11+UMSL!J12</f>
        <v>161318</v>
      </c>
      <c r="K12" s="19">
        <f>MU!K12+UMKC!K12+'S&amp;T'!K11+UMSL!K12</f>
        <v>165606</v>
      </c>
      <c r="L12" s="19">
        <f>MU!L12+UMKC!L12+'S&amp;T'!L11+UMSL!L12</f>
        <v>168559</v>
      </c>
      <c r="M12" s="19">
        <f>MU!M12+UMKC!M12+'S&amp;T'!M11+UMSL!M12</f>
        <v>172844</v>
      </c>
      <c r="N12" s="19"/>
      <c r="O12" s="19">
        <f>MU!O12+UMKC!O12+'S&amp;T'!O11+UMSL!O12</f>
        <v>174101</v>
      </c>
      <c r="P12" s="19">
        <f>MU!P12+UMKC!P12+'S&amp;T'!P11+UMSL!P12</f>
        <v>168079</v>
      </c>
      <c r="Q12" s="19">
        <f>MU!Q12+UMKC!Q12+'S&amp;T'!Q11+UMSL!Q12</f>
        <v>164327</v>
      </c>
      <c r="R12" s="19">
        <f>MU!R12+UMKC!R12+'S&amp;T'!R11+UMSL!R12</f>
        <v>162446</v>
      </c>
      <c r="S12" s="19">
        <f>MU!S12+UMKC!S12+'S&amp;T'!S11+UMSL!S12</f>
        <v>165130</v>
      </c>
      <c r="T12" s="19">
        <f>MU!T12+UMKC!T12+'S&amp;T'!T11+UMSL!T12</f>
        <v>156055</v>
      </c>
      <c r="U12" s="19">
        <f>MU!U12+UMKC!U12+'S&amp;T'!U11+UMSL!U12</f>
        <v>150197.5</v>
      </c>
      <c r="V12" s="19">
        <f>MU!V12+UMKC!V12+'S&amp;T'!V11+UMSL!V12</f>
        <v>147629.5</v>
      </c>
      <c r="W12" s="19">
        <f>MU!W12+UMKC!W12+'S&amp;T'!W11+UMSL!W12</f>
        <v>150070</v>
      </c>
      <c r="X12" s="19">
        <f>MU!X12+UMKC!X12+'S&amp;T'!X11+UMSL!X12</f>
        <v>158895.5</v>
      </c>
      <c r="Y12" s="19">
        <f>MU!Y12+UMKC!Y12+'S&amp;T'!Y11+UMSL!Y12</f>
        <v>164588.5</v>
      </c>
      <c r="Z12" s="19">
        <f>MU!Z12+UMKC!Z12+'S&amp;T'!Z11+UMSL!Z12</f>
        <v>174530</v>
      </c>
      <c r="AA12" s="19">
        <f>MU!AA12+UMKC!AA12+'S&amp;T'!AA11+UMSL!AA12</f>
        <v>170155</v>
      </c>
      <c r="AB12" s="19">
        <f>MU!AB12+UMKC!AB12+'S&amp;T'!AB11+UMSL!AB12</f>
        <v>166294</v>
      </c>
      <c r="AC12" s="19">
        <f>MU!AC12+UMKC!AC12+'S&amp;T'!AC11+UMSL!AC12</f>
        <v>171526</v>
      </c>
      <c r="AD12" s="19">
        <f>MU!AD12+UMKC!AD12+'S&amp;T'!AD11+UMSL!AD12</f>
        <v>173536</v>
      </c>
      <c r="AE12" s="19">
        <f>MU!AE12+UMKC!AE12+'S&amp;T'!AE11+UMSL!AE12</f>
        <v>172806.5</v>
      </c>
      <c r="AF12" s="19">
        <f>MU!AF12+UMKC!AF12+'S&amp;T'!AF11+UMSL!AF12</f>
        <v>166394.5</v>
      </c>
      <c r="AG12" s="19">
        <f>MU!AG12+UMKC!AG12+'S&amp;T'!AG11+UMSL!AG12</f>
        <v>181088</v>
      </c>
      <c r="AH12" s="19">
        <f>MU!AH12+UMKC!AH12+'S&amp;T'!AH11+UMSL!AH12</f>
        <v>183421.5</v>
      </c>
      <c r="AI12" s="19">
        <f>MU!AI12+UMKC!AI12+'S&amp;T'!AI11+UMSL!AI12</f>
        <v>186204.25</v>
      </c>
      <c r="AJ12" s="19">
        <f>MU!AJ12+UMKC!AJ12+'S&amp;T'!AJ11+UMSL!AJ12</f>
        <v>180910</v>
      </c>
      <c r="AK12" s="19">
        <f>MU!AK12+UMKC!AK12+'S&amp;T'!AK11+UMSL!AK12</f>
        <v>183890</v>
      </c>
      <c r="AL12" s="19">
        <f>MU!AL12+UMKC!AL12+'S&amp;T'!AL11+UMSL!AL12</f>
        <v>185738.5</v>
      </c>
      <c r="AM12" s="19">
        <f>MU!AM12+UMKC!AM12+'S&amp;T'!AM11+UMSL!AM12</f>
        <v>180069.5</v>
      </c>
      <c r="AN12" s="19">
        <f>MU!AN12+UMKC!AN12+'S&amp;T'!AN11+UMSL!AN12</f>
        <v>166767.5</v>
      </c>
      <c r="AO12" s="19">
        <f>MU!AO12+UMKC!AO12+'S&amp;T'!AO11+UMSL!AO12</f>
        <v>152813.5</v>
      </c>
      <c r="AP12" s="19">
        <f>MU!AP12+UMKC!AP12+'S&amp;T'!AP11+UMSL!AP12</f>
        <v>138232.5</v>
      </c>
      <c r="AQ12" s="7"/>
    </row>
    <row r="13" spans="1:43" ht="13.5" customHeight="1" x14ac:dyDescent="0.2">
      <c r="A13" s="4"/>
      <c r="B13" s="16"/>
      <c r="C13" s="16"/>
      <c r="D13" s="18">
        <f t="shared" ref="D13:M13" si="0">SUM(D10:D12)</f>
        <v>1329074</v>
      </c>
      <c r="E13" s="18">
        <f t="shared" si="0"/>
        <v>1381276</v>
      </c>
      <c r="F13" s="18">
        <f t="shared" si="0"/>
        <v>1364813</v>
      </c>
      <c r="G13" s="18">
        <f t="shared" si="0"/>
        <v>1316025</v>
      </c>
      <c r="H13" s="18">
        <f t="shared" si="0"/>
        <v>1270908</v>
      </c>
      <c r="I13" s="18">
        <f t="shared" si="0"/>
        <v>1237874</v>
      </c>
      <c r="J13" s="18">
        <f t="shared" si="0"/>
        <v>1228029</v>
      </c>
      <c r="K13" s="18">
        <f t="shared" si="0"/>
        <v>1234004</v>
      </c>
      <c r="L13" s="18">
        <f t="shared" si="0"/>
        <v>1254384</v>
      </c>
      <c r="M13" s="18">
        <f t="shared" si="0"/>
        <v>1274744</v>
      </c>
      <c r="N13" s="17"/>
      <c r="O13" s="18">
        <f t="shared" ref="O13:AA13" si="1">SUM(O10:O12)</f>
        <v>1244579</v>
      </c>
      <c r="P13" s="18">
        <f t="shared" si="1"/>
        <v>1181869</v>
      </c>
      <c r="Q13" s="18">
        <f t="shared" si="1"/>
        <v>1138733</v>
      </c>
      <c r="R13" s="17">
        <f t="shared" si="1"/>
        <v>1140542</v>
      </c>
      <c r="S13" s="17">
        <f t="shared" si="1"/>
        <v>1161479</v>
      </c>
      <c r="T13" s="17">
        <f t="shared" si="1"/>
        <v>1170083</v>
      </c>
      <c r="U13" s="17">
        <f t="shared" si="1"/>
        <v>1171503.5</v>
      </c>
      <c r="V13" s="17">
        <f t="shared" si="1"/>
        <v>1185678.5</v>
      </c>
      <c r="W13" s="17">
        <f t="shared" si="1"/>
        <v>1185304</v>
      </c>
      <c r="X13" s="17">
        <f t="shared" si="1"/>
        <v>1200747</v>
      </c>
      <c r="Y13" s="17">
        <f t="shared" si="1"/>
        <v>1233826</v>
      </c>
      <c r="Z13" s="17">
        <f t="shared" si="1"/>
        <v>1289692.5</v>
      </c>
      <c r="AA13" s="17">
        <f t="shared" si="1"/>
        <v>1302077</v>
      </c>
      <c r="AB13" s="17">
        <f t="shared" ref="AB13:AK13" si="2">SUM(AB10:AB12)</f>
        <v>1322221</v>
      </c>
      <c r="AC13" s="17">
        <f t="shared" si="2"/>
        <v>1359869</v>
      </c>
      <c r="AD13" s="17">
        <f t="shared" si="2"/>
        <v>1370453</v>
      </c>
      <c r="AE13" s="17">
        <f t="shared" si="2"/>
        <v>1377755.5</v>
      </c>
      <c r="AF13" s="17">
        <f t="shared" si="2"/>
        <v>1372905</v>
      </c>
      <c r="AG13" s="17">
        <f t="shared" si="2"/>
        <v>1447573.5</v>
      </c>
      <c r="AH13" s="17">
        <f t="shared" si="2"/>
        <v>1496514</v>
      </c>
      <c r="AI13" s="17">
        <f t="shared" si="2"/>
        <v>1533281</v>
      </c>
      <c r="AJ13" s="17">
        <f t="shared" si="2"/>
        <v>1542761.5</v>
      </c>
      <c r="AK13" s="17">
        <f t="shared" si="2"/>
        <v>1536591</v>
      </c>
      <c r="AL13" s="17">
        <f t="shared" ref="AL13:AM13" si="3">SUM(AL10:AL12)</f>
        <v>1546532</v>
      </c>
      <c r="AM13" s="17">
        <f t="shared" si="3"/>
        <v>1529460.5</v>
      </c>
      <c r="AN13" s="17">
        <f t="shared" ref="AN13:AO13" si="4">SUM(AN10:AN12)</f>
        <v>1451552.5</v>
      </c>
      <c r="AO13" s="17">
        <f t="shared" si="4"/>
        <v>1371765.5</v>
      </c>
      <c r="AP13" s="17">
        <f t="shared" ref="AP13" si="5">SUM(AP10:AP12)</f>
        <v>1308883</v>
      </c>
      <c r="AQ13" s="7"/>
    </row>
    <row r="14" spans="1:43" ht="13.5" customHeight="1" x14ac:dyDescent="0.2">
      <c r="A14" s="4"/>
      <c r="B14" s="16"/>
      <c r="C14" s="16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7"/>
    </row>
    <row r="15" spans="1:43" ht="13.5" customHeight="1" x14ac:dyDescent="0.2">
      <c r="A15" s="4"/>
      <c r="B15" s="66" t="s">
        <v>37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7"/>
    </row>
    <row r="16" spans="1:43" ht="13.5" customHeight="1" x14ac:dyDescent="0.2">
      <c r="A16" s="4"/>
      <c r="B16" s="16"/>
      <c r="C16" s="68" t="s">
        <v>36</v>
      </c>
      <c r="D16" s="18"/>
      <c r="E16" s="18"/>
      <c r="F16" s="18"/>
      <c r="G16" s="18"/>
      <c r="H16" s="18"/>
      <c r="I16" s="17">
        <f>MU!I16+UMKC!I16+'S&amp;T'!I15+UMSL!I16</f>
        <v>22407</v>
      </c>
      <c r="J16" s="17">
        <f>MU!J16+UMKC!J16+'S&amp;T'!J15+UMSL!J16</f>
        <v>18843</v>
      </c>
      <c r="K16" s="17">
        <f>MU!K16+UMKC!K16+'S&amp;T'!K15+UMSL!K16</f>
        <v>12602</v>
      </c>
      <c r="L16" s="17">
        <f>MU!L16+UMKC!L16+'S&amp;T'!L15+UMSL!L16</f>
        <v>8914</v>
      </c>
      <c r="M16" s="17">
        <f>MU!M16+UMKC!M16+'S&amp;T'!M15+UMSL!M16</f>
        <v>12454</v>
      </c>
      <c r="N16" s="18"/>
      <c r="O16" s="17">
        <f>MU!O16+UMKC!O16+'S&amp;T'!O15+UMSL!O16</f>
        <v>43029</v>
      </c>
      <c r="P16" s="17">
        <f>MU!P16+UMKC!P16+'S&amp;T'!P15+UMSL!P16</f>
        <v>40891</v>
      </c>
      <c r="Q16" s="17">
        <f>MU!Q16+UMKC!Q16+'S&amp;T'!Q15+UMSL!Q16</f>
        <v>41666</v>
      </c>
      <c r="R16" s="17">
        <f>MU!R16+UMKC!R16+'S&amp;T'!R15+UMSL!R16</f>
        <v>43198</v>
      </c>
      <c r="S16" s="17">
        <f>MU!S16+UMKC!S16+'S&amp;T'!S15+UMSL!S16</f>
        <v>42121</v>
      </c>
      <c r="T16" s="17">
        <f>MU!T16+UMKC!T16+'S&amp;T'!T15+UMSL!T16</f>
        <v>42771</v>
      </c>
      <c r="U16" s="17">
        <f>MU!U16+UMKC!U16+'S&amp;T'!U15+UMSL!U16</f>
        <v>44626</v>
      </c>
      <c r="V16" s="17">
        <f>MU!V16+UMKC!V16+'S&amp;T'!V15+UMSL!V16</f>
        <v>49470</v>
      </c>
      <c r="W16" s="17">
        <f>MU!W16+UMKC!W16+'S&amp;T'!W15+UMSL!W16</f>
        <v>52414</v>
      </c>
      <c r="X16" s="17">
        <f>MU!X16+UMKC!X16+'S&amp;T'!X15+UMSL!X16</f>
        <v>53643</v>
      </c>
      <c r="Y16" s="17">
        <f>MU!Y16+UMKC!Y16+'S&amp;T'!Y15+UMSL!Y16</f>
        <v>60786</v>
      </c>
      <c r="Z16" s="17">
        <f>MU!Z16+UMKC!Z16+'S&amp;T'!Z15+UMSL!Z16</f>
        <v>61256</v>
      </c>
      <c r="AA16" s="17">
        <f>MU!AA16+UMKC!AA16+'S&amp;T'!AA15+UMSL!AA16</f>
        <v>63898</v>
      </c>
      <c r="AB16" s="17">
        <f>MU!AB16+UMKC!AB16+'S&amp;T'!AB15+UMSL!AB16</f>
        <v>67498</v>
      </c>
      <c r="AC16" s="17">
        <f>MU!AC16+UMKC!AC16+'S&amp;T'!AC15+UMSL!AC16</f>
        <v>73847</v>
      </c>
      <c r="AD16" s="17">
        <f>MU!AD16+UMKC!AD16+'S&amp;T'!AD15+UMSL!AD16</f>
        <v>76506</v>
      </c>
      <c r="AE16" s="17">
        <f>MU!AE16+UMKC!AE16+'S&amp;T'!AE15+UMSL!AE16</f>
        <v>80767</v>
      </c>
      <c r="AF16" s="17">
        <f>MU!AF16+UMKC!AF16+'S&amp;T'!AF15+UMSL!AF16</f>
        <v>106133</v>
      </c>
      <c r="AG16" s="17">
        <f>MU!AG16+UMKC!AG16+'S&amp;T'!AG15+UMSL!AG16</f>
        <v>129233</v>
      </c>
      <c r="AH16" s="17">
        <f>MU!AH16+UMKC!AH16+'S&amp;T'!AH15+UMSL!AH16</f>
        <v>143146.5</v>
      </c>
      <c r="AI16" s="17">
        <f>MU!AI16+UMKC!AI16+'S&amp;T'!AI15+UMSL!AI16</f>
        <v>137656.5</v>
      </c>
      <c r="AJ16" s="17">
        <f>MU!AJ16+UMKC!AJ16+'S&amp;T'!AJ15+UMSL!AJ16</f>
        <v>170199.75</v>
      </c>
      <c r="AK16" s="17">
        <f>MU!AK16+UMKC!AK16+'S&amp;T'!AK15+UMSL!AK16</f>
        <v>188635.5</v>
      </c>
      <c r="AL16" s="17">
        <f>MU!AL16+UMKC!AL16+'S&amp;T'!AL15+UMSL!AL16</f>
        <v>204959</v>
      </c>
      <c r="AM16" s="17">
        <f>MU!AM16+UMKC!AM16+'S&amp;T'!AM15+UMSL!AM16</f>
        <v>214140.5</v>
      </c>
      <c r="AN16" s="17">
        <f>MU!AN16+UMKC!AN16+'S&amp;T'!AN15+UMSL!AN16</f>
        <v>220771</v>
      </c>
      <c r="AO16" s="17">
        <f>MU!AO16+UMKC!AO16+'S&amp;T'!AO15+UMSL!AO16</f>
        <v>226330.5</v>
      </c>
      <c r="AP16" s="17">
        <f>MU!AP16+UMKC!AP16+'S&amp;T'!AP15+UMSL!AP16</f>
        <v>228608.5</v>
      </c>
      <c r="AQ16" s="7"/>
    </row>
    <row r="17" spans="1:43" ht="13.5" customHeight="1" x14ac:dyDescent="0.2">
      <c r="A17" s="4"/>
      <c r="B17" s="16"/>
      <c r="C17" s="68" t="s">
        <v>46</v>
      </c>
      <c r="D17" s="18"/>
      <c r="E17" s="18"/>
      <c r="F17" s="18"/>
      <c r="G17" s="18"/>
      <c r="H17" s="18"/>
      <c r="I17" s="17">
        <f>MU!I17+UMKC!I17+UMSL!I17</f>
        <v>579</v>
      </c>
      <c r="J17" s="17">
        <f>MU!J17+UMKC!J17+UMSL!J17</f>
        <v>2476</v>
      </c>
      <c r="K17" s="17">
        <f>MU!K17+UMKC!K17+UMSL!K17</f>
        <v>290</v>
      </c>
      <c r="L17" s="17">
        <f>MU!L17+UMKC!L17+UMSL!L17</f>
        <v>1217</v>
      </c>
      <c r="M17" s="17">
        <f>MU!M17+UMKC!M17+UMSL!M17</f>
        <v>197</v>
      </c>
      <c r="N17" s="18"/>
      <c r="O17" s="17">
        <f>MU!O17+UMKC!O17+UMSL!O17</f>
        <v>98</v>
      </c>
      <c r="P17" s="17">
        <f>MU!P17+UMKC!P17+UMSL!P17</f>
        <v>135</v>
      </c>
      <c r="Q17" s="17">
        <f>MU!Q17+UMKC!Q17+UMSL!Q17</f>
        <v>58</v>
      </c>
      <c r="R17" s="17">
        <f>MU!R17+UMKC!R17+UMSL!R17</f>
        <v>70</v>
      </c>
      <c r="S17" s="17">
        <f>MU!S17+UMKC!S17+UMSL!S17</f>
        <v>27</v>
      </c>
      <c r="T17" s="17">
        <f>MU!T17+UMKC!T17+UMSL!T17</f>
        <v>100</v>
      </c>
      <c r="U17" s="17">
        <f>MU!U17+UMKC!U17+UMSL!U17</f>
        <v>80</v>
      </c>
      <c r="V17" s="17">
        <f>MU!V17+UMKC!V17+UMSL!V17</f>
        <v>441</v>
      </c>
      <c r="W17" s="17">
        <f>MU!W17+UMKC!W17+UMSL!W17</f>
        <v>780</v>
      </c>
      <c r="X17" s="17">
        <f>MU!X17+UMKC!X17+UMSL!X17</f>
        <v>388.5</v>
      </c>
      <c r="Y17" s="17">
        <f>MU!Y17+UMKC!Y17+UMSL!Y17</f>
        <v>341</v>
      </c>
      <c r="Z17" s="17">
        <f>MU!Z17+UMKC!Z17+UMSL!Z17</f>
        <v>440</v>
      </c>
      <c r="AA17" s="17">
        <f>MU!AA17+UMKC!AA17+UMSL!AA17</f>
        <v>385</v>
      </c>
      <c r="AB17" s="17">
        <f>MU!AB17+UMKC!AB17+UMSL!AB17</f>
        <v>545</v>
      </c>
      <c r="AC17" s="17">
        <f>MU!AC17+UMKC!AC17+UMSL!AC17</f>
        <v>600</v>
      </c>
      <c r="AD17" s="17">
        <f>MU!AD17+UMKC!AD17+UMSL!AD17</f>
        <v>764</v>
      </c>
      <c r="AE17" s="17">
        <f>MU!AE17+UMKC!AE17+UMSL!AE17</f>
        <v>2037.5</v>
      </c>
      <c r="AF17" s="17">
        <f>MU!AF17+UMKC!AF17+UMSL!AF17</f>
        <v>4493.5</v>
      </c>
      <c r="AG17" s="17">
        <f>MU!AG17+UMKC!AG17+UMSL!AG17</f>
        <v>5683.5</v>
      </c>
      <c r="AH17" s="17">
        <f>MU!AH17+UMKC!AH17+UMSL!AH17</f>
        <v>5938.5</v>
      </c>
      <c r="AI17" s="17">
        <f>MU!AI17+UMKC!AI17+UMSL!AI17</f>
        <v>6677.5</v>
      </c>
      <c r="AJ17" s="17">
        <f>MU!AJ17+UMKC!AJ17+UMSL!AJ17</f>
        <v>6960.5</v>
      </c>
      <c r="AK17" s="17">
        <f>MU!AK17+UMKC!AK17+UMSL!AK17</f>
        <v>6679</v>
      </c>
      <c r="AL17" s="17">
        <f>MU!AL17+UMKC!AL17+UMSL!AL17</f>
        <v>7177</v>
      </c>
      <c r="AM17" s="17">
        <f>MU!AM17+UMKC!AM17+UMSL!AM17</f>
        <v>7793.5</v>
      </c>
      <c r="AN17" s="17">
        <f>MU!AN17+UMKC!AN17+UMSL!AN17</f>
        <v>8521</v>
      </c>
      <c r="AO17" s="17">
        <f>MU!AO17+UMKC!AO17+UMSL!AO17</f>
        <v>10258.5</v>
      </c>
      <c r="AP17" s="17">
        <f>MU!AP17+UMKC!AP17+UMSL!AP17</f>
        <v>10190</v>
      </c>
      <c r="AQ17" s="7"/>
    </row>
    <row r="18" spans="1:43" ht="13.5" customHeight="1" x14ac:dyDescent="0.2">
      <c r="A18" s="4"/>
      <c r="B18" s="16"/>
      <c r="C18" s="68" t="s">
        <v>47</v>
      </c>
      <c r="D18" s="21"/>
      <c r="E18" s="21"/>
      <c r="F18" s="21"/>
      <c r="G18" s="21"/>
      <c r="H18" s="21"/>
      <c r="I18" s="19">
        <f>MU!I18+UMKC!I18+'S&amp;T'!I16+UMSL!I18</f>
        <v>11119</v>
      </c>
      <c r="J18" s="19">
        <f>MU!J18+UMKC!J18+'S&amp;T'!J16+UMSL!J18</f>
        <v>11545</v>
      </c>
      <c r="K18" s="19">
        <f>MU!K18+UMKC!K18+'S&amp;T'!K16+UMSL!K18</f>
        <v>16347</v>
      </c>
      <c r="L18" s="19">
        <f>MU!L18+UMKC!L18+'S&amp;T'!L16+UMSL!L18</f>
        <v>16244</v>
      </c>
      <c r="M18" s="19">
        <f>MU!M18+UMKC!M18+'S&amp;T'!M16+UMSL!M18</f>
        <v>15032</v>
      </c>
      <c r="N18" s="21"/>
      <c r="O18" s="19">
        <f>MU!O18+UMKC!O18+'S&amp;T'!O16+UMSL!O18</f>
        <v>22288</v>
      </c>
      <c r="P18" s="19">
        <f>MU!P18+UMKC!P18+'S&amp;T'!P16+UMSL!P18</f>
        <v>19207</v>
      </c>
      <c r="Q18" s="19">
        <f>MU!Q18+UMKC!Q18+'S&amp;T'!Q16+UMSL!Q18</f>
        <v>19991</v>
      </c>
      <c r="R18" s="19">
        <f>MU!R18+UMKC!R18+'S&amp;T'!R16+UMSL!R18</f>
        <v>20553</v>
      </c>
      <c r="S18" s="19">
        <f>MU!S18+UMKC!S18+'S&amp;T'!S16+UMSL!S18</f>
        <v>22022</v>
      </c>
      <c r="T18" s="19">
        <f>MU!T18+UMKC!T18+'S&amp;T'!T16+UMSL!T18</f>
        <v>20333</v>
      </c>
      <c r="U18" s="19">
        <f>MU!U18+UMKC!U18+'S&amp;T'!U16+UMSL!U18</f>
        <v>20051</v>
      </c>
      <c r="V18" s="19">
        <f>MU!V18+UMKC!V18+'S&amp;T'!V16+UMSL!V18</f>
        <v>20042</v>
      </c>
      <c r="W18" s="19">
        <f>MU!W18+UMKC!W18+'S&amp;T'!W16+UMSL!W18</f>
        <v>18818</v>
      </c>
      <c r="X18" s="19">
        <f>MU!X18+UMKC!X18+'S&amp;T'!X16+UMSL!X18</f>
        <v>23928</v>
      </c>
      <c r="Y18" s="19">
        <f>MU!Y18+UMKC!Y18+'S&amp;T'!Y16+UMSL!Y18</f>
        <v>27836</v>
      </c>
      <c r="Z18" s="19">
        <f>MU!Z18+UMKC!Z18+'S&amp;T'!Z16+UMSL!Z18</f>
        <v>26555</v>
      </c>
      <c r="AA18" s="19">
        <f>MU!AA18+UMKC!AA18+'S&amp;T'!AA16+UMSL!AA18</f>
        <v>29315</v>
      </c>
      <c r="AB18" s="19">
        <f>MU!AB18+UMKC!AB18+'S&amp;T'!AB16+UMSL!AB18</f>
        <v>30654</v>
      </c>
      <c r="AC18" s="19">
        <f>MU!AC18+UMKC!AC18+'S&amp;T'!AC16+UMSL!AC18</f>
        <v>31302</v>
      </c>
      <c r="AD18" s="19">
        <f>MU!AD18+UMKC!AD18+'S&amp;T'!AD16+UMSL!AD18</f>
        <v>33406</v>
      </c>
      <c r="AE18" s="19">
        <f>MU!AE18+UMKC!AE18+'S&amp;T'!AE16+UMSL!AE18</f>
        <v>37828.5</v>
      </c>
      <c r="AF18" s="19">
        <f>MU!AF18+UMKC!AF18+'S&amp;T'!AF16+UMSL!AF18</f>
        <v>46373</v>
      </c>
      <c r="AG18" s="19">
        <f>MU!AG18+UMKC!AG18+'S&amp;T'!AG16+UMSL!AG18</f>
        <v>52042.5</v>
      </c>
      <c r="AH18" s="19">
        <f>MU!AH18+UMKC!AH18+'S&amp;T'!AH16+UMSL!AH18</f>
        <v>54528.5</v>
      </c>
      <c r="AI18" s="19">
        <f>MU!AI18+UMKC!AI18+'S&amp;T'!AI16+UMSL!AI18</f>
        <v>57357</v>
      </c>
      <c r="AJ18" s="19">
        <f>MU!AJ18+UMKC!AJ18+'S&amp;T'!AJ16+UMSL!AJ18</f>
        <v>56875.5</v>
      </c>
      <c r="AK18" s="19">
        <f>MU!AK18+UMKC!AK18+'S&amp;T'!AK16+UMSL!AK18</f>
        <v>57608.5</v>
      </c>
      <c r="AL18" s="19">
        <f>MU!AL18+UMKC!AL18+'S&amp;T'!AL16+UMSL!AL18</f>
        <v>60723.5</v>
      </c>
      <c r="AM18" s="19">
        <f>MU!AM18+UMKC!AM18+'S&amp;T'!AM16+UMSL!AM18</f>
        <v>62998</v>
      </c>
      <c r="AN18" s="19">
        <f>MU!AN18+UMKC!AN18+'S&amp;T'!AN16+UMSL!AN18</f>
        <v>64643</v>
      </c>
      <c r="AO18" s="19">
        <f>MU!AO18+UMKC!AO18+'S&amp;T'!AO16+UMSL!AO18</f>
        <v>68471.5</v>
      </c>
      <c r="AP18" s="19">
        <f>MU!AP18+UMKC!AP18+'S&amp;T'!AP16+UMSL!AP18</f>
        <v>78948.5</v>
      </c>
      <c r="AQ18" s="7"/>
    </row>
    <row r="19" spans="1:43" ht="13.5" customHeight="1" x14ac:dyDescent="0.2">
      <c r="A19" s="4"/>
      <c r="B19" s="16"/>
      <c r="C19" s="16"/>
      <c r="D19" s="18"/>
      <c r="E19" s="18"/>
      <c r="F19" s="18"/>
      <c r="G19" s="18"/>
      <c r="H19" s="18"/>
      <c r="I19" s="18">
        <f>SUM(I16:I18)</f>
        <v>34105</v>
      </c>
      <c r="J19" s="18">
        <f>SUM(J16:J18)</f>
        <v>32864</v>
      </c>
      <c r="K19" s="18">
        <f>SUM(K16:K18)</f>
        <v>29239</v>
      </c>
      <c r="L19" s="18">
        <f>SUM(L16:L18)</f>
        <v>26375</v>
      </c>
      <c r="M19" s="18">
        <f>SUM(M16:M18)</f>
        <v>27683</v>
      </c>
      <c r="N19" s="18"/>
      <c r="O19" s="18">
        <f t="shared" ref="O19:AA19" si="6">SUM(O16:O18)</f>
        <v>65415</v>
      </c>
      <c r="P19" s="18">
        <f t="shared" si="6"/>
        <v>60233</v>
      </c>
      <c r="Q19" s="18">
        <f t="shared" si="6"/>
        <v>61715</v>
      </c>
      <c r="R19" s="17">
        <f t="shared" si="6"/>
        <v>63821</v>
      </c>
      <c r="S19" s="17">
        <f t="shared" si="6"/>
        <v>64170</v>
      </c>
      <c r="T19" s="17">
        <f t="shared" si="6"/>
        <v>63204</v>
      </c>
      <c r="U19" s="17">
        <f t="shared" si="6"/>
        <v>64757</v>
      </c>
      <c r="V19" s="17">
        <f t="shared" si="6"/>
        <v>69953</v>
      </c>
      <c r="W19" s="17">
        <f t="shared" si="6"/>
        <v>72012</v>
      </c>
      <c r="X19" s="17">
        <f t="shared" si="6"/>
        <v>77959.5</v>
      </c>
      <c r="Y19" s="17">
        <f t="shared" si="6"/>
        <v>88963</v>
      </c>
      <c r="Z19" s="17">
        <f t="shared" si="6"/>
        <v>88251</v>
      </c>
      <c r="AA19" s="17">
        <f t="shared" si="6"/>
        <v>93598</v>
      </c>
      <c r="AB19" s="17">
        <f t="shared" ref="AB19:AK19" si="7">SUM(AB16:AB18)</f>
        <v>98697</v>
      </c>
      <c r="AC19" s="17">
        <f t="shared" si="7"/>
        <v>105749</v>
      </c>
      <c r="AD19" s="17">
        <f t="shared" si="7"/>
        <v>110676</v>
      </c>
      <c r="AE19" s="17">
        <f t="shared" si="7"/>
        <v>120633</v>
      </c>
      <c r="AF19" s="17">
        <f t="shared" si="7"/>
        <v>156999.5</v>
      </c>
      <c r="AG19" s="17">
        <f t="shared" si="7"/>
        <v>186959</v>
      </c>
      <c r="AH19" s="17">
        <f t="shared" si="7"/>
        <v>203613.5</v>
      </c>
      <c r="AI19" s="17">
        <f t="shared" si="7"/>
        <v>201691</v>
      </c>
      <c r="AJ19" s="17">
        <f t="shared" si="7"/>
        <v>234035.75</v>
      </c>
      <c r="AK19" s="17">
        <f t="shared" si="7"/>
        <v>252923</v>
      </c>
      <c r="AL19" s="17">
        <f t="shared" ref="AL19:AM19" si="8">SUM(AL16:AL18)</f>
        <v>272859.5</v>
      </c>
      <c r="AM19" s="17">
        <f t="shared" si="8"/>
        <v>284932</v>
      </c>
      <c r="AN19" s="17">
        <f t="shared" ref="AN19:AO19" si="9">SUM(AN16:AN18)</f>
        <v>293935</v>
      </c>
      <c r="AO19" s="17">
        <f t="shared" si="9"/>
        <v>305060.5</v>
      </c>
      <c r="AP19" s="17">
        <f t="shared" ref="AP19" si="10">SUM(AP16:AP18)</f>
        <v>317747</v>
      </c>
      <c r="AQ19" s="7"/>
    </row>
    <row r="20" spans="1:43" ht="13.5" customHeight="1" x14ac:dyDescent="0.2">
      <c r="A20" s="4"/>
      <c r="B20" s="16"/>
      <c r="C20" s="16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16"/>
      <c r="P20" s="16"/>
      <c r="Q20" s="16"/>
      <c r="R20" s="16"/>
      <c r="S20" s="24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7"/>
    </row>
    <row r="21" spans="1:43" ht="13.5" customHeight="1" x14ac:dyDescent="0.2">
      <c r="A21" s="8"/>
      <c r="B21" s="66" t="s">
        <v>38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7"/>
    </row>
    <row r="22" spans="1:43" ht="13.5" customHeight="1" x14ac:dyDescent="0.2">
      <c r="A22" s="4"/>
      <c r="B22" s="16"/>
      <c r="C22" s="68" t="s">
        <v>36</v>
      </c>
      <c r="D22" s="17">
        <f t="shared" ref="D22:G22" si="11">D10</f>
        <v>1063386</v>
      </c>
      <c r="E22" s="17">
        <f t="shared" si="11"/>
        <v>1112660</v>
      </c>
      <c r="F22" s="17">
        <f t="shared" si="11"/>
        <v>1099411</v>
      </c>
      <c r="G22" s="17">
        <f t="shared" si="11"/>
        <v>1052586</v>
      </c>
      <c r="H22" s="17">
        <f>H10</f>
        <v>1010598</v>
      </c>
      <c r="I22" s="18">
        <f t="shared" ref="I22:M22" si="12">I10+I16</f>
        <v>1000285</v>
      </c>
      <c r="J22" s="18">
        <f t="shared" si="12"/>
        <v>983295</v>
      </c>
      <c r="K22" s="18">
        <f t="shared" si="12"/>
        <v>976831</v>
      </c>
      <c r="L22" s="18">
        <f t="shared" si="12"/>
        <v>992042</v>
      </c>
      <c r="M22" s="18">
        <f t="shared" si="12"/>
        <v>1012435</v>
      </c>
      <c r="N22" s="17"/>
      <c r="O22" s="18">
        <f t="shared" ref="O22:U22" si="13">O10+O16</f>
        <v>1014078</v>
      </c>
      <c r="P22" s="18">
        <f t="shared" si="13"/>
        <v>954801</v>
      </c>
      <c r="Q22" s="18">
        <f t="shared" si="13"/>
        <v>917515</v>
      </c>
      <c r="R22" s="18">
        <f t="shared" si="13"/>
        <v>922417</v>
      </c>
      <c r="S22" s="18">
        <f t="shared" si="13"/>
        <v>940964</v>
      </c>
      <c r="T22" s="18">
        <f t="shared" si="13"/>
        <v>957873</v>
      </c>
      <c r="U22" s="18">
        <f t="shared" si="13"/>
        <v>965725</v>
      </c>
      <c r="V22" s="18">
        <f t="shared" ref="V22:AE22" si="14">V10+V16</f>
        <v>983548.5</v>
      </c>
      <c r="W22" s="18">
        <f t="shared" si="14"/>
        <v>983982</v>
      </c>
      <c r="X22" s="18">
        <f t="shared" si="14"/>
        <v>989914.5</v>
      </c>
      <c r="Y22" s="18">
        <f t="shared" si="14"/>
        <v>1026077.5</v>
      </c>
      <c r="Z22" s="18">
        <f t="shared" si="14"/>
        <v>1062726.5</v>
      </c>
      <c r="AA22" s="18">
        <f t="shared" si="14"/>
        <v>1092450</v>
      </c>
      <c r="AB22" s="18">
        <f t="shared" si="14"/>
        <v>1117948</v>
      </c>
      <c r="AC22" s="18">
        <f t="shared" si="14"/>
        <v>1153574</v>
      </c>
      <c r="AD22" s="18">
        <f t="shared" si="14"/>
        <v>1166209</v>
      </c>
      <c r="AE22" s="18">
        <f t="shared" si="14"/>
        <v>1177595</v>
      </c>
      <c r="AF22" s="18">
        <f t="shared" ref="AF22:AJ22" si="15">AF10+AF16</f>
        <v>1204407.5</v>
      </c>
      <c r="AG22" s="18">
        <f t="shared" si="15"/>
        <v>1282550.5</v>
      </c>
      <c r="AH22" s="18">
        <f t="shared" si="15"/>
        <v>1337475</v>
      </c>
      <c r="AI22" s="18">
        <f t="shared" si="15"/>
        <v>1366576.25</v>
      </c>
      <c r="AJ22" s="18">
        <f t="shared" si="15"/>
        <v>1409571.75</v>
      </c>
      <c r="AK22" s="18">
        <f t="shared" ref="AK22:AL24" si="16">AK10+AK16</f>
        <v>1418860.5</v>
      </c>
      <c r="AL22" s="18">
        <f t="shared" si="16"/>
        <v>1443128.5</v>
      </c>
      <c r="AM22" s="18">
        <f t="shared" ref="AM22" si="17">AM10+AM16</f>
        <v>1442698</v>
      </c>
      <c r="AN22" s="18">
        <f t="shared" ref="AN22:AO22" si="18">AN10+AN16</f>
        <v>1385401.5</v>
      </c>
      <c r="AO22" s="18">
        <f t="shared" si="18"/>
        <v>1324662.5</v>
      </c>
      <c r="AP22" s="18">
        <f t="shared" ref="AP22" si="19">AP10+AP16</f>
        <v>1271504.5</v>
      </c>
      <c r="AQ22" s="7"/>
    </row>
    <row r="23" spans="1:43" ht="13.5" customHeight="1" x14ac:dyDescent="0.2">
      <c r="A23" s="4"/>
      <c r="B23" s="16"/>
      <c r="C23" s="68" t="s">
        <v>46</v>
      </c>
      <c r="D23" s="17">
        <f t="shared" ref="D23:G23" si="20">D11</f>
        <v>99774</v>
      </c>
      <c r="E23" s="17">
        <f t="shared" si="20"/>
        <v>104332</v>
      </c>
      <c r="F23" s="17">
        <f t="shared" si="20"/>
        <v>109339</v>
      </c>
      <c r="G23" s="17">
        <f t="shared" si="20"/>
        <v>107880</v>
      </c>
      <c r="H23" s="17">
        <f>H11</f>
        <v>105923</v>
      </c>
      <c r="I23" s="18">
        <f t="shared" ref="I23:M23" si="21">I11+I17</f>
        <v>106108</v>
      </c>
      <c r="J23" s="18">
        <f t="shared" si="21"/>
        <v>104735</v>
      </c>
      <c r="K23" s="18">
        <f t="shared" si="21"/>
        <v>104459</v>
      </c>
      <c r="L23" s="18">
        <f t="shared" si="21"/>
        <v>103914</v>
      </c>
      <c r="M23" s="18">
        <f t="shared" si="21"/>
        <v>102116</v>
      </c>
      <c r="N23" s="17"/>
      <c r="O23" s="18">
        <f t="shared" ref="O23:U23" si="22">O11+O17</f>
        <v>99527</v>
      </c>
      <c r="P23" s="18">
        <f t="shared" si="22"/>
        <v>100015</v>
      </c>
      <c r="Q23" s="18">
        <f t="shared" si="22"/>
        <v>98615</v>
      </c>
      <c r="R23" s="18">
        <f t="shared" si="22"/>
        <v>98947</v>
      </c>
      <c r="S23" s="18">
        <f t="shared" si="22"/>
        <v>97533</v>
      </c>
      <c r="T23" s="18">
        <f t="shared" si="22"/>
        <v>99026</v>
      </c>
      <c r="U23" s="18">
        <f t="shared" si="22"/>
        <v>100287</v>
      </c>
      <c r="V23" s="18">
        <f t="shared" ref="V23:AE23" si="23">V11+V17</f>
        <v>104411.5</v>
      </c>
      <c r="W23" s="18">
        <f t="shared" si="23"/>
        <v>104446</v>
      </c>
      <c r="X23" s="18">
        <f t="shared" si="23"/>
        <v>105968.5</v>
      </c>
      <c r="Y23" s="18">
        <f t="shared" si="23"/>
        <v>104287</v>
      </c>
      <c r="Z23" s="18">
        <f t="shared" si="23"/>
        <v>114132</v>
      </c>
      <c r="AA23" s="18">
        <f t="shared" si="23"/>
        <v>103755</v>
      </c>
      <c r="AB23" s="18">
        <f t="shared" si="23"/>
        <v>106022</v>
      </c>
      <c r="AC23" s="18">
        <f t="shared" si="23"/>
        <v>109216</v>
      </c>
      <c r="AD23" s="18">
        <f t="shared" si="23"/>
        <v>107978</v>
      </c>
      <c r="AE23" s="18">
        <f t="shared" si="23"/>
        <v>110158.5</v>
      </c>
      <c r="AF23" s="18">
        <f t="shared" ref="AF23:AJ23" si="24">AF11+AF17</f>
        <v>112729.5</v>
      </c>
      <c r="AG23" s="18">
        <f t="shared" si="24"/>
        <v>118851.5</v>
      </c>
      <c r="AH23" s="18">
        <f t="shared" si="24"/>
        <v>124702.5</v>
      </c>
      <c r="AI23" s="18">
        <f t="shared" si="24"/>
        <v>124834.5</v>
      </c>
      <c r="AJ23" s="18">
        <f t="shared" si="24"/>
        <v>129440</v>
      </c>
      <c r="AK23" s="18">
        <f t="shared" si="16"/>
        <v>129155</v>
      </c>
      <c r="AL23" s="18">
        <f t="shared" si="16"/>
        <v>129801</v>
      </c>
      <c r="AM23" s="18">
        <f t="shared" ref="AM23" si="25">AM11+AM17</f>
        <v>128627</v>
      </c>
      <c r="AN23" s="18">
        <f t="shared" ref="AN23:AO23" si="26">AN11+AN17</f>
        <v>128675.5</v>
      </c>
      <c r="AO23" s="18">
        <f t="shared" si="26"/>
        <v>130878.5</v>
      </c>
      <c r="AP23" s="18">
        <f t="shared" ref="AP23" si="27">AP11+AP17</f>
        <v>137944.5</v>
      </c>
      <c r="AQ23" s="7"/>
    </row>
    <row r="24" spans="1:43" ht="13.5" customHeight="1" x14ac:dyDescent="0.2">
      <c r="A24" s="4"/>
      <c r="B24" s="16"/>
      <c r="C24" s="68" t="s">
        <v>47</v>
      </c>
      <c r="D24" s="19">
        <f t="shared" ref="D24:G24" si="28">D12</f>
        <v>165914</v>
      </c>
      <c r="E24" s="19">
        <f t="shared" si="28"/>
        <v>164284</v>
      </c>
      <c r="F24" s="19">
        <f t="shared" si="28"/>
        <v>156063</v>
      </c>
      <c r="G24" s="19">
        <f t="shared" si="28"/>
        <v>155559</v>
      </c>
      <c r="H24" s="19">
        <f>H12</f>
        <v>154387</v>
      </c>
      <c r="I24" s="21">
        <f t="shared" ref="I24:M24" si="29">I12+I18</f>
        <v>165586</v>
      </c>
      <c r="J24" s="21">
        <f t="shared" si="29"/>
        <v>172863</v>
      </c>
      <c r="K24" s="21">
        <f t="shared" si="29"/>
        <v>181953</v>
      </c>
      <c r="L24" s="21">
        <f t="shared" si="29"/>
        <v>184803</v>
      </c>
      <c r="M24" s="21">
        <f t="shared" si="29"/>
        <v>187876</v>
      </c>
      <c r="N24" s="19"/>
      <c r="O24" s="21">
        <f t="shared" ref="O24:U24" si="30">O12+O18</f>
        <v>196389</v>
      </c>
      <c r="P24" s="21">
        <f t="shared" si="30"/>
        <v>187286</v>
      </c>
      <c r="Q24" s="21">
        <f t="shared" si="30"/>
        <v>184318</v>
      </c>
      <c r="R24" s="21">
        <f t="shared" si="30"/>
        <v>182999</v>
      </c>
      <c r="S24" s="21">
        <f t="shared" si="30"/>
        <v>187152</v>
      </c>
      <c r="T24" s="21">
        <f t="shared" si="30"/>
        <v>176388</v>
      </c>
      <c r="U24" s="21">
        <f t="shared" si="30"/>
        <v>170248.5</v>
      </c>
      <c r="V24" s="21">
        <f t="shared" ref="V24:AE24" si="31">V12+V18</f>
        <v>167671.5</v>
      </c>
      <c r="W24" s="21">
        <f t="shared" si="31"/>
        <v>168888</v>
      </c>
      <c r="X24" s="21">
        <f t="shared" si="31"/>
        <v>182823.5</v>
      </c>
      <c r="Y24" s="21">
        <f t="shared" si="31"/>
        <v>192424.5</v>
      </c>
      <c r="Z24" s="21">
        <f t="shared" si="31"/>
        <v>201085</v>
      </c>
      <c r="AA24" s="21">
        <f t="shared" si="31"/>
        <v>199470</v>
      </c>
      <c r="AB24" s="21">
        <f t="shared" si="31"/>
        <v>196948</v>
      </c>
      <c r="AC24" s="21">
        <f t="shared" si="31"/>
        <v>202828</v>
      </c>
      <c r="AD24" s="21">
        <f t="shared" si="31"/>
        <v>206942</v>
      </c>
      <c r="AE24" s="21">
        <f t="shared" si="31"/>
        <v>210635</v>
      </c>
      <c r="AF24" s="21">
        <f t="shared" ref="AF24:AJ24" si="32">AF12+AF18</f>
        <v>212767.5</v>
      </c>
      <c r="AG24" s="21">
        <f t="shared" si="32"/>
        <v>233130.5</v>
      </c>
      <c r="AH24" s="21">
        <f t="shared" si="32"/>
        <v>237950</v>
      </c>
      <c r="AI24" s="21">
        <f t="shared" si="32"/>
        <v>243561.25</v>
      </c>
      <c r="AJ24" s="21">
        <f t="shared" si="32"/>
        <v>237785.5</v>
      </c>
      <c r="AK24" s="21">
        <f t="shared" si="16"/>
        <v>241498.5</v>
      </c>
      <c r="AL24" s="21">
        <f t="shared" si="16"/>
        <v>246462</v>
      </c>
      <c r="AM24" s="21">
        <f t="shared" ref="AM24" si="33">AM12+AM18</f>
        <v>243067.5</v>
      </c>
      <c r="AN24" s="21">
        <f t="shared" ref="AN24:AO24" si="34">AN12+AN18</f>
        <v>231410.5</v>
      </c>
      <c r="AO24" s="21">
        <f t="shared" si="34"/>
        <v>221285</v>
      </c>
      <c r="AP24" s="21">
        <f t="shared" ref="AP24" si="35">AP12+AP18</f>
        <v>217181</v>
      </c>
      <c r="AQ24" s="7"/>
    </row>
    <row r="25" spans="1:43" ht="13.5" customHeight="1" x14ac:dyDescent="0.2">
      <c r="A25" s="4"/>
      <c r="B25" s="16"/>
      <c r="C25" s="16"/>
      <c r="D25" s="18">
        <f t="shared" ref="D25:M25" si="36">SUM(D22:D24)</f>
        <v>1329074</v>
      </c>
      <c r="E25" s="18">
        <f t="shared" si="36"/>
        <v>1381276</v>
      </c>
      <c r="F25" s="18">
        <f t="shared" si="36"/>
        <v>1364813</v>
      </c>
      <c r="G25" s="18">
        <f t="shared" si="36"/>
        <v>1316025</v>
      </c>
      <c r="H25" s="18">
        <f t="shared" si="36"/>
        <v>1270908</v>
      </c>
      <c r="I25" s="18">
        <f t="shared" si="36"/>
        <v>1271979</v>
      </c>
      <c r="J25" s="18">
        <f t="shared" si="36"/>
        <v>1260893</v>
      </c>
      <c r="K25" s="18">
        <f t="shared" si="36"/>
        <v>1263243</v>
      </c>
      <c r="L25" s="18">
        <f t="shared" si="36"/>
        <v>1280759</v>
      </c>
      <c r="M25" s="18">
        <f t="shared" si="36"/>
        <v>1302427</v>
      </c>
      <c r="N25" s="17"/>
      <c r="O25" s="18">
        <f t="shared" ref="O25:AD25" si="37">SUM(O22:O24)</f>
        <v>1309994</v>
      </c>
      <c r="P25" s="18">
        <f t="shared" si="37"/>
        <v>1242102</v>
      </c>
      <c r="Q25" s="18">
        <f t="shared" si="37"/>
        <v>1200448</v>
      </c>
      <c r="R25" s="17">
        <f t="shared" si="37"/>
        <v>1204363</v>
      </c>
      <c r="S25" s="17">
        <f t="shared" si="37"/>
        <v>1225649</v>
      </c>
      <c r="T25" s="17">
        <f t="shared" si="37"/>
        <v>1233287</v>
      </c>
      <c r="U25" s="17">
        <f t="shared" si="37"/>
        <v>1236260.5</v>
      </c>
      <c r="V25" s="17">
        <f t="shared" si="37"/>
        <v>1255631.5</v>
      </c>
      <c r="W25" s="17">
        <f t="shared" si="37"/>
        <v>1257316</v>
      </c>
      <c r="X25" s="17">
        <f t="shared" si="37"/>
        <v>1278706.5</v>
      </c>
      <c r="Y25" s="17">
        <f t="shared" si="37"/>
        <v>1322789</v>
      </c>
      <c r="Z25" s="17">
        <f t="shared" si="37"/>
        <v>1377943.5</v>
      </c>
      <c r="AA25" s="17">
        <f t="shared" si="37"/>
        <v>1395675</v>
      </c>
      <c r="AB25" s="17">
        <f t="shared" si="37"/>
        <v>1420918</v>
      </c>
      <c r="AC25" s="17">
        <f t="shared" si="37"/>
        <v>1465618</v>
      </c>
      <c r="AD25" s="17">
        <f t="shared" si="37"/>
        <v>1481129</v>
      </c>
      <c r="AE25" s="17">
        <f t="shared" ref="AE25:AK25" si="38">SUM(AE22:AE24)</f>
        <v>1498388.5</v>
      </c>
      <c r="AF25" s="17">
        <f t="shared" si="38"/>
        <v>1529904.5</v>
      </c>
      <c r="AG25" s="17">
        <f t="shared" si="38"/>
        <v>1634532.5</v>
      </c>
      <c r="AH25" s="17">
        <f t="shared" si="38"/>
        <v>1700127.5</v>
      </c>
      <c r="AI25" s="17">
        <f t="shared" si="38"/>
        <v>1734972</v>
      </c>
      <c r="AJ25" s="17">
        <f t="shared" si="38"/>
        <v>1776797.25</v>
      </c>
      <c r="AK25" s="17">
        <f t="shared" si="38"/>
        <v>1789514</v>
      </c>
      <c r="AL25" s="17">
        <f t="shared" ref="AL25:AM25" si="39">SUM(AL22:AL24)</f>
        <v>1819391.5</v>
      </c>
      <c r="AM25" s="17">
        <f t="shared" si="39"/>
        <v>1814392.5</v>
      </c>
      <c r="AN25" s="17">
        <f t="shared" ref="AN25:AO25" si="40">SUM(AN22:AN24)</f>
        <v>1745487.5</v>
      </c>
      <c r="AO25" s="17">
        <f t="shared" si="40"/>
        <v>1676826</v>
      </c>
      <c r="AP25" s="17">
        <f t="shared" ref="AP25" si="41">SUM(AP22:AP24)</f>
        <v>1626630</v>
      </c>
      <c r="AQ25" s="7"/>
    </row>
    <row r="26" spans="1:43" ht="13.5" customHeight="1" x14ac:dyDescent="0.2">
      <c r="A26" s="4"/>
      <c r="B26" s="34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7"/>
    </row>
    <row r="27" spans="1:43" ht="13.5" customHeight="1" x14ac:dyDescent="0.2">
      <c r="A27" s="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7"/>
    </row>
    <row r="28" spans="1:43" ht="13.5" customHeight="1" x14ac:dyDescent="0.2">
      <c r="A28" s="4"/>
      <c r="B28" s="16" t="s">
        <v>50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7"/>
    </row>
    <row r="29" spans="1:43" ht="13.5" customHeight="1" x14ac:dyDescent="0.2">
      <c r="A29" s="4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7"/>
    </row>
    <row r="30" spans="1:43" ht="13.5" customHeight="1" x14ac:dyDescent="0.2">
      <c r="A30" s="33"/>
      <c r="B30" s="34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6"/>
      <c r="AG30" s="36"/>
      <c r="AH30" s="36"/>
      <c r="AI30" s="36"/>
      <c r="AJ30" s="36"/>
      <c r="AK30" s="48"/>
      <c r="AL30" s="48"/>
      <c r="AM30" s="48"/>
      <c r="AN30" s="48"/>
      <c r="AO30" s="48"/>
      <c r="AP30" s="48" t="s">
        <v>54</v>
      </c>
      <c r="AQ30" s="37"/>
    </row>
  </sheetData>
  <mergeCells count="1">
    <mergeCell ref="A2:AQ2"/>
  </mergeCells>
  <printOptions horizontalCentered="1"/>
  <pageMargins left="0.7" right="0.45" top="0.5" bottom="0.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workbookViewId="0"/>
  </sheetViews>
  <sheetFormatPr defaultColWidth="8.42578125" defaultRowHeight="13.5" customHeight="1" x14ac:dyDescent="0.2"/>
  <cols>
    <col min="1" max="2" width="2.7109375" style="3" customWidth="1"/>
    <col min="3" max="3" width="23.7109375" style="3" customWidth="1"/>
    <col min="4" max="22" width="10.7109375" style="3" hidden="1" customWidth="1"/>
    <col min="23" max="36" width="10.7109375" style="38" hidden="1" customWidth="1"/>
    <col min="37" max="42" width="10.7109375" style="38" customWidth="1"/>
    <col min="43" max="43" width="2.7109375" style="3" customWidth="1"/>
    <col min="44" max="16384" width="8.42578125" style="3"/>
  </cols>
  <sheetData>
    <row r="1" spans="1:43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1"/>
    </row>
    <row r="2" spans="1:43" ht="15" customHeight="1" x14ac:dyDescent="0.2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1"/>
    </row>
    <row r="3" spans="1:43" ht="13.5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</row>
    <row r="4" spans="1:43" ht="15" customHeight="1" x14ac:dyDescent="0.25">
      <c r="A4" s="8"/>
      <c r="B4" s="39" t="s">
        <v>41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7"/>
    </row>
    <row r="5" spans="1:43" ht="15" customHeight="1" x14ac:dyDescent="0.25">
      <c r="A5" s="8"/>
      <c r="B5" s="39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7"/>
    </row>
    <row r="6" spans="1:43" ht="13.5" customHeight="1" thickBot="1" x14ac:dyDescent="0.25">
      <c r="A6" s="8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7"/>
    </row>
    <row r="7" spans="1:43" ht="13.5" customHeight="1" thickTop="1" x14ac:dyDescent="0.2">
      <c r="A7" s="4"/>
      <c r="B7" s="13"/>
      <c r="C7" s="13"/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14" t="s">
        <v>13</v>
      </c>
      <c r="P7" s="14" t="s">
        <v>14</v>
      </c>
      <c r="Q7" s="14" t="s">
        <v>15</v>
      </c>
      <c r="R7" s="14" t="s">
        <v>16</v>
      </c>
      <c r="S7" s="14" t="s">
        <v>17</v>
      </c>
      <c r="T7" s="14" t="s">
        <v>18</v>
      </c>
      <c r="U7" s="14" t="s">
        <v>19</v>
      </c>
      <c r="V7" s="14" t="s">
        <v>20</v>
      </c>
      <c r="W7" s="15" t="s">
        <v>21</v>
      </c>
      <c r="X7" s="15" t="s">
        <v>22</v>
      </c>
      <c r="Y7" s="15" t="s">
        <v>23</v>
      </c>
      <c r="Z7" s="15" t="s">
        <v>24</v>
      </c>
      <c r="AA7" s="15" t="s">
        <v>25</v>
      </c>
      <c r="AB7" s="15" t="s">
        <v>26</v>
      </c>
      <c r="AC7" s="15" t="s">
        <v>27</v>
      </c>
      <c r="AD7" s="15" t="s">
        <v>28</v>
      </c>
      <c r="AE7" s="15" t="s">
        <v>29</v>
      </c>
      <c r="AF7" s="15" t="s">
        <v>30</v>
      </c>
      <c r="AG7" s="15" t="s">
        <v>31</v>
      </c>
      <c r="AH7" s="15" t="s">
        <v>32</v>
      </c>
      <c r="AI7" s="15" t="s">
        <v>33</v>
      </c>
      <c r="AJ7" s="15" t="s">
        <v>34</v>
      </c>
      <c r="AK7" s="15" t="s">
        <v>39</v>
      </c>
      <c r="AL7" s="15" t="s">
        <v>48</v>
      </c>
      <c r="AM7" s="15" t="s">
        <v>49</v>
      </c>
      <c r="AN7" s="15" t="s">
        <v>51</v>
      </c>
      <c r="AO7" s="15" t="s">
        <v>52</v>
      </c>
      <c r="AP7" s="15" t="s">
        <v>53</v>
      </c>
      <c r="AQ7" s="7"/>
    </row>
    <row r="8" spans="1:43" ht="13.5" customHeight="1" x14ac:dyDescent="0.2">
      <c r="A8" s="4"/>
      <c r="B8" s="1"/>
      <c r="C8" s="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7"/>
    </row>
    <row r="9" spans="1:43" ht="13.5" customHeight="1" x14ac:dyDescent="0.2">
      <c r="A9" s="8"/>
      <c r="B9" s="50" t="s">
        <v>35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7"/>
    </row>
    <row r="10" spans="1:43" ht="13.5" customHeight="1" x14ac:dyDescent="0.2">
      <c r="A10" s="4"/>
      <c r="B10" s="16"/>
      <c r="C10" s="68" t="s">
        <v>36</v>
      </c>
      <c r="D10" s="17">
        <f>21286+267793+233471</f>
        <v>522550</v>
      </c>
      <c r="E10" s="17">
        <f>21888+272682+248546</f>
        <v>543116</v>
      </c>
      <c r="F10" s="17">
        <f>21382+263313+250602</f>
        <v>535297</v>
      </c>
      <c r="G10" s="17">
        <f>20129+254462+240436</f>
        <v>515027</v>
      </c>
      <c r="H10" s="17">
        <f>19370+245147+232603</f>
        <v>497120</v>
      </c>
      <c r="I10" s="17">
        <f>18872+236003+222118</f>
        <v>476993</v>
      </c>
      <c r="J10" s="17">
        <f>18500+234243+214520</f>
        <v>467263</v>
      </c>
      <c r="K10" s="17">
        <f>17627+238647+211338</f>
        <v>467612</v>
      </c>
      <c r="L10" s="17">
        <f>18319+246853+218987</f>
        <v>484159</v>
      </c>
      <c r="M10" s="17">
        <f>19511+253157+225633</f>
        <v>498301</v>
      </c>
      <c r="N10" s="17"/>
      <c r="O10" s="17">
        <v>495657</v>
      </c>
      <c r="P10" s="17">
        <v>465344</v>
      </c>
      <c r="Q10" s="17">
        <v>435905</v>
      </c>
      <c r="R10" s="17">
        <v>434921</v>
      </c>
      <c r="S10" s="17">
        <v>448573</v>
      </c>
      <c r="T10" s="17">
        <v>460562</v>
      </c>
      <c r="U10" s="17">
        <v>468264</v>
      </c>
      <c r="V10" s="18">
        <v>478005</v>
      </c>
      <c r="W10" s="18">
        <v>479157</v>
      </c>
      <c r="X10" s="18">
        <v>487607</v>
      </c>
      <c r="Y10" s="18">
        <v>501272</v>
      </c>
      <c r="Z10" s="18">
        <v>525385</v>
      </c>
      <c r="AA10" s="18">
        <v>548319</v>
      </c>
      <c r="AB10" s="18">
        <v>565150</v>
      </c>
      <c r="AC10" s="18">
        <v>581199</v>
      </c>
      <c r="AD10" s="18">
        <v>591086</v>
      </c>
      <c r="AE10" s="18">
        <f>22643+566337+44</f>
        <v>589024</v>
      </c>
      <c r="AF10" s="18">
        <v>624572</v>
      </c>
      <c r="AG10" s="18">
        <v>644691</v>
      </c>
      <c r="AH10" s="18">
        <v>672232</v>
      </c>
      <c r="AI10" s="18">
        <v>693061</v>
      </c>
      <c r="AJ10" s="18">
        <v>700828.5</v>
      </c>
      <c r="AK10" s="18">
        <v>698284.5</v>
      </c>
      <c r="AL10" s="18">
        <v>709095</v>
      </c>
      <c r="AM10" s="18">
        <v>710127</v>
      </c>
      <c r="AN10" s="18">
        <v>659358</v>
      </c>
      <c r="AO10" s="18">
        <v>601415</v>
      </c>
      <c r="AP10" s="18">
        <v>565968</v>
      </c>
      <c r="AQ10" s="7"/>
    </row>
    <row r="11" spans="1:43" ht="13.5" customHeight="1" x14ac:dyDescent="0.2">
      <c r="A11" s="4"/>
      <c r="B11" s="16"/>
      <c r="C11" s="68" t="s">
        <v>46</v>
      </c>
      <c r="D11" s="17">
        <f>4615+19904+19426</f>
        <v>43945</v>
      </c>
      <c r="E11" s="17">
        <f>4295+20255+19789</f>
        <v>44339</v>
      </c>
      <c r="F11" s="17">
        <f>4207+19533+19516</f>
        <v>43256</v>
      </c>
      <c r="G11" s="17">
        <f>3966+19672+19438</f>
        <v>43076</v>
      </c>
      <c r="H11" s="17">
        <f>4228+19824+19563</f>
        <v>43615</v>
      </c>
      <c r="I11" s="17">
        <f>4753+19257+19311</f>
        <v>43321</v>
      </c>
      <c r="J11" s="17">
        <f>4153+19941+18004</f>
        <v>42098</v>
      </c>
      <c r="K11" s="17">
        <f>4658+20213+19399</f>
        <v>44270</v>
      </c>
      <c r="L11" s="17">
        <f>4317+20002+19351</f>
        <v>43670</v>
      </c>
      <c r="M11" s="17">
        <f>4192+20294+19195</f>
        <v>43681</v>
      </c>
      <c r="N11" s="17"/>
      <c r="O11" s="17">
        <v>42863</v>
      </c>
      <c r="P11" s="17">
        <v>42183</v>
      </c>
      <c r="Q11" s="17">
        <v>41553</v>
      </c>
      <c r="R11" s="17">
        <v>40742</v>
      </c>
      <c r="S11" s="17">
        <v>38921</v>
      </c>
      <c r="T11" s="17">
        <v>40180</v>
      </c>
      <c r="U11" s="17">
        <v>41077</v>
      </c>
      <c r="V11" s="18">
        <v>43221</v>
      </c>
      <c r="W11" s="18">
        <f>48895-7532</f>
        <v>41363</v>
      </c>
      <c r="X11" s="18">
        <v>41247.5</v>
      </c>
      <c r="Y11" s="18">
        <f>49921-9690</f>
        <v>40231</v>
      </c>
      <c r="Z11" s="18">
        <f>56731-8482</f>
        <v>48249</v>
      </c>
      <c r="AA11" s="18">
        <v>37938</v>
      </c>
      <c r="AB11" s="18">
        <v>36094</v>
      </c>
      <c r="AC11" s="18">
        <v>37998</v>
      </c>
      <c r="AD11" s="18">
        <v>36906</v>
      </c>
      <c r="AE11" s="18">
        <f>3912+34633.5</f>
        <v>38545.5</v>
      </c>
      <c r="AF11" s="18">
        <v>38363</v>
      </c>
      <c r="AG11" s="18">
        <v>40490.5</v>
      </c>
      <c r="AH11" s="18">
        <v>42637.5</v>
      </c>
      <c r="AI11" s="18">
        <v>44129.5</v>
      </c>
      <c r="AJ11" s="18">
        <v>45884</v>
      </c>
      <c r="AK11" s="18">
        <v>44314.5</v>
      </c>
      <c r="AL11" s="18">
        <v>44448</v>
      </c>
      <c r="AM11" s="17">
        <v>43464</v>
      </c>
      <c r="AN11" s="17">
        <v>44986.5</v>
      </c>
      <c r="AO11" s="17">
        <v>44280</v>
      </c>
      <c r="AP11" s="17">
        <v>52094</v>
      </c>
      <c r="AQ11" s="7"/>
    </row>
    <row r="12" spans="1:43" ht="13.5" customHeight="1" x14ac:dyDescent="0.2">
      <c r="A12" s="4"/>
      <c r="B12" s="16"/>
      <c r="C12" s="68" t="s">
        <v>47</v>
      </c>
      <c r="D12" s="19">
        <f>15951+36097+34518</f>
        <v>86566</v>
      </c>
      <c r="E12" s="19">
        <f>13669+36240+34939</f>
        <v>84848</v>
      </c>
      <c r="F12" s="19">
        <f>13621+33805+32103</f>
        <v>79529</v>
      </c>
      <c r="G12" s="19">
        <f>12538+32177+32468</f>
        <v>77183</v>
      </c>
      <c r="H12" s="19">
        <f>12169+32064+30607</f>
        <v>74840</v>
      </c>
      <c r="I12" s="19">
        <f>12242+31125+30129</f>
        <v>73496</v>
      </c>
      <c r="J12" s="19">
        <f>11862+32904+30194</f>
        <v>74960</v>
      </c>
      <c r="K12" s="19">
        <f>11074+32950+31511</f>
        <v>75535</v>
      </c>
      <c r="L12" s="19">
        <f>11103+34030+31621</f>
        <v>76754</v>
      </c>
      <c r="M12" s="19">
        <f>11805+35128+32891</f>
        <v>79824</v>
      </c>
      <c r="N12" s="19"/>
      <c r="O12" s="19">
        <v>81334</v>
      </c>
      <c r="P12" s="17">
        <v>78063</v>
      </c>
      <c r="Q12" s="17">
        <v>75295</v>
      </c>
      <c r="R12" s="17">
        <v>71994</v>
      </c>
      <c r="S12" s="17">
        <v>71085</v>
      </c>
      <c r="T12" s="17">
        <v>67007</v>
      </c>
      <c r="U12" s="20">
        <v>62012.5</v>
      </c>
      <c r="V12" s="21">
        <v>61040.5</v>
      </c>
      <c r="W12" s="21">
        <v>63255</v>
      </c>
      <c r="X12" s="21">
        <v>66984</v>
      </c>
      <c r="Y12" s="21">
        <v>68690</v>
      </c>
      <c r="Z12" s="21">
        <v>72326</v>
      </c>
      <c r="AA12" s="21">
        <v>70386</v>
      </c>
      <c r="AB12" s="21">
        <v>69499</v>
      </c>
      <c r="AC12" s="21">
        <v>73395</v>
      </c>
      <c r="AD12" s="21">
        <v>75220</v>
      </c>
      <c r="AE12" s="21">
        <f>9337+65575</f>
        <v>74912</v>
      </c>
      <c r="AF12" s="21">
        <v>76706</v>
      </c>
      <c r="AG12" s="21">
        <v>78500</v>
      </c>
      <c r="AH12" s="21">
        <v>79685</v>
      </c>
      <c r="AI12" s="21">
        <v>83544</v>
      </c>
      <c r="AJ12" s="21">
        <v>82986</v>
      </c>
      <c r="AK12" s="21">
        <v>79972.5</v>
      </c>
      <c r="AL12" s="21">
        <v>79046</v>
      </c>
      <c r="AM12" s="21">
        <v>75748</v>
      </c>
      <c r="AN12" s="21">
        <v>71410.5</v>
      </c>
      <c r="AO12" s="21">
        <v>64143.5</v>
      </c>
      <c r="AP12" s="21">
        <v>55758</v>
      </c>
      <c r="AQ12" s="7"/>
    </row>
    <row r="13" spans="1:43" ht="13.5" customHeight="1" x14ac:dyDescent="0.2">
      <c r="A13" s="4"/>
      <c r="B13" s="16"/>
      <c r="C13" s="16"/>
      <c r="D13" s="17">
        <f t="shared" ref="D13:M13" si="0">SUM(D10:D12)</f>
        <v>653061</v>
      </c>
      <c r="E13" s="17">
        <f t="shared" si="0"/>
        <v>672303</v>
      </c>
      <c r="F13" s="17">
        <f t="shared" si="0"/>
        <v>658082</v>
      </c>
      <c r="G13" s="17">
        <f t="shared" si="0"/>
        <v>635286</v>
      </c>
      <c r="H13" s="17">
        <f t="shared" si="0"/>
        <v>615575</v>
      </c>
      <c r="I13" s="17">
        <f t="shared" si="0"/>
        <v>593810</v>
      </c>
      <c r="J13" s="17">
        <f t="shared" si="0"/>
        <v>584321</v>
      </c>
      <c r="K13" s="17">
        <f t="shared" si="0"/>
        <v>587417</v>
      </c>
      <c r="L13" s="17">
        <f t="shared" si="0"/>
        <v>604583</v>
      </c>
      <c r="M13" s="17">
        <f t="shared" si="0"/>
        <v>621806</v>
      </c>
      <c r="N13" s="17"/>
      <c r="O13" s="17">
        <f t="shared" ref="O13:AJ13" si="1">SUM(O10:O12)</f>
        <v>619854</v>
      </c>
      <c r="P13" s="22">
        <f t="shared" si="1"/>
        <v>585590</v>
      </c>
      <c r="Q13" s="22">
        <f t="shared" si="1"/>
        <v>552753</v>
      </c>
      <c r="R13" s="22">
        <f t="shared" si="1"/>
        <v>547657</v>
      </c>
      <c r="S13" s="22">
        <f t="shared" si="1"/>
        <v>558579</v>
      </c>
      <c r="T13" s="22">
        <f t="shared" si="1"/>
        <v>567749</v>
      </c>
      <c r="U13" s="23">
        <f t="shared" si="1"/>
        <v>571353.5</v>
      </c>
      <c r="V13" s="23">
        <f t="shared" si="1"/>
        <v>582266.5</v>
      </c>
      <c r="W13" s="23">
        <f t="shared" si="1"/>
        <v>583775</v>
      </c>
      <c r="X13" s="23">
        <f t="shared" si="1"/>
        <v>595838.5</v>
      </c>
      <c r="Y13" s="23">
        <f t="shared" si="1"/>
        <v>610193</v>
      </c>
      <c r="Z13" s="23">
        <f t="shared" si="1"/>
        <v>645960</v>
      </c>
      <c r="AA13" s="23">
        <f t="shared" si="1"/>
        <v>656643</v>
      </c>
      <c r="AB13" s="23">
        <f t="shared" si="1"/>
        <v>670743</v>
      </c>
      <c r="AC13" s="23">
        <f t="shared" si="1"/>
        <v>692592</v>
      </c>
      <c r="AD13" s="23">
        <f t="shared" si="1"/>
        <v>703212</v>
      </c>
      <c r="AE13" s="23">
        <f t="shared" si="1"/>
        <v>702481.5</v>
      </c>
      <c r="AF13" s="23">
        <f t="shared" si="1"/>
        <v>739641</v>
      </c>
      <c r="AG13" s="23">
        <f t="shared" si="1"/>
        <v>763681.5</v>
      </c>
      <c r="AH13" s="23">
        <f t="shared" si="1"/>
        <v>794554.5</v>
      </c>
      <c r="AI13" s="23">
        <f t="shared" si="1"/>
        <v>820734.5</v>
      </c>
      <c r="AJ13" s="23">
        <f t="shared" si="1"/>
        <v>829698.5</v>
      </c>
      <c r="AK13" s="23">
        <f t="shared" ref="AK13:AL13" si="2">SUM(AK10:AK12)</f>
        <v>822571.5</v>
      </c>
      <c r="AL13" s="23">
        <f t="shared" si="2"/>
        <v>832589</v>
      </c>
      <c r="AM13" s="23">
        <f t="shared" ref="AM13:AN13" si="3">SUM(AM10:AM12)</f>
        <v>829339</v>
      </c>
      <c r="AN13" s="23">
        <f t="shared" si="3"/>
        <v>775755</v>
      </c>
      <c r="AO13" s="23">
        <f t="shared" ref="AO13:AP13" si="4">SUM(AO10:AO12)</f>
        <v>709838.5</v>
      </c>
      <c r="AP13" s="23">
        <f t="shared" si="4"/>
        <v>673820</v>
      </c>
      <c r="AQ13" s="7"/>
    </row>
    <row r="14" spans="1:43" ht="13.5" customHeight="1" x14ac:dyDescent="0.2">
      <c r="A14" s="4"/>
      <c r="B14" s="16"/>
      <c r="C14" s="16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16"/>
      <c r="Q14" s="24"/>
      <c r="R14" s="16"/>
      <c r="S14" s="24"/>
      <c r="T14" s="16"/>
      <c r="U14" s="16"/>
      <c r="V14" s="16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7"/>
    </row>
    <row r="15" spans="1:43" ht="13.5" customHeight="1" x14ac:dyDescent="0.2">
      <c r="A15" s="4"/>
      <c r="B15" s="50" t="s">
        <v>37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7"/>
    </row>
    <row r="16" spans="1:43" ht="13.5" customHeight="1" x14ac:dyDescent="0.2">
      <c r="A16" s="4"/>
      <c r="B16" s="16"/>
      <c r="C16" s="68" t="s">
        <v>36</v>
      </c>
      <c r="D16" s="18"/>
      <c r="E16" s="18"/>
      <c r="F16" s="18"/>
      <c r="G16" s="18"/>
      <c r="H16" s="18"/>
      <c r="I16" s="18">
        <f>488946-I10</f>
        <v>11953</v>
      </c>
      <c r="J16" s="18">
        <f>480335-J10</f>
        <v>13072</v>
      </c>
      <c r="K16" s="18">
        <f>476225-K10</f>
        <v>8613</v>
      </c>
      <c r="L16" s="18">
        <f>488143-L10</f>
        <v>3984</v>
      </c>
      <c r="M16" s="18">
        <f>504998-M10</f>
        <v>6697</v>
      </c>
      <c r="N16" s="18"/>
      <c r="O16" s="18">
        <v>18396</v>
      </c>
      <c r="P16" s="18">
        <v>17080</v>
      </c>
      <c r="Q16" s="18">
        <v>15293</v>
      </c>
      <c r="R16" s="17">
        <v>16638</v>
      </c>
      <c r="S16" s="17">
        <v>14424</v>
      </c>
      <c r="T16" s="17">
        <v>13183</v>
      </c>
      <c r="U16" s="17">
        <v>15835</v>
      </c>
      <c r="V16" s="17">
        <v>18490</v>
      </c>
      <c r="W16" s="17">
        <v>12960</v>
      </c>
      <c r="X16" s="17">
        <v>10878</v>
      </c>
      <c r="Y16" s="17">
        <v>11609</v>
      </c>
      <c r="Z16" s="17">
        <v>6698</v>
      </c>
      <c r="AA16" s="17">
        <v>6774</v>
      </c>
      <c r="AB16" s="17">
        <v>6267</v>
      </c>
      <c r="AC16" s="17">
        <v>6381</v>
      </c>
      <c r="AD16" s="17">
        <v>6587</v>
      </c>
      <c r="AE16" s="17">
        <f>2348+9007+924</f>
        <v>12279</v>
      </c>
      <c r="AF16" s="17">
        <v>17592</v>
      </c>
      <c r="AG16" s="17">
        <v>21100</v>
      </c>
      <c r="AH16" s="17">
        <v>26675</v>
      </c>
      <c r="AI16" s="17">
        <v>33823</v>
      </c>
      <c r="AJ16" s="17">
        <v>51589</v>
      </c>
      <c r="AK16" s="17">
        <v>57683</v>
      </c>
      <c r="AL16" s="17">
        <v>63528</v>
      </c>
      <c r="AM16" s="17">
        <v>69854</v>
      </c>
      <c r="AN16" s="17">
        <v>70608.5</v>
      </c>
      <c r="AO16" s="17">
        <v>72047</v>
      </c>
      <c r="AP16" s="17">
        <v>69366</v>
      </c>
      <c r="AQ16" s="7"/>
    </row>
    <row r="17" spans="1:43" ht="13.5" customHeight="1" x14ac:dyDescent="0.2">
      <c r="A17" s="4"/>
      <c r="B17" s="16"/>
      <c r="C17" s="68" t="s">
        <v>46</v>
      </c>
      <c r="D17" s="18"/>
      <c r="E17" s="18"/>
      <c r="F17" s="18"/>
      <c r="G17" s="18"/>
      <c r="H17" s="18"/>
      <c r="I17" s="18">
        <f>43363-I11</f>
        <v>42</v>
      </c>
      <c r="J17" s="18">
        <v>0</v>
      </c>
      <c r="K17" s="18">
        <v>0</v>
      </c>
      <c r="L17" s="18">
        <f>44222-L11</f>
        <v>552</v>
      </c>
      <c r="M17" s="18">
        <v>0</v>
      </c>
      <c r="N17" s="18"/>
      <c r="O17" s="18">
        <v>0</v>
      </c>
      <c r="P17" s="18">
        <v>0</v>
      </c>
      <c r="Q17" s="18">
        <v>0</v>
      </c>
      <c r="R17" s="17">
        <v>0</v>
      </c>
      <c r="S17" s="17">
        <v>0</v>
      </c>
      <c r="T17" s="17">
        <v>0</v>
      </c>
      <c r="U17" s="23">
        <v>0</v>
      </c>
      <c r="V17" s="17">
        <v>0</v>
      </c>
      <c r="W17" s="17">
        <v>15</v>
      </c>
      <c r="X17" s="17">
        <v>0</v>
      </c>
      <c r="Y17" s="17">
        <v>3</v>
      </c>
      <c r="Z17" s="17">
        <v>18</v>
      </c>
      <c r="AA17" s="17">
        <v>6</v>
      </c>
      <c r="AB17" s="17">
        <v>9</v>
      </c>
      <c r="AC17" s="17">
        <v>21</v>
      </c>
      <c r="AD17" s="17">
        <v>9</v>
      </c>
      <c r="AE17" s="17">
        <v>12</v>
      </c>
      <c r="AF17" s="17">
        <v>150</v>
      </c>
      <c r="AG17" s="17">
        <v>162</v>
      </c>
      <c r="AH17" s="17">
        <v>147</v>
      </c>
      <c r="AI17" s="17">
        <v>184</v>
      </c>
      <c r="AJ17" s="17">
        <v>169</v>
      </c>
      <c r="AK17" s="17">
        <v>141</v>
      </c>
      <c r="AL17" s="17">
        <v>211</v>
      </c>
      <c r="AM17" s="17">
        <v>276</v>
      </c>
      <c r="AN17" s="17">
        <v>251</v>
      </c>
      <c r="AO17" s="17">
        <v>277</v>
      </c>
      <c r="AP17" s="17">
        <v>241</v>
      </c>
      <c r="AQ17" s="7"/>
    </row>
    <row r="18" spans="1:43" ht="13.5" customHeight="1" x14ac:dyDescent="0.2">
      <c r="A18" s="4"/>
      <c r="B18" s="16"/>
      <c r="C18" s="68" t="s">
        <v>47</v>
      </c>
      <c r="D18" s="21"/>
      <c r="E18" s="21"/>
      <c r="F18" s="21"/>
      <c r="G18" s="21"/>
      <c r="H18" s="21"/>
      <c r="I18" s="21">
        <f>80404-I12</f>
        <v>6908</v>
      </c>
      <c r="J18" s="21">
        <f>85022-J12</f>
        <v>10062</v>
      </c>
      <c r="K18" s="21">
        <f>87614-K12</f>
        <v>12079</v>
      </c>
      <c r="L18" s="21">
        <f>87191-L12</f>
        <v>10437</v>
      </c>
      <c r="M18" s="21">
        <f>89670-M12</f>
        <v>9846</v>
      </c>
      <c r="N18" s="21"/>
      <c r="O18" s="21">
        <v>13415</v>
      </c>
      <c r="P18" s="18">
        <v>12447</v>
      </c>
      <c r="Q18" s="18">
        <v>12865</v>
      </c>
      <c r="R18" s="17">
        <v>13300</v>
      </c>
      <c r="S18" s="17">
        <v>12733</v>
      </c>
      <c r="T18" s="17">
        <v>10951</v>
      </c>
      <c r="U18" s="20">
        <v>11846</v>
      </c>
      <c r="V18" s="19">
        <v>11570</v>
      </c>
      <c r="W18" s="19">
        <v>8438</v>
      </c>
      <c r="X18" s="19">
        <v>11792</v>
      </c>
      <c r="Y18" s="19">
        <v>15228</v>
      </c>
      <c r="Z18" s="19">
        <v>10123</v>
      </c>
      <c r="AA18" s="19">
        <v>13632</v>
      </c>
      <c r="AB18" s="19">
        <v>14229</v>
      </c>
      <c r="AC18" s="19">
        <v>15830</v>
      </c>
      <c r="AD18" s="19">
        <v>17566</v>
      </c>
      <c r="AE18" s="19">
        <f>39+14650+168+4641+3</f>
        <v>19501</v>
      </c>
      <c r="AF18" s="19">
        <v>22270</v>
      </c>
      <c r="AG18" s="19">
        <v>24577.5</v>
      </c>
      <c r="AH18" s="19">
        <v>24915.5</v>
      </c>
      <c r="AI18" s="19">
        <v>25215</v>
      </c>
      <c r="AJ18" s="19">
        <v>25136</v>
      </c>
      <c r="AK18" s="19">
        <v>27267.5</v>
      </c>
      <c r="AL18" s="19">
        <v>30214.5</v>
      </c>
      <c r="AM18" s="19">
        <v>31149</v>
      </c>
      <c r="AN18" s="19">
        <v>30036</v>
      </c>
      <c r="AO18" s="19">
        <v>32556</v>
      </c>
      <c r="AP18" s="19">
        <v>39249.5</v>
      </c>
      <c r="AQ18" s="7"/>
    </row>
    <row r="19" spans="1:43" ht="13.5" customHeight="1" x14ac:dyDescent="0.2">
      <c r="A19" s="4"/>
      <c r="B19" s="16"/>
      <c r="C19" s="16"/>
      <c r="D19" s="18"/>
      <c r="E19" s="18"/>
      <c r="F19" s="18"/>
      <c r="G19" s="18"/>
      <c r="H19" s="18"/>
      <c r="I19" s="18">
        <f>SUM(I16:I18)</f>
        <v>18903</v>
      </c>
      <c r="J19" s="18">
        <f>SUM(J16:J18)</f>
        <v>23134</v>
      </c>
      <c r="K19" s="18">
        <f>SUM(K16:K18)</f>
        <v>20692</v>
      </c>
      <c r="L19" s="18">
        <f>SUM(L16:L18)</f>
        <v>14973</v>
      </c>
      <c r="M19" s="18">
        <f>SUM(M16:M18)</f>
        <v>16543</v>
      </c>
      <c r="N19" s="18"/>
      <c r="O19" s="18">
        <f t="shared" ref="O19:AJ19" si="5">SUM(O16:O18)</f>
        <v>31811</v>
      </c>
      <c r="P19" s="26">
        <f t="shared" si="5"/>
        <v>29527</v>
      </c>
      <c r="Q19" s="26">
        <f t="shared" si="5"/>
        <v>28158</v>
      </c>
      <c r="R19" s="22">
        <f t="shared" si="5"/>
        <v>29938</v>
      </c>
      <c r="S19" s="22">
        <f t="shared" si="5"/>
        <v>27157</v>
      </c>
      <c r="T19" s="22">
        <f t="shared" si="5"/>
        <v>24134</v>
      </c>
      <c r="U19" s="23">
        <f t="shared" si="5"/>
        <v>27681</v>
      </c>
      <c r="V19" s="23">
        <f t="shared" si="5"/>
        <v>30060</v>
      </c>
      <c r="W19" s="23">
        <f t="shared" si="5"/>
        <v>21413</v>
      </c>
      <c r="X19" s="23">
        <f t="shared" si="5"/>
        <v>22670</v>
      </c>
      <c r="Y19" s="23">
        <f t="shared" si="5"/>
        <v>26840</v>
      </c>
      <c r="Z19" s="23">
        <f t="shared" si="5"/>
        <v>16839</v>
      </c>
      <c r="AA19" s="23">
        <f t="shared" si="5"/>
        <v>20412</v>
      </c>
      <c r="AB19" s="23">
        <f t="shared" si="5"/>
        <v>20505</v>
      </c>
      <c r="AC19" s="23">
        <f t="shared" si="5"/>
        <v>22232</v>
      </c>
      <c r="AD19" s="23">
        <f t="shared" si="5"/>
        <v>24162</v>
      </c>
      <c r="AE19" s="23">
        <f t="shared" si="5"/>
        <v>31792</v>
      </c>
      <c r="AF19" s="23">
        <f t="shared" si="5"/>
        <v>40012</v>
      </c>
      <c r="AG19" s="23">
        <f t="shared" si="5"/>
        <v>45839.5</v>
      </c>
      <c r="AH19" s="23">
        <f t="shared" si="5"/>
        <v>51737.5</v>
      </c>
      <c r="AI19" s="23">
        <f t="shared" si="5"/>
        <v>59222</v>
      </c>
      <c r="AJ19" s="23">
        <f t="shared" si="5"/>
        <v>76894</v>
      </c>
      <c r="AK19" s="23">
        <f t="shared" ref="AK19:AL19" si="6">SUM(AK16:AK18)</f>
        <v>85091.5</v>
      </c>
      <c r="AL19" s="23">
        <f t="shared" si="6"/>
        <v>93953.5</v>
      </c>
      <c r="AM19" s="23">
        <f t="shared" ref="AM19:AN19" si="7">SUM(AM16:AM18)</f>
        <v>101279</v>
      </c>
      <c r="AN19" s="23">
        <f t="shared" si="7"/>
        <v>100895.5</v>
      </c>
      <c r="AO19" s="23">
        <f t="shared" ref="AO19:AP19" si="8">SUM(AO16:AO18)</f>
        <v>104880</v>
      </c>
      <c r="AP19" s="23">
        <f t="shared" si="8"/>
        <v>108856.5</v>
      </c>
      <c r="AQ19" s="7"/>
    </row>
    <row r="20" spans="1:43" ht="13.5" customHeight="1" x14ac:dyDescent="0.2">
      <c r="A20" s="4"/>
      <c r="B20" s="16"/>
      <c r="C20" s="16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16"/>
      <c r="R20" s="27"/>
      <c r="S20" s="27"/>
      <c r="T20" s="28"/>
      <c r="U20" s="28"/>
      <c r="V20" s="28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7"/>
    </row>
    <row r="21" spans="1:43" ht="13.5" customHeight="1" x14ac:dyDescent="0.2">
      <c r="A21" s="8"/>
      <c r="B21" s="50" t="s">
        <v>38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7"/>
    </row>
    <row r="22" spans="1:43" ht="13.5" customHeight="1" x14ac:dyDescent="0.2">
      <c r="A22" s="4"/>
      <c r="B22" s="16"/>
      <c r="C22" s="68" t="s">
        <v>36</v>
      </c>
      <c r="D22" s="17">
        <f t="shared" ref="D22:G24" si="9">D10</f>
        <v>522550</v>
      </c>
      <c r="E22" s="17">
        <f t="shared" si="9"/>
        <v>543116</v>
      </c>
      <c r="F22" s="17">
        <f t="shared" si="9"/>
        <v>535297</v>
      </c>
      <c r="G22" s="17">
        <f t="shared" si="9"/>
        <v>515027</v>
      </c>
      <c r="H22" s="17">
        <f>H10</f>
        <v>497120</v>
      </c>
      <c r="I22" s="18">
        <f t="shared" ref="I22:M24" si="10">I10+I16</f>
        <v>488946</v>
      </c>
      <c r="J22" s="18">
        <f t="shared" si="10"/>
        <v>480335</v>
      </c>
      <c r="K22" s="18">
        <f t="shared" si="10"/>
        <v>476225</v>
      </c>
      <c r="L22" s="18">
        <f t="shared" si="10"/>
        <v>488143</v>
      </c>
      <c r="M22" s="18">
        <f t="shared" si="10"/>
        <v>504998</v>
      </c>
      <c r="N22" s="17"/>
      <c r="O22" s="18">
        <f t="shared" ref="O22:AJ24" si="11">O10+O16</f>
        <v>514053</v>
      </c>
      <c r="P22" s="18">
        <f t="shared" si="11"/>
        <v>482424</v>
      </c>
      <c r="Q22" s="18">
        <f t="shared" si="11"/>
        <v>451198</v>
      </c>
      <c r="R22" s="18">
        <f t="shared" si="11"/>
        <v>451559</v>
      </c>
      <c r="S22" s="18">
        <f t="shared" si="11"/>
        <v>462997</v>
      </c>
      <c r="T22" s="18">
        <f t="shared" si="11"/>
        <v>473745</v>
      </c>
      <c r="U22" s="18">
        <f t="shared" si="11"/>
        <v>484099</v>
      </c>
      <c r="V22" s="18">
        <f t="shared" si="11"/>
        <v>496495</v>
      </c>
      <c r="W22" s="18">
        <f t="shared" si="11"/>
        <v>492117</v>
      </c>
      <c r="X22" s="18">
        <f t="shared" si="11"/>
        <v>498485</v>
      </c>
      <c r="Y22" s="18">
        <f t="shared" si="11"/>
        <v>512881</v>
      </c>
      <c r="Z22" s="18">
        <f t="shared" si="11"/>
        <v>532083</v>
      </c>
      <c r="AA22" s="18">
        <f t="shared" si="11"/>
        <v>555093</v>
      </c>
      <c r="AB22" s="18">
        <f t="shared" si="11"/>
        <v>571417</v>
      </c>
      <c r="AC22" s="18">
        <f t="shared" si="11"/>
        <v>587580</v>
      </c>
      <c r="AD22" s="18">
        <f t="shared" si="11"/>
        <v>597673</v>
      </c>
      <c r="AE22" s="18">
        <f t="shared" si="11"/>
        <v>601303</v>
      </c>
      <c r="AF22" s="18">
        <f t="shared" si="11"/>
        <v>642164</v>
      </c>
      <c r="AG22" s="18">
        <f t="shared" si="11"/>
        <v>665791</v>
      </c>
      <c r="AH22" s="18">
        <f t="shared" si="11"/>
        <v>698907</v>
      </c>
      <c r="AI22" s="18">
        <f t="shared" si="11"/>
        <v>726884</v>
      </c>
      <c r="AJ22" s="18">
        <f t="shared" si="11"/>
        <v>752417.5</v>
      </c>
      <c r="AK22" s="18">
        <f t="shared" ref="AK22:AL22" si="12">AK10+AK16</f>
        <v>755967.5</v>
      </c>
      <c r="AL22" s="18">
        <f t="shared" si="12"/>
        <v>772623</v>
      </c>
      <c r="AM22" s="18">
        <f t="shared" ref="AM22:AN22" si="13">AM10+AM16</f>
        <v>779981</v>
      </c>
      <c r="AN22" s="18">
        <f t="shared" si="13"/>
        <v>729966.5</v>
      </c>
      <c r="AO22" s="18">
        <f t="shared" ref="AO22:AP22" si="14">AO10+AO16</f>
        <v>673462</v>
      </c>
      <c r="AP22" s="18">
        <f t="shared" si="14"/>
        <v>635334</v>
      </c>
      <c r="AQ22" s="7"/>
    </row>
    <row r="23" spans="1:43" ht="13.5" customHeight="1" x14ac:dyDescent="0.2">
      <c r="A23" s="4"/>
      <c r="B23" s="16"/>
      <c r="C23" s="68" t="s">
        <v>46</v>
      </c>
      <c r="D23" s="17">
        <f t="shared" si="9"/>
        <v>43945</v>
      </c>
      <c r="E23" s="17">
        <f t="shared" si="9"/>
        <v>44339</v>
      </c>
      <c r="F23" s="17">
        <f t="shared" si="9"/>
        <v>43256</v>
      </c>
      <c r="G23" s="17">
        <f t="shared" si="9"/>
        <v>43076</v>
      </c>
      <c r="H23" s="17">
        <f>H11</f>
        <v>43615</v>
      </c>
      <c r="I23" s="18">
        <f t="shared" si="10"/>
        <v>43363</v>
      </c>
      <c r="J23" s="18">
        <f t="shared" si="10"/>
        <v>42098</v>
      </c>
      <c r="K23" s="18">
        <f t="shared" si="10"/>
        <v>44270</v>
      </c>
      <c r="L23" s="18">
        <f t="shared" si="10"/>
        <v>44222</v>
      </c>
      <c r="M23" s="18">
        <f t="shared" si="10"/>
        <v>43681</v>
      </c>
      <c r="N23" s="17"/>
      <c r="O23" s="18">
        <f t="shared" si="11"/>
        <v>42863</v>
      </c>
      <c r="P23" s="18">
        <f t="shared" si="11"/>
        <v>42183</v>
      </c>
      <c r="Q23" s="18">
        <f t="shared" si="11"/>
        <v>41553</v>
      </c>
      <c r="R23" s="18">
        <f t="shared" si="11"/>
        <v>40742</v>
      </c>
      <c r="S23" s="18">
        <f t="shared" si="11"/>
        <v>38921</v>
      </c>
      <c r="T23" s="18">
        <f t="shared" si="11"/>
        <v>40180</v>
      </c>
      <c r="U23" s="18">
        <f t="shared" si="11"/>
        <v>41077</v>
      </c>
      <c r="V23" s="18">
        <f t="shared" si="11"/>
        <v>43221</v>
      </c>
      <c r="W23" s="18">
        <f t="shared" si="11"/>
        <v>41378</v>
      </c>
      <c r="X23" s="18">
        <f t="shared" si="11"/>
        <v>41247.5</v>
      </c>
      <c r="Y23" s="18">
        <f t="shared" si="11"/>
        <v>40234</v>
      </c>
      <c r="Z23" s="18">
        <f t="shared" si="11"/>
        <v>48267</v>
      </c>
      <c r="AA23" s="18">
        <f t="shared" si="11"/>
        <v>37944</v>
      </c>
      <c r="AB23" s="18">
        <f t="shared" si="11"/>
        <v>36103</v>
      </c>
      <c r="AC23" s="18">
        <f t="shared" si="11"/>
        <v>38019</v>
      </c>
      <c r="AD23" s="18">
        <f t="shared" si="11"/>
        <v>36915</v>
      </c>
      <c r="AE23" s="18">
        <f t="shared" si="11"/>
        <v>38557.5</v>
      </c>
      <c r="AF23" s="40">
        <f>AF11+AF17</f>
        <v>38513</v>
      </c>
      <c r="AG23" s="18">
        <f t="shared" si="11"/>
        <v>40652.5</v>
      </c>
      <c r="AH23" s="18">
        <f t="shared" si="11"/>
        <v>42784.5</v>
      </c>
      <c r="AI23" s="18">
        <f t="shared" si="11"/>
        <v>44313.5</v>
      </c>
      <c r="AJ23" s="18">
        <f t="shared" si="11"/>
        <v>46053</v>
      </c>
      <c r="AK23" s="18">
        <f t="shared" ref="AK23:AL23" si="15">AK11+AK17</f>
        <v>44455.5</v>
      </c>
      <c r="AL23" s="18">
        <f t="shared" si="15"/>
        <v>44659</v>
      </c>
      <c r="AM23" s="18">
        <f t="shared" ref="AM23:AN23" si="16">AM11+AM17</f>
        <v>43740</v>
      </c>
      <c r="AN23" s="18">
        <f t="shared" si="16"/>
        <v>45237.5</v>
      </c>
      <c r="AO23" s="18">
        <f t="shared" ref="AO23:AP23" si="17">AO11+AO17</f>
        <v>44557</v>
      </c>
      <c r="AP23" s="18">
        <f t="shared" si="17"/>
        <v>52335</v>
      </c>
      <c r="AQ23" s="7"/>
    </row>
    <row r="24" spans="1:43" ht="13.5" customHeight="1" x14ac:dyDescent="0.2">
      <c r="A24" s="4"/>
      <c r="B24" s="16"/>
      <c r="C24" s="68" t="s">
        <v>47</v>
      </c>
      <c r="D24" s="19">
        <f t="shared" si="9"/>
        <v>86566</v>
      </c>
      <c r="E24" s="19">
        <f t="shared" si="9"/>
        <v>84848</v>
      </c>
      <c r="F24" s="19">
        <f t="shared" si="9"/>
        <v>79529</v>
      </c>
      <c r="G24" s="19">
        <f t="shared" si="9"/>
        <v>77183</v>
      </c>
      <c r="H24" s="19">
        <f>H12</f>
        <v>74840</v>
      </c>
      <c r="I24" s="21">
        <f t="shared" si="10"/>
        <v>80404</v>
      </c>
      <c r="J24" s="21">
        <f t="shared" si="10"/>
        <v>85022</v>
      </c>
      <c r="K24" s="21">
        <f t="shared" si="10"/>
        <v>87614</v>
      </c>
      <c r="L24" s="21">
        <f t="shared" si="10"/>
        <v>87191</v>
      </c>
      <c r="M24" s="21">
        <f t="shared" si="10"/>
        <v>89670</v>
      </c>
      <c r="N24" s="19"/>
      <c r="O24" s="21">
        <f t="shared" si="11"/>
        <v>94749</v>
      </c>
      <c r="P24" s="21">
        <f t="shared" si="11"/>
        <v>90510</v>
      </c>
      <c r="Q24" s="21">
        <f t="shared" si="11"/>
        <v>88160</v>
      </c>
      <c r="R24" s="21">
        <f t="shared" si="11"/>
        <v>85294</v>
      </c>
      <c r="S24" s="21">
        <f t="shared" si="11"/>
        <v>83818</v>
      </c>
      <c r="T24" s="21">
        <f t="shared" si="11"/>
        <v>77958</v>
      </c>
      <c r="U24" s="21">
        <f t="shared" si="11"/>
        <v>73858.5</v>
      </c>
      <c r="V24" s="21">
        <f t="shared" si="11"/>
        <v>72610.5</v>
      </c>
      <c r="W24" s="21">
        <f t="shared" si="11"/>
        <v>71693</v>
      </c>
      <c r="X24" s="21">
        <f t="shared" si="11"/>
        <v>78776</v>
      </c>
      <c r="Y24" s="21">
        <f t="shared" si="11"/>
        <v>83918</v>
      </c>
      <c r="Z24" s="21">
        <f t="shared" si="11"/>
        <v>82449</v>
      </c>
      <c r="AA24" s="21">
        <f t="shared" si="11"/>
        <v>84018</v>
      </c>
      <c r="AB24" s="21">
        <f t="shared" si="11"/>
        <v>83728</v>
      </c>
      <c r="AC24" s="21">
        <f t="shared" si="11"/>
        <v>89225</v>
      </c>
      <c r="AD24" s="21">
        <f t="shared" si="11"/>
        <v>92786</v>
      </c>
      <c r="AE24" s="21">
        <f t="shared" si="11"/>
        <v>94413</v>
      </c>
      <c r="AF24" s="21">
        <f t="shared" si="11"/>
        <v>98976</v>
      </c>
      <c r="AG24" s="21">
        <f t="shared" si="11"/>
        <v>103077.5</v>
      </c>
      <c r="AH24" s="21">
        <f t="shared" si="11"/>
        <v>104600.5</v>
      </c>
      <c r="AI24" s="21">
        <f t="shared" si="11"/>
        <v>108759</v>
      </c>
      <c r="AJ24" s="21">
        <f t="shared" si="11"/>
        <v>108122</v>
      </c>
      <c r="AK24" s="21">
        <f t="shared" ref="AK24:AL24" si="18">AK12+AK18</f>
        <v>107240</v>
      </c>
      <c r="AL24" s="21">
        <f t="shared" si="18"/>
        <v>109260.5</v>
      </c>
      <c r="AM24" s="21">
        <f t="shared" ref="AM24:AN24" si="19">AM12+AM18</f>
        <v>106897</v>
      </c>
      <c r="AN24" s="21">
        <f t="shared" si="19"/>
        <v>101446.5</v>
      </c>
      <c r="AO24" s="21">
        <f t="shared" ref="AO24:AP24" si="20">AO12+AO18</f>
        <v>96699.5</v>
      </c>
      <c r="AP24" s="21">
        <f t="shared" si="20"/>
        <v>95007.5</v>
      </c>
      <c r="AQ24" s="7"/>
    </row>
    <row r="25" spans="1:43" ht="13.5" customHeight="1" x14ac:dyDescent="0.2">
      <c r="A25" s="4"/>
      <c r="B25" s="16"/>
      <c r="C25" s="16"/>
      <c r="D25" s="17">
        <f t="shared" ref="D25:M25" si="21">SUM(D22:D24)</f>
        <v>653061</v>
      </c>
      <c r="E25" s="17">
        <f t="shared" si="21"/>
        <v>672303</v>
      </c>
      <c r="F25" s="17">
        <f t="shared" si="21"/>
        <v>658082</v>
      </c>
      <c r="G25" s="17">
        <f t="shared" si="21"/>
        <v>635286</v>
      </c>
      <c r="H25" s="17">
        <f t="shared" si="21"/>
        <v>615575</v>
      </c>
      <c r="I25" s="17">
        <f t="shared" si="21"/>
        <v>612713</v>
      </c>
      <c r="J25" s="17">
        <f t="shared" si="21"/>
        <v>607455</v>
      </c>
      <c r="K25" s="17">
        <f t="shared" si="21"/>
        <v>608109</v>
      </c>
      <c r="L25" s="17">
        <f t="shared" si="21"/>
        <v>619556</v>
      </c>
      <c r="M25" s="17">
        <f t="shared" si="21"/>
        <v>638349</v>
      </c>
      <c r="N25" s="17"/>
      <c r="O25" s="17">
        <f t="shared" ref="O25:AJ25" si="22">SUM(O22:O24)</f>
        <v>651665</v>
      </c>
      <c r="P25" s="22">
        <f t="shared" si="22"/>
        <v>615117</v>
      </c>
      <c r="Q25" s="22">
        <f t="shared" si="22"/>
        <v>580911</v>
      </c>
      <c r="R25" s="22">
        <f t="shared" si="22"/>
        <v>577595</v>
      </c>
      <c r="S25" s="22">
        <f t="shared" si="22"/>
        <v>585736</v>
      </c>
      <c r="T25" s="22">
        <f t="shared" si="22"/>
        <v>591883</v>
      </c>
      <c r="U25" s="23">
        <f t="shared" si="22"/>
        <v>599034.5</v>
      </c>
      <c r="V25" s="23">
        <f t="shared" si="22"/>
        <v>612326.5</v>
      </c>
      <c r="W25" s="23">
        <f t="shared" si="22"/>
        <v>605188</v>
      </c>
      <c r="X25" s="23">
        <f t="shared" si="22"/>
        <v>618508.5</v>
      </c>
      <c r="Y25" s="23">
        <f t="shared" si="22"/>
        <v>637033</v>
      </c>
      <c r="Z25" s="23">
        <f t="shared" si="22"/>
        <v>662799</v>
      </c>
      <c r="AA25" s="23">
        <f t="shared" si="22"/>
        <v>677055</v>
      </c>
      <c r="AB25" s="23">
        <f t="shared" si="22"/>
        <v>691248</v>
      </c>
      <c r="AC25" s="23">
        <f t="shared" si="22"/>
        <v>714824</v>
      </c>
      <c r="AD25" s="23">
        <f t="shared" si="22"/>
        <v>727374</v>
      </c>
      <c r="AE25" s="23">
        <f t="shared" si="22"/>
        <v>734273.5</v>
      </c>
      <c r="AF25" s="23">
        <f t="shared" si="22"/>
        <v>779653</v>
      </c>
      <c r="AG25" s="23">
        <f t="shared" si="22"/>
        <v>809521</v>
      </c>
      <c r="AH25" s="23">
        <f t="shared" si="22"/>
        <v>846292</v>
      </c>
      <c r="AI25" s="23">
        <f t="shared" si="22"/>
        <v>879956.5</v>
      </c>
      <c r="AJ25" s="23">
        <f t="shared" si="22"/>
        <v>906592.5</v>
      </c>
      <c r="AK25" s="23">
        <f t="shared" ref="AK25:AL25" si="23">SUM(AK22:AK24)</f>
        <v>907663</v>
      </c>
      <c r="AL25" s="23">
        <f t="shared" si="23"/>
        <v>926542.5</v>
      </c>
      <c r="AM25" s="23">
        <f t="shared" ref="AM25:AN25" si="24">SUM(AM22:AM24)</f>
        <v>930618</v>
      </c>
      <c r="AN25" s="23">
        <f t="shared" si="24"/>
        <v>876650.5</v>
      </c>
      <c r="AO25" s="23">
        <f t="shared" ref="AO25:AP25" si="25">SUM(AO22:AO24)</f>
        <v>814718.5</v>
      </c>
      <c r="AP25" s="23">
        <f t="shared" si="25"/>
        <v>782676.5</v>
      </c>
      <c r="AQ25" s="7"/>
    </row>
    <row r="26" spans="1:43" ht="13.5" customHeight="1" x14ac:dyDescent="0.2">
      <c r="A26" s="4"/>
      <c r="B26" s="29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29"/>
      <c r="Q26" s="29"/>
      <c r="R26" s="29"/>
      <c r="S26" s="30"/>
      <c r="T26" s="29"/>
      <c r="U26" s="29"/>
      <c r="V26" s="29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7"/>
    </row>
    <row r="27" spans="1:43" ht="13.5" customHeight="1" x14ac:dyDescent="0.2">
      <c r="A27" s="4"/>
      <c r="B27" s="1"/>
      <c r="C27" s="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1"/>
      <c r="Q27" s="1"/>
      <c r="R27" s="1"/>
      <c r="S27" s="32"/>
      <c r="T27" s="1"/>
      <c r="U27" s="1"/>
      <c r="V27" s="1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7"/>
    </row>
    <row r="28" spans="1:43" ht="13.5" customHeight="1" x14ac:dyDescent="0.2">
      <c r="A28" s="4"/>
      <c r="B28" s="16" t="s">
        <v>50</v>
      </c>
      <c r="C28" s="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1"/>
      <c r="Q28" s="1"/>
      <c r="R28" s="1"/>
      <c r="S28" s="32"/>
      <c r="T28" s="1"/>
      <c r="U28" s="1"/>
      <c r="V28" s="1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7"/>
    </row>
    <row r="29" spans="1:43" ht="13.5" customHeight="1" x14ac:dyDescent="0.2">
      <c r="A29" s="4"/>
      <c r="B29" s="1"/>
      <c r="C29" s="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1"/>
      <c r="Q29" s="1"/>
      <c r="R29" s="1"/>
      <c r="S29" s="32"/>
      <c r="T29" s="1"/>
      <c r="U29" s="1"/>
      <c r="V29" s="1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7"/>
    </row>
    <row r="30" spans="1:43" ht="13.5" customHeight="1" x14ac:dyDescent="0.2">
      <c r="A30" s="33"/>
      <c r="B30" s="34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6"/>
      <c r="AG30" s="36"/>
      <c r="AH30" s="36"/>
      <c r="AI30" s="36"/>
      <c r="AJ30" s="36"/>
      <c r="AK30" s="36"/>
      <c r="AL30" s="48"/>
      <c r="AM30" s="48"/>
      <c r="AN30" s="48"/>
      <c r="AO30" s="48"/>
      <c r="AP30" s="48" t="s">
        <v>54</v>
      </c>
      <c r="AQ30" s="37"/>
    </row>
  </sheetData>
  <mergeCells count="1">
    <mergeCell ref="A2:AQ2"/>
  </mergeCells>
  <printOptions horizontalCentered="1"/>
  <pageMargins left="0.7" right="0.45" top="0.5" bottom="0.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workbookViewId="0"/>
  </sheetViews>
  <sheetFormatPr defaultColWidth="8.42578125" defaultRowHeight="13.5" customHeight="1" x14ac:dyDescent="0.2"/>
  <cols>
    <col min="1" max="2" width="2.7109375" style="3" customWidth="1"/>
    <col min="3" max="3" width="23.7109375" style="3" customWidth="1"/>
    <col min="4" max="36" width="10.7109375" style="3" hidden="1" customWidth="1"/>
    <col min="37" max="42" width="10.7109375" style="3" customWidth="1"/>
    <col min="43" max="43" width="2.7109375" style="3" customWidth="1"/>
    <col min="44" max="16384" width="8.42578125" style="3"/>
  </cols>
  <sheetData>
    <row r="1" spans="1:43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5" customHeight="1" x14ac:dyDescent="0.2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1"/>
    </row>
    <row r="3" spans="1:43" ht="13.5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7"/>
    </row>
    <row r="4" spans="1:43" ht="15" customHeight="1" x14ac:dyDescent="0.25">
      <c r="A4" s="8"/>
      <c r="B4" s="39" t="s">
        <v>41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7"/>
    </row>
    <row r="5" spans="1:43" ht="15" customHeight="1" x14ac:dyDescent="0.25">
      <c r="A5" s="8"/>
      <c r="B5" s="39" t="s">
        <v>40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7"/>
    </row>
    <row r="6" spans="1:43" ht="13.5" customHeight="1" thickBot="1" x14ac:dyDescent="0.25">
      <c r="A6" s="8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7"/>
    </row>
    <row r="7" spans="1:43" ht="13.5" customHeight="1" thickTop="1" x14ac:dyDescent="0.2">
      <c r="A7" s="4"/>
      <c r="B7" s="13"/>
      <c r="C7" s="13"/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14" t="s">
        <v>13</v>
      </c>
      <c r="P7" s="14" t="s">
        <v>14</v>
      </c>
      <c r="Q7" s="14" t="s">
        <v>15</v>
      </c>
      <c r="R7" s="14" t="s">
        <v>16</v>
      </c>
      <c r="S7" s="14" t="s">
        <v>17</v>
      </c>
      <c r="T7" s="14" t="s">
        <v>18</v>
      </c>
      <c r="U7" s="14" t="s">
        <v>19</v>
      </c>
      <c r="V7" s="14" t="s">
        <v>20</v>
      </c>
      <c r="W7" s="14" t="s">
        <v>21</v>
      </c>
      <c r="X7" s="14" t="s">
        <v>22</v>
      </c>
      <c r="Y7" s="14" t="s">
        <v>23</v>
      </c>
      <c r="Z7" s="15" t="s">
        <v>24</v>
      </c>
      <c r="AA7" s="15" t="s">
        <v>25</v>
      </c>
      <c r="AB7" s="15" t="s">
        <v>26</v>
      </c>
      <c r="AC7" s="15" t="s">
        <v>27</v>
      </c>
      <c r="AD7" s="15" t="s">
        <v>28</v>
      </c>
      <c r="AE7" s="15" t="s">
        <v>29</v>
      </c>
      <c r="AF7" s="15" t="s">
        <v>30</v>
      </c>
      <c r="AG7" s="15" t="s">
        <v>31</v>
      </c>
      <c r="AH7" s="15" t="s">
        <v>32</v>
      </c>
      <c r="AI7" s="15" t="s">
        <v>33</v>
      </c>
      <c r="AJ7" s="15" t="s">
        <v>34</v>
      </c>
      <c r="AK7" s="15" t="s">
        <v>39</v>
      </c>
      <c r="AL7" s="15" t="s">
        <v>48</v>
      </c>
      <c r="AM7" s="15" t="s">
        <v>49</v>
      </c>
      <c r="AN7" s="15" t="s">
        <v>51</v>
      </c>
      <c r="AO7" s="15" t="s">
        <v>52</v>
      </c>
      <c r="AP7" s="15" t="s">
        <v>53</v>
      </c>
      <c r="AQ7" s="7"/>
    </row>
    <row r="8" spans="1:43" ht="13.5" customHeight="1" x14ac:dyDescent="0.2">
      <c r="A8" s="4"/>
      <c r="B8" s="1"/>
      <c r="C8" s="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7"/>
    </row>
    <row r="9" spans="1:43" ht="13.5" customHeight="1" x14ac:dyDescent="0.2">
      <c r="A9" s="8"/>
      <c r="B9" s="63" t="s">
        <v>35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7"/>
    </row>
    <row r="10" spans="1:43" ht="13.5" customHeight="1" x14ac:dyDescent="0.2">
      <c r="A10" s="4"/>
      <c r="B10" s="16"/>
      <c r="C10" s="68" t="s">
        <v>36</v>
      </c>
      <c r="D10" s="27">
        <f>15537+74612+65688</f>
        <v>155837</v>
      </c>
      <c r="E10" s="27">
        <f>15731+78543+68334</f>
        <v>162608</v>
      </c>
      <c r="F10" s="27">
        <f>15089+76053+71888</f>
        <v>163030</v>
      </c>
      <c r="G10" s="27">
        <f>14322+75326+71652</f>
        <v>161300</v>
      </c>
      <c r="H10" s="27">
        <f>15110+77801+71511</f>
        <v>164422</v>
      </c>
      <c r="I10" s="27">
        <f>14791+76525+73362</f>
        <v>164678</v>
      </c>
      <c r="J10" s="27">
        <f>16637+75592+72467</f>
        <v>164696</v>
      </c>
      <c r="K10" s="27">
        <f>15896+75494+70762</f>
        <v>162152</v>
      </c>
      <c r="L10" s="27">
        <f>15293+73313+70757</f>
        <v>159363</v>
      </c>
      <c r="M10" s="27">
        <f>14633+70833+69434</f>
        <v>154900</v>
      </c>
      <c r="N10" s="27"/>
      <c r="O10" s="24">
        <v>143549</v>
      </c>
      <c r="P10" s="24">
        <v>134458</v>
      </c>
      <c r="Q10" s="24">
        <v>123822</v>
      </c>
      <c r="R10" s="24">
        <v>124994</v>
      </c>
      <c r="S10" s="24">
        <v>127935</v>
      </c>
      <c r="T10" s="24">
        <v>131413</v>
      </c>
      <c r="U10" s="24">
        <v>137170</v>
      </c>
      <c r="V10" s="24">
        <v>138125</v>
      </c>
      <c r="W10" s="18">
        <v>138439</v>
      </c>
      <c r="X10" s="18">
        <v>140614.5</v>
      </c>
      <c r="Y10" s="18">
        <v>149666</v>
      </c>
      <c r="Z10" s="18">
        <v>157320</v>
      </c>
      <c r="AA10" s="18">
        <v>163811</v>
      </c>
      <c r="AB10" s="18">
        <v>169745</v>
      </c>
      <c r="AC10" s="18">
        <v>174271</v>
      </c>
      <c r="AD10" s="18">
        <v>168169</v>
      </c>
      <c r="AE10" s="18">
        <v>169901.5</v>
      </c>
      <c r="AF10" s="18">
        <v>179921.5</v>
      </c>
      <c r="AG10" s="18">
        <v>189744</v>
      </c>
      <c r="AH10" s="18">
        <v>200008</v>
      </c>
      <c r="AI10" s="18">
        <v>201174.25</v>
      </c>
      <c r="AJ10" s="18">
        <v>197224</v>
      </c>
      <c r="AK10" s="18">
        <v>193852.5</v>
      </c>
      <c r="AL10" s="18">
        <v>187430</v>
      </c>
      <c r="AM10" s="18">
        <v>181827</v>
      </c>
      <c r="AN10" s="18">
        <v>182163</v>
      </c>
      <c r="AO10" s="18">
        <v>180831</v>
      </c>
      <c r="AP10" s="18">
        <v>173452</v>
      </c>
      <c r="AQ10" s="7"/>
    </row>
    <row r="11" spans="1:43" ht="13.5" customHeight="1" x14ac:dyDescent="0.2">
      <c r="A11" s="4"/>
      <c r="B11" s="16"/>
      <c r="C11" s="68" t="s">
        <v>46</v>
      </c>
      <c r="D11" s="27">
        <f>5599+24101+25337</f>
        <v>55037</v>
      </c>
      <c r="E11" s="27">
        <f>8362+24478+25162</f>
        <v>58002</v>
      </c>
      <c r="F11" s="27">
        <f>9564+23321+28288</f>
        <v>61173</v>
      </c>
      <c r="G11" s="27">
        <f>10341+22786+26944</f>
        <v>60071</v>
      </c>
      <c r="H11" s="27">
        <f>9986+21683+25637</f>
        <v>57306</v>
      </c>
      <c r="I11" s="27">
        <f>10547+21331+24449</f>
        <v>56327</v>
      </c>
      <c r="J11" s="27">
        <f>7011+22431+24586</f>
        <v>54028</v>
      </c>
      <c r="K11" s="27">
        <f>6963+22189+24258</f>
        <v>53410</v>
      </c>
      <c r="L11" s="27">
        <f>7242+21339+23911</f>
        <v>52492</v>
      </c>
      <c r="M11" s="27">
        <f>7518+20863+23294</f>
        <v>51675</v>
      </c>
      <c r="N11" s="27"/>
      <c r="O11" s="24">
        <v>50161</v>
      </c>
      <c r="P11" s="24">
        <v>51119</v>
      </c>
      <c r="Q11" s="24">
        <v>50392</v>
      </c>
      <c r="R11" s="24">
        <v>51582</v>
      </c>
      <c r="S11" s="24">
        <v>51733</v>
      </c>
      <c r="T11" s="24">
        <v>51783</v>
      </c>
      <c r="U11" s="24">
        <v>52063</v>
      </c>
      <c r="V11" s="24">
        <v>53252.5</v>
      </c>
      <c r="W11" s="18">
        <v>54913</v>
      </c>
      <c r="X11" s="18">
        <v>57012.5</v>
      </c>
      <c r="Y11" s="18">
        <v>56768</v>
      </c>
      <c r="Z11" s="18">
        <v>58762</v>
      </c>
      <c r="AA11" s="18">
        <v>58348</v>
      </c>
      <c r="AB11" s="18">
        <v>62132</v>
      </c>
      <c r="AC11" s="18">
        <v>63553</v>
      </c>
      <c r="AD11" s="18">
        <v>62862</v>
      </c>
      <c r="AE11" s="18">
        <v>62264.5</v>
      </c>
      <c r="AF11" s="18">
        <v>63316</v>
      </c>
      <c r="AG11" s="18">
        <v>65706.5</v>
      </c>
      <c r="AH11" s="18">
        <v>69496.5</v>
      </c>
      <c r="AI11" s="18">
        <v>67353.5</v>
      </c>
      <c r="AJ11" s="18">
        <v>69890.5</v>
      </c>
      <c r="AK11" s="18">
        <v>70877.5</v>
      </c>
      <c r="AL11" s="18">
        <v>70710</v>
      </c>
      <c r="AM11" s="18">
        <v>69836.5</v>
      </c>
      <c r="AN11" s="18">
        <v>67777</v>
      </c>
      <c r="AO11" s="18">
        <v>68767</v>
      </c>
      <c r="AP11" s="18">
        <v>67881.5</v>
      </c>
      <c r="AQ11" s="7"/>
    </row>
    <row r="12" spans="1:43" ht="13.5" customHeight="1" x14ac:dyDescent="0.2">
      <c r="A12" s="4"/>
      <c r="B12" s="16"/>
      <c r="C12" s="68" t="s">
        <v>47</v>
      </c>
      <c r="D12" s="43">
        <f>9222+17910+16238</f>
        <v>43370</v>
      </c>
      <c r="E12" s="43">
        <f>8472+17082+16553</f>
        <v>42107</v>
      </c>
      <c r="F12" s="43">
        <f>8470+16326+14943</f>
        <v>39739</v>
      </c>
      <c r="G12" s="43">
        <f>9148+16665+14964</f>
        <v>40777</v>
      </c>
      <c r="H12" s="43">
        <f>10302+16660+15258</f>
        <v>42220</v>
      </c>
      <c r="I12" s="43">
        <f>9436+16310+15647</f>
        <v>41393</v>
      </c>
      <c r="J12" s="43">
        <f>9780+17656+16653</f>
        <v>44089</v>
      </c>
      <c r="K12" s="43">
        <f>10355+18087+17564</f>
        <v>46006</v>
      </c>
      <c r="L12" s="43">
        <f>10352+18409+18363</f>
        <v>47124</v>
      </c>
      <c r="M12" s="43">
        <f>10542+18280+19107</f>
        <v>47929</v>
      </c>
      <c r="N12" s="43"/>
      <c r="O12" s="30">
        <v>45292</v>
      </c>
      <c r="P12" s="24">
        <v>43885</v>
      </c>
      <c r="Q12" s="24">
        <v>42670</v>
      </c>
      <c r="R12" s="24">
        <v>45159</v>
      </c>
      <c r="S12" s="24">
        <v>47630</v>
      </c>
      <c r="T12" s="24">
        <v>45596</v>
      </c>
      <c r="U12" s="44">
        <v>45567</v>
      </c>
      <c r="V12" s="30">
        <v>43979</v>
      </c>
      <c r="W12" s="21">
        <v>44503</v>
      </c>
      <c r="X12" s="21">
        <v>46140</v>
      </c>
      <c r="Y12" s="21">
        <v>44316</v>
      </c>
      <c r="Z12" s="21">
        <v>46007</v>
      </c>
      <c r="AA12" s="21">
        <v>46704</v>
      </c>
      <c r="AB12" s="21">
        <v>44304</v>
      </c>
      <c r="AC12" s="21">
        <v>43336</v>
      </c>
      <c r="AD12" s="21">
        <v>44181</v>
      </c>
      <c r="AE12" s="21">
        <v>42946.5</v>
      </c>
      <c r="AF12" s="21">
        <v>43595</v>
      </c>
      <c r="AG12" s="21">
        <v>45625.5</v>
      </c>
      <c r="AH12" s="21">
        <v>44597</v>
      </c>
      <c r="AI12" s="21">
        <v>43912.75</v>
      </c>
      <c r="AJ12" s="21">
        <v>43014.5</v>
      </c>
      <c r="AK12" s="21">
        <v>46716.5</v>
      </c>
      <c r="AL12" s="21">
        <v>49842</v>
      </c>
      <c r="AM12" s="21">
        <v>49622.5</v>
      </c>
      <c r="AN12" s="21">
        <v>44781.5</v>
      </c>
      <c r="AO12" s="21">
        <v>37772</v>
      </c>
      <c r="AP12" s="21">
        <v>35117.5</v>
      </c>
      <c r="AQ12" s="7"/>
    </row>
    <row r="13" spans="1:43" ht="13.5" customHeight="1" x14ac:dyDescent="0.2">
      <c r="A13" s="4"/>
      <c r="B13" s="16"/>
      <c r="C13" s="16"/>
      <c r="D13" s="17">
        <f t="shared" ref="D13:M13" si="0">SUM(D10:D12)</f>
        <v>254244</v>
      </c>
      <c r="E13" s="17">
        <f t="shared" si="0"/>
        <v>262717</v>
      </c>
      <c r="F13" s="17">
        <f t="shared" si="0"/>
        <v>263942</v>
      </c>
      <c r="G13" s="17">
        <f t="shared" si="0"/>
        <v>262148</v>
      </c>
      <c r="H13" s="17">
        <f t="shared" si="0"/>
        <v>263948</v>
      </c>
      <c r="I13" s="17">
        <f t="shared" si="0"/>
        <v>262398</v>
      </c>
      <c r="J13" s="17">
        <f t="shared" si="0"/>
        <v>262813</v>
      </c>
      <c r="K13" s="17">
        <f t="shared" si="0"/>
        <v>261568</v>
      </c>
      <c r="L13" s="17">
        <f t="shared" si="0"/>
        <v>258979</v>
      </c>
      <c r="M13" s="17">
        <f t="shared" si="0"/>
        <v>254504</v>
      </c>
      <c r="N13" s="17"/>
      <c r="O13" s="18">
        <f t="shared" ref="O13:AA13" si="1">SUM(O10:O12)</f>
        <v>239002</v>
      </c>
      <c r="P13" s="26">
        <f t="shared" si="1"/>
        <v>229462</v>
      </c>
      <c r="Q13" s="26">
        <f t="shared" si="1"/>
        <v>216884</v>
      </c>
      <c r="R13" s="26">
        <f t="shared" si="1"/>
        <v>221735</v>
      </c>
      <c r="S13" s="26">
        <f t="shared" si="1"/>
        <v>227298</v>
      </c>
      <c r="T13" s="26">
        <f t="shared" si="1"/>
        <v>228792</v>
      </c>
      <c r="U13" s="45">
        <f t="shared" si="1"/>
        <v>234800</v>
      </c>
      <c r="V13" s="45">
        <f t="shared" si="1"/>
        <v>235356.5</v>
      </c>
      <c r="W13" s="46">
        <f t="shared" si="1"/>
        <v>237855</v>
      </c>
      <c r="X13" s="46">
        <f t="shared" si="1"/>
        <v>243767</v>
      </c>
      <c r="Y13" s="46">
        <f t="shared" si="1"/>
        <v>250750</v>
      </c>
      <c r="Z13" s="46">
        <f t="shared" si="1"/>
        <v>262089</v>
      </c>
      <c r="AA13" s="46">
        <f t="shared" si="1"/>
        <v>268863</v>
      </c>
      <c r="AB13" s="46">
        <f t="shared" ref="AB13:AK13" si="2">SUM(AB10:AB12)</f>
        <v>276181</v>
      </c>
      <c r="AC13" s="46">
        <f t="shared" si="2"/>
        <v>281160</v>
      </c>
      <c r="AD13" s="46">
        <f t="shared" si="2"/>
        <v>275212</v>
      </c>
      <c r="AE13" s="46">
        <f t="shared" si="2"/>
        <v>275112.5</v>
      </c>
      <c r="AF13" s="46">
        <f t="shared" si="2"/>
        <v>286832.5</v>
      </c>
      <c r="AG13" s="46">
        <f t="shared" si="2"/>
        <v>301076</v>
      </c>
      <c r="AH13" s="46">
        <f t="shared" si="2"/>
        <v>314101.5</v>
      </c>
      <c r="AI13" s="46">
        <f t="shared" si="2"/>
        <v>312440.5</v>
      </c>
      <c r="AJ13" s="46">
        <f t="shared" si="2"/>
        <v>310129</v>
      </c>
      <c r="AK13" s="46">
        <f t="shared" si="2"/>
        <v>311446.5</v>
      </c>
      <c r="AL13" s="46">
        <f t="shared" ref="AL13:AM13" si="3">SUM(AL10:AL12)</f>
        <v>307982</v>
      </c>
      <c r="AM13" s="46">
        <f t="shared" si="3"/>
        <v>301286</v>
      </c>
      <c r="AN13" s="46">
        <f t="shared" ref="AN13" si="4">SUM(AN10:AN12)</f>
        <v>294721.5</v>
      </c>
      <c r="AO13" s="46">
        <f t="shared" ref="AO13:AP13" si="5">SUM(AO10:AO12)</f>
        <v>287370</v>
      </c>
      <c r="AP13" s="46">
        <f t="shared" si="5"/>
        <v>276451</v>
      </c>
      <c r="AQ13" s="7"/>
    </row>
    <row r="14" spans="1:43" ht="13.5" customHeight="1" x14ac:dyDescent="0.2">
      <c r="A14" s="4"/>
      <c r="B14" s="16"/>
      <c r="C14" s="16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16"/>
      <c r="S14" s="24"/>
      <c r="T14" s="16"/>
      <c r="U14" s="16"/>
      <c r="V14" s="16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7"/>
    </row>
    <row r="15" spans="1:43" ht="13.5" customHeight="1" x14ac:dyDescent="0.2">
      <c r="A15" s="4"/>
      <c r="B15" s="63" t="s">
        <v>37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7"/>
    </row>
    <row r="16" spans="1:43" ht="13.5" customHeight="1" x14ac:dyDescent="0.2">
      <c r="A16" s="4"/>
      <c r="B16" s="16"/>
      <c r="C16" s="68" t="s">
        <v>36</v>
      </c>
      <c r="D16" s="24"/>
      <c r="E16" s="24"/>
      <c r="F16" s="24"/>
      <c r="G16" s="24"/>
      <c r="H16" s="24"/>
      <c r="I16" s="24">
        <f>166467-I10</f>
        <v>1789</v>
      </c>
      <c r="J16" s="24">
        <v>0</v>
      </c>
      <c r="K16" s="24">
        <f>163188-K10</f>
        <v>1036</v>
      </c>
      <c r="L16" s="24">
        <f>162581-L10</f>
        <v>3218</v>
      </c>
      <c r="M16" s="24">
        <f>158133-M10</f>
        <v>3233</v>
      </c>
      <c r="N16" s="24"/>
      <c r="O16" s="24">
        <v>6226</v>
      </c>
      <c r="P16" s="24">
        <v>4165</v>
      </c>
      <c r="Q16" s="24">
        <v>3906</v>
      </c>
      <c r="R16" s="24">
        <v>3313</v>
      </c>
      <c r="S16" s="24">
        <v>3419</v>
      </c>
      <c r="T16" s="24">
        <v>3207</v>
      </c>
      <c r="U16" s="24">
        <v>4381</v>
      </c>
      <c r="V16" s="24">
        <v>6828</v>
      </c>
      <c r="W16" s="18">
        <v>17908</v>
      </c>
      <c r="X16" s="18">
        <v>27939</v>
      </c>
      <c r="Y16" s="18">
        <v>27511</v>
      </c>
      <c r="Z16" s="18">
        <v>29388</v>
      </c>
      <c r="AA16" s="18">
        <v>31556</v>
      </c>
      <c r="AB16" s="18">
        <v>32578</v>
      </c>
      <c r="AC16" s="18">
        <v>34723</v>
      </c>
      <c r="AD16" s="18">
        <v>36906</v>
      </c>
      <c r="AE16" s="18">
        <v>35512</v>
      </c>
      <c r="AF16" s="18">
        <v>29288</v>
      </c>
      <c r="AG16" s="18">
        <v>35909</v>
      </c>
      <c r="AH16" s="18">
        <v>37512</v>
      </c>
      <c r="AI16" s="18">
        <v>35832.5</v>
      </c>
      <c r="AJ16" s="18">
        <v>51413.25</v>
      </c>
      <c r="AK16" s="18">
        <v>51946.5</v>
      </c>
      <c r="AL16" s="18">
        <v>55414</v>
      </c>
      <c r="AM16" s="18">
        <v>56294.5</v>
      </c>
      <c r="AN16" s="18">
        <v>57280.5</v>
      </c>
      <c r="AO16" s="18">
        <v>58186.5</v>
      </c>
      <c r="AP16" s="18">
        <v>60413.5</v>
      </c>
      <c r="AQ16" s="7"/>
    </row>
    <row r="17" spans="1:43" ht="13.5" customHeight="1" x14ac:dyDescent="0.2">
      <c r="A17" s="4"/>
      <c r="B17" s="16"/>
      <c r="C17" s="68" t="s">
        <v>46</v>
      </c>
      <c r="D17" s="24"/>
      <c r="E17" s="24"/>
      <c r="F17" s="24"/>
      <c r="G17" s="24"/>
      <c r="H17" s="24"/>
      <c r="I17" s="24">
        <v>0</v>
      </c>
      <c r="J17" s="24">
        <f>56504-J11</f>
        <v>2476</v>
      </c>
      <c r="K17" s="24">
        <f>53700-K11</f>
        <v>290</v>
      </c>
      <c r="L17" s="24">
        <f>53065-L11</f>
        <v>573</v>
      </c>
      <c r="M17" s="24">
        <f>51872-M11</f>
        <v>197</v>
      </c>
      <c r="N17" s="24"/>
      <c r="O17" s="24">
        <v>98</v>
      </c>
      <c r="P17" s="24">
        <v>129</v>
      </c>
      <c r="Q17" s="24">
        <v>58</v>
      </c>
      <c r="R17" s="24">
        <v>67</v>
      </c>
      <c r="S17" s="24">
        <v>27</v>
      </c>
      <c r="T17" s="24">
        <v>100</v>
      </c>
      <c r="U17" s="24">
        <v>69</v>
      </c>
      <c r="V17" s="24">
        <v>441</v>
      </c>
      <c r="W17" s="18">
        <v>765</v>
      </c>
      <c r="X17" s="18">
        <v>388.5</v>
      </c>
      <c r="Y17" s="18">
        <v>338</v>
      </c>
      <c r="Z17" s="18">
        <v>422</v>
      </c>
      <c r="AA17" s="18">
        <v>379</v>
      </c>
      <c r="AB17" s="18">
        <v>536</v>
      </c>
      <c r="AC17" s="18">
        <v>579</v>
      </c>
      <c r="AD17" s="18">
        <v>755</v>
      </c>
      <c r="AE17" s="18">
        <v>2025.5</v>
      </c>
      <c r="AF17" s="18">
        <v>3737.5</v>
      </c>
      <c r="AG17" s="18">
        <v>4752.5</v>
      </c>
      <c r="AH17" s="18">
        <v>5005.5</v>
      </c>
      <c r="AI17" s="18">
        <v>5776.5</v>
      </c>
      <c r="AJ17" s="18">
        <v>6389.5</v>
      </c>
      <c r="AK17" s="18">
        <v>6538</v>
      </c>
      <c r="AL17" s="18">
        <v>6966</v>
      </c>
      <c r="AM17" s="18">
        <v>7517.5</v>
      </c>
      <c r="AN17" s="18">
        <v>8270</v>
      </c>
      <c r="AO17" s="18">
        <v>9981.5</v>
      </c>
      <c r="AP17" s="18">
        <v>9949</v>
      </c>
      <c r="AQ17" s="7"/>
    </row>
    <row r="18" spans="1:43" ht="13.5" customHeight="1" x14ac:dyDescent="0.2">
      <c r="A18" s="4"/>
      <c r="B18" s="16"/>
      <c r="C18" s="68" t="s">
        <v>47</v>
      </c>
      <c r="D18" s="30"/>
      <c r="E18" s="30"/>
      <c r="F18" s="30"/>
      <c r="G18" s="30"/>
      <c r="H18" s="30"/>
      <c r="I18" s="30">
        <f>45096-I12</f>
        <v>3703</v>
      </c>
      <c r="J18" s="30">
        <f>44559-J12</f>
        <v>470</v>
      </c>
      <c r="K18" s="30">
        <f>49167-K12</f>
        <v>3161</v>
      </c>
      <c r="L18" s="30">
        <f>51910-L12</f>
        <v>4786</v>
      </c>
      <c r="M18" s="30">
        <f>52050-M12</f>
        <v>4121</v>
      </c>
      <c r="N18" s="30"/>
      <c r="O18" s="30">
        <v>5309</v>
      </c>
      <c r="P18" s="24">
        <v>3231</v>
      </c>
      <c r="Q18" s="24">
        <v>2880</v>
      </c>
      <c r="R18" s="24">
        <v>2571</v>
      </c>
      <c r="S18" s="24">
        <v>2074</v>
      </c>
      <c r="T18" s="24">
        <v>2078</v>
      </c>
      <c r="U18" s="44">
        <v>2171</v>
      </c>
      <c r="V18" s="30">
        <v>2455</v>
      </c>
      <c r="W18" s="21">
        <v>3930</v>
      </c>
      <c r="X18" s="21">
        <v>4931</v>
      </c>
      <c r="Y18" s="21">
        <v>4776</v>
      </c>
      <c r="Z18" s="21">
        <v>5737</v>
      </c>
      <c r="AA18" s="21">
        <v>6357</v>
      </c>
      <c r="AB18" s="21">
        <v>4788</v>
      </c>
      <c r="AC18" s="21">
        <v>5326</v>
      </c>
      <c r="AD18" s="21">
        <v>5137</v>
      </c>
      <c r="AE18" s="21">
        <v>8348.5</v>
      </c>
      <c r="AF18" s="21">
        <v>9233</v>
      </c>
      <c r="AG18" s="21">
        <v>8952.5</v>
      </c>
      <c r="AH18" s="21">
        <v>10397</v>
      </c>
      <c r="AI18" s="21">
        <v>11248</v>
      </c>
      <c r="AJ18" s="21">
        <v>10969</v>
      </c>
      <c r="AK18" s="21">
        <v>11248</v>
      </c>
      <c r="AL18" s="21">
        <v>10750</v>
      </c>
      <c r="AM18" s="21">
        <v>10712</v>
      </c>
      <c r="AN18" s="21">
        <v>11183</v>
      </c>
      <c r="AO18" s="21">
        <v>13775.5</v>
      </c>
      <c r="AP18" s="21">
        <v>15925</v>
      </c>
      <c r="AQ18" s="7"/>
    </row>
    <row r="19" spans="1:43" ht="13.5" customHeight="1" x14ac:dyDescent="0.2">
      <c r="A19" s="4"/>
      <c r="B19" s="16"/>
      <c r="C19" s="16"/>
      <c r="D19" s="18"/>
      <c r="E19" s="18"/>
      <c r="F19" s="18"/>
      <c r="G19" s="18"/>
      <c r="H19" s="18"/>
      <c r="I19" s="18">
        <f>SUM(I16:I18)</f>
        <v>5492</v>
      </c>
      <c r="J19" s="18">
        <f>SUM(J16:J18)</f>
        <v>2946</v>
      </c>
      <c r="K19" s="18">
        <f>SUM(K16:K18)</f>
        <v>4487</v>
      </c>
      <c r="L19" s="18">
        <f>SUM(L16:L18)</f>
        <v>8577</v>
      </c>
      <c r="M19" s="18">
        <f>SUM(M16:M18)</f>
        <v>7551</v>
      </c>
      <c r="N19" s="18"/>
      <c r="O19" s="18">
        <f t="shared" ref="O19:AA19" si="6">SUM(O16:O18)</f>
        <v>11633</v>
      </c>
      <c r="P19" s="26">
        <f t="shared" si="6"/>
        <v>7525</v>
      </c>
      <c r="Q19" s="26">
        <f t="shared" si="6"/>
        <v>6844</v>
      </c>
      <c r="R19" s="26">
        <f t="shared" si="6"/>
        <v>5951</v>
      </c>
      <c r="S19" s="26">
        <f t="shared" si="6"/>
        <v>5520</v>
      </c>
      <c r="T19" s="26">
        <f t="shared" si="6"/>
        <v>5385</v>
      </c>
      <c r="U19" s="45">
        <f t="shared" si="6"/>
        <v>6621</v>
      </c>
      <c r="V19" s="45">
        <f t="shared" si="6"/>
        <v>9724</v>
      </c>
      <c r="W19" s="23">
        <f t="shared" si="6"/>
        <v>22603</v>
      </c>
      <c r="X19" s="46">
        <f t="shared" si="6"/>
        <v>33258.5</v>
      </c>
      <c r="Y19" s="46">
        <f t="shared" si="6"/>
        <v>32625</v>
      </c>
      <c r="Z19" s="46">
        <f t="shared" si="6"/>
        <v>35547</v>
      </c>
      <c r="AA19" s="46">
        <f t="shared" si="6"/>
        <v>38292</v>
      </c>
      <c r="AB19" s="46">
        <f t="shared" ref="AB19:AK19" si="7">SUM(AB16:AB18)</f>
        <v>37902</v>
      </c>
      <c r="AC19" s="46">
        <f t="shared" si="7"/>
        <v>40628</v>
      </c>
      <c r="AD19" s="46">
        <f t="shared" si="7"/>
        <v>42798</v>
      </c>
      <c r="AE19" s="46">
        <f t="shared" si="7"/>
        <v>45886</v>
      </c>
      <c r="AF19" s="46">
        <f t="shared" si="7"/>
        <v>42258.5</v>
      </c>
      <c r="AG19" s="46">
        <f t="shared" si="7"/>
        <v>49614</v>
      </c>
      <c r="AH19" s="46">
        <f t="shared" si="7"/>
        <v>52914.5</v>
      </c>
      <c r="AI19" s="46">
        <f t="shared" si="7"/>
        <v>52857</v>
      </c>
      <c r="AJ19" s="46">
        <f t="shared" si="7"/>
        <v>68771.75</v>
      </c>
      <c r="AK19" s="46">
        <f t="shared" si="7"/>
        <v>69732.5</v>
      </c>
      <c r="AL19" s="46">
        <f t="shared" ref="AL19:AM19" si="8">SUM(AL16:AL18)</f>
        <v>73130</v>
      </c>
      <c r="AM19" s="46">
        <f t="shared" si="8"/>
        <v>74524</v>
      </c>
      <c r="AN19" s="46">
        <f t="shared" ref="AN19" si="9">SUM(AN16:AN18)</f>
        <v>76733.5</v>
      </c>
      <c r="AO19" s="46">
        <f t="shared" ref="AO19:AP19" si="10">SUM(AO16:AO18)</f>
        <v>81943.5</v>
      </c>
      <c r="AP19" s="46">
        <f t="shared" si="10"/>
        <v>86287.5</v>
      </c>
      <c r="AQ19" s="7"/>
    </row>
    <row r="20" spans="1:43" ht="13.5" customHeight="1" x14ac:dyDescent="0.2">
      <c r="A20" s="4"/>
      <c r="B20" s="16"/>
      <c r="C20" s="16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7"/>
    </row>
    <row r="21" spans="1:43" ht="13.5" customHeight="1" x14ac:dyDescent="0.2">
      <c r="A21" s="8"/>
      <c r="B21" s="63" t="s">
        <v>38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7"/>
    </row>
    <row r="22" spans="1:43" ht="13.5" customHeight="1" x14ac:dyDescent="0.2">
      <c r="A22" s="4"/>
      <c r="B22" s="16"/>
      <c r="C22" s="68" t="s">
        <v>36</v>
      </c>
      <c r="D22" s="27">
        <f t="shared" ref="D22:G24" si="11">D10</f>
        <v>155837</v>
      </c>
      <c r="E22" s="27">
        <f t="shared" si="11"/>
        <v>162608</v>
      </c>
      <c r="F22" s="27">
        <f t="shared" si="11"/>
        <v>163030</v>
      </c>
      <c r="G22" s="27">
        <f t="shared" si="11"/>
        <v>161300</v>
      </c>
      <c r="H22" s="27">
        <f>H10</f>
        <v>164422</v>
      </c>
      <c r="I22" s="18">
        <f t="shared" ref="I22:M24" si="12">I10+I16</f>
        <v>166467</v>
      </c>
      <c r="J22" s="18">
        <f t="shared" si="12"/>
        <v>164696</v>
      </c>
      <c r="K22" s="18">
        <f t="shared" si="12"/>
        <v>163188</v>
      </c>
      <c r="L22" s="18">
        <f t="shared" si="12"/>
        <v>162581</v>
      </c>
      <c r="M22" s="18">
        <f t="shared" si="12"/>
        <v>158133</v>
      </c>
      <c r="N22" s="27"/>
      <c r="O22" s="18">
        <f t="shared" ref="O22:AF24" si="13">O10+O16</f>
        <v>149775</v>
      </c>
      <c r="P22" s="18">
        <f t="shared" si="13"/>
        <v>138623</v>
      </c>
      <c r="Q22" s="18">
        <f t="shared" si="13"/>
        <v>127728</v>
      </c>
      <c r="R22" s="18">
        <f t="shared" si="13"/>
        <v>128307</v>
      </c>
      <c r="S22" s="18">
        <f t="shared" si="13"/>
        <v>131354</v>
      </c>
      <c r="T22" s="18">
        <f t="shared" si="13"/>
        <v>134620</v>
      </c>
      <c r="U22" s="18">
        <f t="shared" si="13"/>
        <v>141551</v>
      </c>
      <c r="V22" s="18">
        <f t="shared" si="13"/>
        <v>144953</v>
      </c>
      <c r="W22" s="18">
        <f t="shared" si="13"/>
        <v>156347</v>
      </c>
      <c r="X22" s="18">
        <f t="shared" si="13"/>
        <v>168553.5</v>
      </c>
      <c r="Y22" s="18">
        <f t="shared" si="13"/>
        <v>177177</v>
      </c>
      <c r="Z22" s="18">
        <f t="shared" si="13"/>
        <v>186708</v>
      </c>
      <c r="AA22" s="18">
        <f t="shared" si="13"/>
        <v>195367</v>
      </c>
      <c r="AB22" s="18">
        <f t="shared" si="13"/>
        <v>202323</v>
      </c>
      <c r="AC22" s="18">
        <f t="shared" si="13"/>
        <v>208994</v>
      </c>
      <c r="AD22" s="18">
        <f t="shared" si="13"/>
        <v>205075</v>
      </c>
      <c r="AE22" s="18">
        <f t="shared" si="13"/>
        <v>205413.5</v>
      </c>
      <c r="AF22" s="18">
        <f t="shared" si="13"/>
        <v>209209.5</v>
      </c>
      <c r="AG22" s="18">
        <f t="shared" ref="AG22:AK24" si="14">AG10+AG16</f>
        <v>225653</v>
      </c>
      <c r="AH22" s="18">
        <f t="shared" si="14"/>
        <v>237520</v>
      </c>
      <c r="AI22" s="18">
        <f t="shared" si="14"/>
        <v>237006.75</v>
      </c>
      <c r="AJ22" s="18">
        <f t="shared" si="14"/>
        <v>248637.25</v>
      </c>
      <c r="AK22" s="18">
        <f t="shared" si="14"/>
        <v>245799</v>
      </c>
      <c r="AL22" s="18">
        <f t="shared" ref="AL22:AM22" si="15">AL10+AL16</f>
        <v>242844</v>
      </c>
      <c r="AM22" s="18">
        <f t="shared" si="15"/>
        <v>238121.5</v>
      </c>
      <c r="AN22" s="18">
        <f t="shared" ref="AN22" si="16">AN10+AN16</f>
        <v>239443.5</v>
      </c>
      <c r="AO22" s="18">
        <f t="shared" ref="AO22:AP22" si="17">AO10+AO16</f>
        <v>239017.5</v>
      </c>
      <c r="AP22" s="18">
        <f t="shared" si="17"/>
        <v>233865.5</v>
      </c>
      <c r="AQ22" s="7"/>
    </row>
    <row r="23" spans="1:43" ht="13.5" customHeight="1" x14ac:dyDescent="0.2">
      <c r="A23" s="4"/>
      <c r="B23" s="16"/>
      <c r="C23" s="68" t="s">
        <v>46</v>
      </c>
      <c r="D23" s="27">
        <f t="shared" si="11"/>
        <v>55037</v>
      </c>
      <c r="E23" s="27">
        <f t="shared" si="11"/>
        <v>58002</v>
      </c>
      <c r="F23" s="27">
        <f t="shared" si="11"/>
        <v>61173</v>
      </c>
      <c r="G23" s="27">
        <f t="shared" si="11"/>
        <v>60071</v>
      </c>
      <c r="H23" s="27">
        <f>H11</f>
        <v>57306</v>
      </c>
      <c r="I23" s="18">
        <f t="shared" si="12"/>
        <v>56327</v>
      </c>
      <c r="J23" s="18">
        <f t="shared" si="12"/>
        <v>56504</v>
      </c>
      <c r="K23" s="18">
        <f t="shared" si="12"/>
        <v>53700</v>
      </c>
      <c r="L23" s="18">
        <f t="shared" si="12"/>
        <v>53065</v>
      </c>
      <c r="M23" s="18">
        <f t="shared" si="12"/>
        <v>51872</v>
      </c>
      <c r="N23" s="27"/>
      <c r="O23" s="18">
        <f t="shared" si="13"/>
        <v>50259</v>
      </c>
      <c r="P23" s="18">
        <f t="shared" si="13"/>
        <v>51248</v>
      </c>
      <c r="Q23" s="18">
        <f t="shared" si="13"/>
        <v>50450</v>
      </c>
      <c r="R23" s="18">
        <f t="shared" si="13"/>
        <v>51649</v>
      </c>
      <c r="S23" s="18">
        <f t="shared" si="13"/>
        <v>51760</v>
      </c>
      <c r="T23" s="18">
        <f t="shared" si="13"/>
        <v>51883</v>
      </c>
      <c r="U23" s="18">
        <f t="shared" si="13"/>
        <v>52132</v>
      </c>
      <c r="V23" s="18">
        <f t="shared" si="13"/>
        <v>53693.5</v>
      </c>
      <c r="W23" s="18">
        <f t="shared" si="13"/>
        <v>55678</v>
      </c>
      <c r="X23" s="18">
        <f t="shared" si="13"/>
        <v>57401</v>
      </c>
      <c r="Y23" s="18">
        <f t="shared" si="13"/>
        <v>57106</v>
      </c>
      <c r="Z23" s="18">
        <f t="shared" si="13"/>
        <v>59184</v>
      </c>
      <c r="AA23" s="18">
        <f t="shared" si="13"/>
        <v>58727</v>
      </c>
      <c r="AB23" s="18">
        <f t="shared" si="13"/>
        <v>62668</v>
      </c>
      <c r="AC23" s="18">
        <f t="shared" si="13"/>
        <v>64132</v>
      </c>
      <c r="AD23" s="18">
        <f t="shared" si="13"/>
        <v>63617</v>
      </c>
      <c r="AE23" s="18">
        <f t="shared" si="13"/>
        <v>64290</v>
      </c>
      <c r="AF23" s="18">
        <f t="shared" si="13"/>
        <v>67053.5</v>
      </c>
      <c r="AG23" s="18">
        <f t="shared" si="14"/>
        <v>70459</v>
      </c>
      <c r="AH23" s="18">
        <f t="shared" si="14"/>
        <v>74502</v>
      </c>
      <c r="AI23" s="18">
        <f t="shared" si="14"/>
        <v>73130</v>
      </c>
      <c r="AJ23" s="18">
        <f t="shared" si="14"/>
        <v>76280</v>
      </c>
      <c r="AK23" s="18">
        <f t="shared" si="14"/>
        <v>77415.5</v>
      </c>
      <c r="AL23" s="18">
        <f t="shared" ref="AL23:AM23" si="18">AL11+AL17</f>
        <v>77676</v>
      </c>
      <c r="AM23" s="18">
        <f t="shared" si="18"/>
        <v>77354</v>
      </c>
      <c r="AN23" s="18">
        <f t="shared" ref="AN23" si="19">AN11+AN17</f>
        <v>76047</v>
      </c>
      <c r="AO23" s="18">
        <f t="shared" ref="AO23:AP23" si="20">AO11+AO17</f>
        <v>78748.5</v>
      </c>
      <c r="AP23" s="18">
        <f t="shared" si="20"/>
        <v>77830.5</v>
      </c>
      <c r="AQ23" s="7"/>
    </row>
    <row r="24" spans="1:43" ht="13.5" customHeight="1" x14ac:dyDescent="0.2">
      <c r="A24" s="4"/>
      <c r="B24" s="16"/>
      <c r="C24" s="68" t="s">
        <v>47</v>
      </c>
      <c r="D24" s="43">
        <f t="shared" si="11"/>
        <v>43370</v>
      </c>
      <c r="E24" s="43">
        <f t="shared" si="11"/>
        <v>42107</v>
      </c>
      <c r="F24" s="43">
        <f t="shared" si="11"/>
        <v>39739</v>
      </c>
      <c r="G24" s="43">
        <f t="shared" si="11"/>
        <v>40777</v>
      </c>
      <c r="H24" s="43">
        <f>H12</f>
        <v>42220</v>
      </c>
      <c r="I24" s="21">
        <f t="shared" si="12"/>
        <v>45096</v>
      </c>
      <c r="J24" s="21">
        <f t="shared" si="12"/>
        <v>44559</v>
      </c>
      <c r="K24" s="21">
        <f t="shared" si="12"/>
        <v>49167</v>
      </c>
      <c r="L24" s="21">
        <f t="shared" si="12"/>
        <v>51910</v>
      </c>
      <c r="M24" s="21">
        <f t="shared" si="12"/>
        <v>52050</v>
      </c>
      <c r="N24" s="43"/>
      <c r="O24" s="21">
        <f t="shared" si="13"/>
        <v>50601</v>
      </c>
      <c r="P24" s="21">
        <f t="shared" si="13"/>
        <v>47116</v>
      </c>
      <c r="Q24" s="21">
        <f t="shared" si="13"/>
        <v>45550</v>
      </c>
      <c r="R24" s="21">
        <f t="shared" si="13"/>
        <v>47730</v>
      </c>
      <c r="S24" s="21">
        <f t="shared" si="13"/>
        <v>49704</v>
      </c>
      <c r="T24" s="21">
        <f t="shared" si="13"/>
        <v>47674</v>
      </c>
      <c r="U24" s="21">
        <f t="shared" si="13"/>
        <v>47738</v>
      </c>
      <c r="V24" s="21">
        <f t="shared" si="13"/>
        <v>46434</v>
      </c>
      <c r="W24" s="21">
        <f t="shared" si="13"/>
        <v>48433</v>
      </c>
      <c r="X24" s="21">
        <f t="shared" si="13"/>
        <v>51071</v>
      </c>
      <c r="Y24" s="21">
        <f t="shared" si="13"/>
        <v>49092</v>
      </c>
      <c r="Z24" s="21">
        <f t="shared" si="13"/>
        <v>51744</v>
      </c>
      <c r="AA24" s="21">
        <f t="shared" si="13"/>
        <v>53061</v>
      </c>
      <c r="AB24" s="21">
        <f t="shared" si="13"/>
        <v>49092</v>
      </c>
      <c r="AC24" s="21">
        <f t="shared" si="13"/>
        <v>48662</v>
      </c>
      <c r="AD24" s="21">
        <f t="shared" si="13"/>
        <v>49318</v>
      </c>
      <c r="AE24" s="21">
        <f t="shared" si="13"/>
        <v>51295</v>
      </c>
      <c r="AF24" s="21">
        <f t="shared" si="13"/>
        <v>52828</v>
      </c>
      <c r="AG24" s="21">
        <f t="shared" si="14"/>
        <v>54578</v>
      </c>
      <c r="AH24" s="21">
        <f t="shared" si="14"/>
        <v>54994</v>
      </c>
      <c r="AI24" s="21">
        <f t="shared" si="14"/>
        <v>55160.75</v>
      </c>
      <c r="AJ24" s="21">
        <f t="shared" si="14"/>
        <v>53983.5</v>
      </c>
      <c r="AK24" s="21">
        <f t="shared" si="14"/>
        <v>57964.5</v>
      </c>
      <c r="AL24" s="21">
        <f t="shared" ref="AL24:AM24" si="21">AL12+AL18</f>
        <v>60592</v>
      </c>
      <c r="AM24" s="21">
        <f t="shared" si="21"/>
        <v>60334.5</v>
      </c>
      <c r="AN24" s="21">
        <f t="shared" ref="AN24" si="22">AN12+AN18</f>
        <v>55964.5</v>
      </c>
      <c r="AO24" s="21">
        <f t="shared" ref="AO24:AP24" si="23">AO12+AO18</f>
        <v>51547.5</v>
      </c>
      <c r="AP24" s="21">
        <f t="shared" si="23"/>
        <v>51042.5</v>
      </c>
      <c r="AQ24" s="7"/>
    </row>
    <row r="25" spans="1:43" ht="13.5" customHeight="1" x14ac:dyDescent="0.2">
      <c r="A25" s="4"/>
      <c r="B25" s="16"/>
      <c r="C25" s="16"/>
      <c r="D25" s="17">
        <f t="shared" ref="D25:M25" si="24">SUM(D22:D24)</f>
        <v>254244</v>
      </c>
      <c r="E25" s="17">
        <f t="shared" si="24"/>
        <v>262717</v>
      </c>
      <c r="F25" s="17">
        <f t="shared" si="24"/>
        <v>263942</v>
      </c>
      <c r="G25" s="17">
        <f t="shared" si="24"/>
        <v>262148</v>
      </c>
      <c r="H25" s="17">
        <f t="shared" si="24"/>
        <v>263948</v>
      </c>
      <c r="I25" s="17">
        <f t="shared" si="24"/>
        <v>267890</v>
      </c>
      <c r="J25" s="17">
        <f t="shared" si="24"/>
        <v>265759</v>
      </c>
      <c r="K25" s="17">
        <f t="shared" si="24"/>
        <v>266055</v>
      </c>
      <c r="L25" s="17">
        <f t="shared" si="24"/>
        <v>267556</v>
      </c>
      <c r="M25" s="17">
        <f t="shared" si="24"/>
        <v>262055</v>
      </c>
      <c r="N25" s="17"/>
      <c r="O25" s="18">
        <f t="shared" ref="O25:AD25" si="25">SUM(O22:O24)</f>
        <v>250635</v>
      </c>
      <c r="P25" s="26">
        <f t="shared" si="25"/>
        <v>236987</v>
      </c>
      <c r="Q25" s="26">
        <f t="shared" si="25"/>
        <v>223728</v>
      </c>
      <c r="R25" s="26">
        <f t="shared" si="25"/>
        <v>227686</v>
      </c>
      <c r="S25" s="26">
        <f t="shared" si="25"/>
        <v>232818</v>
      </c>
      <c r="T25" s="26">
        <f t="shared" si="25"/>
        <v>234177</v>
      </c>
      <c r="U25" s="45">
        <f t="shared" si="25"/>
        <v>241421</v>
      </c>
      <c r="V25" s="45">
        <f t="shared" si="25"/>
        <v>245080.5</v>
      </c>
      <c r="W25" s="46">
        <f t="shared" si="25"/>
        <v>260458</v>
      </c>
      <c r="X25" s="46">
        <f t="shared" si="25"/>
        <v>277025.5</v>
      </c>
      <c r="Y25" s="46">
        <f t="shared" si="25"/>
        <v>283375</v>
      </c>
      <c r="Z25" s="46">
        <f t="shared" si="25"/>
        <v>297636</v>
      </c>
      <c r="AA25" s="46">
        <f t="shared" si="25"/>
        <v>307155</v>
      </c>
      <c r="AB25" s="46">
        <f t="shared" si="25"/>
        <v>314083</v>
      </c>
      <c r="AC25" s="46">
        <f t="shared" si="25"/>
        <v>321788</v>
      </c>
      <c r="AD25" s="46">
        <f t="shared" si="25"/>
        <v>318010</v>
      </c>
      <c r="AE25" s="46">
        <f t="shared" ref="AE25:AK25" si="26">SUM(AE22:AE24)</f>
        <v>320998.5</v>
      </c>
      <c r="AF25" s="46">
        <f t="shared" si="26"/>
        <v>329091</v>
      </c>
      <c r="AG25" s="46">
        <f t="shared" si="26"/>
        <v>350690</v>
      </c>
      <c r="AH25" s="46">
        <f t="shared" si="26"/>
        <v>367016</v>
      </c>
      <c r="AI25" s="46">
        <f t="shared" si="26"/>
        <v>365297.5</v>
      </c>
      <c r="AJ25" s="46">
        <f t="shared" si="26"/>
        <v>378900.75</v>
      </c>
      <c r="AK25" s="46">
        <f t="shared" si="26"/>
        <v>381179</v>
      </c>
      <c r="AL25" s="46">
        <f t="shared" ref="AL25:AM25" si="27">SUM(AL22:AL24)</f>
        <v>381112</v>
      </c>
      <c r="AM25" s="46">
        <f t="shared" si="27"/>
        <v>375810</v>
      </c>
      <c r="AN25" s="46">
        <f t="shared" ref="AN25" si="28">SUM(AN22:AN24)</f>
        <v>371455</v>
      </c>
      <c r="AO25" s="46">
        <f t="shared" ref="AO25:AP25" si="29">SUM(AO22:AO24)</f>
        <v>369313.5</v>
      </c>
      <c r="AP25" s="46">
        <f t="shared" si="29"/>
        <v>362738.5</v>
      </c>
      <c r="AQ25" s="7"/>
    </row>
    <row r="26" spans="1:43" ht="13.5" customHeight="1" x14ac:dyDescent="0.2">
      <c r="A26" s="4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7"/>
    </row>
    <row r="27" spans="1:43" ht="13.5" customHeight="1" x14ac:dyDescent="0.2">
      <c r="A27" s="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7"/>
    </row>
    <row r="28" spans="1:43" ht="13.5" customHeight="1" x14ac:dyDescent="0.2">
      <c r="A28" s="4"/>
      <c r="B28" s="16" t="s">
        <v>50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7"/>
    </row>
    <row r="29" spans="1:43" ht="13.5" customHeight="1" x14ac:dyDescent="0.2">
      <c r="A29" s="4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7"/>
    </row>
    <row r="30" spans="1:43" ht="13.5" customHeight="1" x14ac:dyDescent="0.2">
      <c r="A30" s="33"/>
      <c r="B30" s="34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6"/>
      <c r="AG30" s="36"/>
      <c r="AH30" s="36"/>
      <c r="AI30" s="36"/>
      <c r="AJ30" s="36"/>
      <c r="AK30" s="48"/>
      <c r="AL30" s="48"/>
      <c r="AM30" s="48"/>
      <c r="AN30" s="48"/>
      <c r="AO30" s="48"/>
      <c r="AP30" s="48" t="s">
        <v>54</v>
      </c>
      <c r="AQ30" s="37"/>
    </row>
  </sheetData>
  <mergeCells count="1">
    <mergeCell ref="A2:AQ2"/>
  </mergeCells>
  <printOptions horizontalCentered="1"/>
  <pageMargins left="0.7" right="0.45" top="0.5" bottom="0.5" header="0.3" footer="0.3"/>
  <pageSetup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workbookViewId="0"/>
  </sheetViews>
  <sheetFormatPr defaultColWidth="8.42578125" defaultRowHeight="13.5" customHeight="1" x14ac:dyDescent="0.2"/>
  <cols>
    <col min="1" max="2" width="2.7109375" style="3" customWidth="1"/>
    <col min="3" max="3" width="23.7109375" style="3" customWidth="1"/>
    <col min="4" max="36" width="10.7109375" style="3" hidden="1" customWidth="1"/>
    <col min="37" max="42" width="10.7109375" style="3" customWidth="1"/>
    <col min="43" max="43" width="2.7109375" style="3" customWidth="1"/>
    <col min="44" max="16384" width="8.42578125" style="3"/>
  </cols>
  <sheetData>
    <row r="1" spans="1:43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5" customHeight="1" x14ac:dyDescent="0.2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1"/>
    </row>
    <row r="3" spans="1:43" ht="13.5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7"/>
    </row>
    <row r="4" spans="1:43" ht="15" customHeight="1" x14ac:dyDescent="0.25">
      <c r="A4" s="8"/>
      <c r="B4" s="39" t="s">
        <v>41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7"/>
    </row>
    <row r="5" spans="1:43" ht="15" customHeight="1" x14ac:dyDescent="0.25">
      <c r="A5" s="8"/>
      <c r="B5" s="39" t="s">
        <v>42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7"/>
    </row>
    <row r="6" spans="1:43" ht="13.5" customHeight="1" thickBot="1" x14ac:dyDescent="0.25">
      <c r="A6" s="8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7"/>
    </row>
    <row r="7" spans="1:43" ht="13.5" customHeight="1" thickTop="1" x14ac:dyDescent="0.2">
      <c r="A7" s="4"/>
      <c r="B7" s="13"/>
      <c r="C7" s="13"/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14" t="s">
        <v>13</v>
      </c>
      <c r="P7" s="14" t="s">
        <v>14</v>
      </c>
      <c r="Q7" s="14" t="s">
        <v>15</v>
      </c>
      <c r="R7" s="14" t="s">
        <v>16</v>
      </c>
      <c r="S7" s="14" t="s">
        <v>17</v>
      </c>
      <c r="T7" s="14" t="s">
        <v>18</v>
      </c>
      <c r="U7" s="14" t="s">
        <v>19</v>
      </c>
      <c r="V7" s="14" t="s">
        <v>20</v>
      </c>
      <c r="W7" s="14" t="s">
        <v>21</v>
      </c>
      <c r="X7" s="14" t="s">
        <v>22</v>
      </c>
      <c r="Y7" s="14" t="s">
        <v>23</v>
      </c>
      <c r="Z7" s="15" t="s">
        <v>24</v>
      </c>
      <c r="AA7" s="15" t="s">
        <v>25</v>
      </c>
      <c r="AB7" s="15" t="s">
        <v>26</v>
      </c>
      <c r="AC7" s="15" t="s">
        <v>27</v>
      </c>
      <c r="AD7" s="15" t="s">
        <v>28</v>
      </c>
      <c r="AE7" s="15" t="s">
        <v>29</v>
      </c>
      <c r="AF7" s="15" t="s">
        <v>30</v>
      </c>
      <c r="AG7" s="15" t="s">
        <v>31</v>
      </c>
      <c r="AH7" s="15" t="s">
        <v>32</v>
      </c>
      <c r="AI7" s="15" t="s">
        <v>33</v>
      </c>
      <c r="AJ7" s="15" t="s">
        <v>34</v>
      </c>
      <c r="AK7" s="15" t="s">
        <v>39</v>
      </c>
      <c r="AL7" s="15" t="s">
        <v>48</v>
      </c>
      <c r="AM7" s="15" t="s">
        <v>49</v>
      </c>
      <c r="AN7" s="15" t="s">
        <v>51</v>
      </c>
      <c r="AO7" s="15" t="s">
        <v>52</v>
      </c>
      <c r="AP7" s="15" t="s">
        <v>53</v>
      </c>
      <c r="AQ7" s="7"/>
    </row>
    <row r="8" spans="1:43" ht="13.5" customHeight="1" x14ac:dyDescent="0.2">
      <c r="A8" s="4"/>
      <c r="B8" s="1"/>
      <c r="C8" s="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7"/>
    </row>
    <row r="9" spans="1:43" ht="13.5" customHeight="1" x14ac:dyDescent="0.2">
      <c r="A9" s="8"/>
      <c r="B9" s="64" t="s">
        <v>35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7"/>
    </row>
    <row r="10" spans="1:43" ht="13.5" customHeight="1" x14ac:dyDescent="0.2">
      <c r="A10" s="4"/>
      <c r="B10" s="16"/>
      <c r="C10" s="68" t="s">
        <v>36</v>
      </c>
      <c r="D10" s="27">
        <f>8130+82203+69112</f>
        <v>159445</v>
      </c>
      <c r="E10" s="27">
        <f>9006+91977+75294</f>
        <v>176277</v>
      </c>
      <c r="F10" s="27">
        <f>8223+89871+84781</f>
        <v>182875</v>
      </c>
      <c r="G10" s="27">
        <f>7100+80790+78678</f>
        <v>166568</v>
      </c>
      <c r="H10" s="27">
        <f>5653+70887+69067</f>
        <v>145607</v>
      </c>
      <c r="I10" s="27">
        <f>5456+64377+61419</f>
        <v>131252</v>
      </c>
      <c r="J10" s="27">
        <f>5038+59254+54977</f>
        <v>119269</v>
      </c>
      <c r="K10" s="27">
        <f>4642+57117+51994</f>
        <v>113753</v>
      </c>
      <c r="L10" s="27">
        <f>4636+56071+50640</f>
        <v>111347</v>
      </c>
      <c r="M10" s="27">
        <f>4387+54448+50306</f>
        <v>109141</v>
      </c>
      <c r="N10" s="27"/>
      <c r="O10" s="24">
        <v>111629</v>
      </c>
      <c r="P10" s="24">
        <v>115717</v>
      </c>
      <c r="Q10" s="24">
        <v>118111</v>
      </c>
      <c r="R10" s="27">
        <v>115336</v>
      </c>
      <c r="S10" s="27">
        <v>116275</v>
      </c>
      <c r="T10" s="27">
        <v>116314</v>
      </c>
      <c r="U10" s="27">
        <v>109605</v>
      </c>
      <c r="V10" s="27">
        <v>108406.5</v>
      </c>
      <c r="W10" s="17">
        <v>103547</v>
      </c>
      <c r="X10" s="17">
        <v>100233</v>
      </c>
      <c r="Y10" s="17">
        <v>101021.5</v>
      </c>
      <c r="Z10" s="17">
        <v>105282.5</v>
      </c>
      <c r="AA10" s="17">
        <v>105959</v>
      </c>
      <c r="AB10" s="17">
        <v>111493</v>
      </c>
      <c r="AC10" s="17">
        <v>117462</v>
      </c>
      <c r="AD10" s="17">
        <v>124777</v>
      </c>
      <c r="AE10" s="17">
        <v>131141.5</v>
      </c>
      <c r="AF10" s="17">
        <v>135290</v>
      </c>
      <c r="AG10" s="17">
        <v>142724.5</v>
      </c>
      <c r="AH10" s="17">
        <v>147563.5</v>
      </c>
      <c r="AI10" s="17">
        <v>150297.5</v>
      </c>
      <c r="AJ10" s="17">
        <v>153608.5</v>
      </c>
      <c r="AK10" s="17">
        <v>160152.5</v>
      </c>
      <c r="AL10" s="17">
        <v>168479.5</v>
      </c>
      <c r="AM10" s="17">
        <v>176206.5</v>
      </c>
      <c r="AN10" s="17">
        <v>178412.5</v>
      </c>
      <c r="AO10" s="17">
        <v>177419</v>
      </c>
      <c r="AP10" s="17">
        <v>173838</v>
      </c>
      <c r="AQ10" s="7"/>
    </row>
    <row r="11" spans="1:43" ht="13.5" customHeight="1" x14ac:dyDescent="0.2">
      <c r="A11" s="4"/>
      <c r="B11" s="16"/>
      <c r="C11" s="68" t="s">
        <v>47</v>
      </c>
      <c r="D11" s="43">
        <f>1690+5622+5216</f>
        <v>12528</v>
      </c>
      <c r="E11" s="43">
        <f>1836+6611+5434</f>
        <v>13881</v>
      </c>
      <c r="F11" s="43">
        <f>1954+7996+7248</f>
        <v>17198</v>
      </c>
      <c r="G11" s="43">
        <f>2007+7397+7837</f>
        <v>17241</v>
      </c>
      <c r="H11" s="43">
        <f>1786+7514+7000</f>
        <v>16300</v>
      </c>
      <c r="I11" s="43">
        <f>2016+8072+7280</f>
        <v>17368</v>
      </c>
      <c r="J11" s="43">
        <f>2060+8027+7665</f>
        <v>17752</v>
      </c>
      <c r="K11" s="43">
        <f>2062+7600+7306</f>
        <v>16968</v>
      </c>
      <c r="L11" s="43">
        <f>2045+7086+7222</f>
        <v>16353</v>
      </c>
      <c r="M11" s="43">
        <f>2092+6931+6624</f>
        <v>15647</v>
      </c>
      <c r="N11" s="43"/>
      <c r="O11" s="30">
        <v>16725</v>
      </c>
      <c r="P11" s="24">
        <v>16776</v>
      </c>
      <c r="Q11" s="24">
        <v>16812</v>
      </c>
      <c r="R11" s="27">
        <v>14456</v>
      </c>
      <c r="S11" s="27">
        <v>13830</v>
      </c>
      <c r="T11" s="27">
        <v>13361</v>
      </c>
      <c r="U11" s="52">
        <v>12899</v>
      </c>
      <c r="V11" s="43">
        <v>13623</v>
      </c>
      <c r="W11" s="19">
        <v>13629</v>
      </c>
      <c r="X11" s="19">
        <v>15057.5</v>
      </c>
      <c r="Y11" s="19">
        <v>17514.5</v>
      </c>
      <c r="Z11" s="19">
        <v>20296</v>
      </c>
      <c r="AA11" s="19">
        <v>16200</v>
      </c>
      <c r="AB11" s="19">
        <v>16051</v>
      </c>
      <c r="AC11" s="19">
        <v>16802</v>
      </c>
      <c r="AD11" s="19">
        <v>16298</v>
      </c>
      <c r="AE11" s="19">
        <v>16440.5</v>
      </c>
      <c r="AF11" s="19">
        <v>16019.5</v>
      </c>
      <c r="AG11" s="19">
        <v>19416.5</v>
      </c>
      <c r="AH11" s="19">
        <v>20887</v>
      </c>
      <c r="AI11" s="19">
        <v>20942</v>
      </c>
      <c r="AJ11" s="19">
        <v>19382</v>
      </c>
      <c r="AK11" s="19">
        <v>21996</v>
      </c>
      <c r="AL11" s="19">
        <v>22815.5</v>
      </c>
      <c r="AM11" s="19">
        <v>21446.5</v>
      </c>
      <c r="AN11" s="19">
        <v>21276.5</v>
      </c>
      <c r="AO11" s="19">
        <v>21456</v>
      </c>
      <c r="AP11" s="19">
        <v>18579</v>
      </c>
      <c r="AQ11" s="7"/>
    </row>
    <row r="12" spans="1:43" ht="13.5" customHeight="1" x14ac:dyDescent="0.2">
      <c r="A12" s="4"/>
      <c r="B12" s="16"/>
      <c r="C12" s="16"/>
      <c r="D12" s="17">
        <f t="shared" ref="D12:M12" si="0">SUM(D10:D11)</f>
        <v>171973</v>
      </c>
      <c r="E12" s="17">
        <f t="shared" si="0"/>
        <v>190158</v>
      </c>
      <c r="F12" s="17">
        <f t="shared" si="0"/>
        <v>200073</v>
      </c>
      <c r="G12" s="17">
        <f t="shared" si="0"/>
        <v>183809</v>
      </c>
      <c r="H12" s="17">
        <f t="shared" si="0"/>
        <v>161907</v>
      </c>
      <c r="I12" s="17">
        <f t="shared" si="0"/>
        <v>148620</v>
      </c>
      <c r="J12" s="17">
        <f t="shared" si="0"/>
        <v>137021</v>
      </c>
      <c r="K12" s="17">
        <f t="shared" si="0"/>
        <v>130721</v>
      </c>
      <c r="L12" s="17">
        <f t="shared" si="0"/>
        <v>127700</v>
      </c>
      <c r="M12" s="17">
        <f t="shared" si="0"/>
        <v>124788</v>
      </c>
      <c r="N12" s="17"/>
      <c r="O12" s="18">
        <f t="shared" ref="O12:AK12" si="1">SUM(O10:O11)</f>
        <v>128354</v>
      </c>
      <c r="P12" s="26">
        <f t="shared" si="1"/>
        <v>132493</v>
      </c>
      <c r="Q12" s="26">
        <f t="shared" si="1"/>
        <v>134923</v>
      </c>
      <c r="R12" s="22">
        <f t="shared" si="1"/>
        <v>129792</v>
      </c>
      <c r="S12" s="22">
        <f t="shared" si="1"/>
        <v>130105</v>
      </c>
      <c r="T12" s="22">
        <f t="shared" si="1"/>
        <v>129675</v>
      </c>
      <c r="U12" s="23">
        <f t="shared" si="1"/>
        <v>122504</v>
      </c>
      <c r="V12" s="23">
        <f t="shared" si="1"/>
        <v>122029.5</v>
      </c>
      <c r="W12" s="23">
        <f t="shared" si="1"/>
        <v>117176</v>
      </c>
      <c r="X12" s="23">
        <f t="shared" si="1"/>
        <v>115290.5</v>
      </c>
      <c r="Y12" s="23">
        <f t="shared" si="1"/>
        <v>118536</v>
      </c>
      <c r="Z12" s="23">
        <f t="shared" si="1"/>
        <v>125578.5</v>
      </c>
      <c r="AA12" s="23">
        <f t="shared" si="1"/>
        <v>122159</v>
      </c>
      <c r="AB12" s="23">
        <f t="shared" si="1"/>
        <v>127544</v>
      </c>
      <c r="AC12" s="23">
        <f t="shared" si="1"/>
        <v>134264</v>
      </c>
      <c r="AD12" s="23">
        <f t="shared" si="1"/>
        <v>141075</v>
      </c>
      <c r="AE12" s="23">
        <f t="shared" si="1"/>
        <v>147582</v>
      </c>
      <c r="AF12" s="23">
        <f t="shared" si="1"/>
        <v>151309.5</v>
      </c>
      <c r="AG12" s="23">
        <f t="shared" si="1"/>
        <v>162141</v>
      </c>
      <c r="AH12" s="23">
        <f t="shared" si="1"/>
        <v>168450.5</v>
      </c>
      <c r="AI12" s="23">
        <f t="shared" si="1"/>
        <v>171239.5</v>
      </c>
      <c r="AJ12" s="23">
        <f t="shared" si="1"/>
        <v>172990.5</v>
      </c>
      <c r="AK12" s="23">
        <f t="shared" si="1"/>
        <v>182148.5</v>
      </c>
      <c r="AL12" s="23">
        <f t="shared" ref="AL12:AM12" si="2">SUM(AL10:AL11)</f>
        <v>191295</v>
      </c>
      <c r="AM12" s="23">
        <f t="shared" si="2"/>
        <v>197653</v>
      </c>
      <c r="AN12" s="23">
        <f t="shared" ref="AN12:AO12" si="3">SUM(AN10:AN11)</f>
        <v>199689</v>
      </c>
      <c r="AO12" s="23">
        <f t="shared" si="3"/>
        <v>198875</v>
      </c>
      <c r="AP12" s="23">
        <f t="shared" ref="AP12" si="4">SUM(AP10:AP11)</f>
        <v>192417</v>
      </c>
      <c r="AQ12" s="7"/>
    </row>
    <row r="13" spans="1:43" ht="13.5" customHeight="1" x14ac:dyDescent="0.2">
      <c r="A13" s="4"/>
      <c r="B13" s="16"/>
      <c r="C13" s="16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16"/>
      <c r="U13" s="16"/>
      <c r="V13" s="16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7"/>
    </row>
    <row r="14" spans="1:43" ht="13.5" customHeight="1" x14ac:dyDescent="0.2">
      <c r="A14" s="4"/>
      <c r="B14" s="64" t="s">
        <v>37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7"/>
    </row>
    <row r="15" spans="1:43" ht="13.5" customHeight="1" x14ac:dyDescent="0.2">
      <c r="A15" s="4"/>
      <c r="B15" s="16"/>
      <c r="C15" s="16" t="s">
        <v>36</v>
      </c>
      <c r="D15" s="24"/>
      <c r="E15" s="24"/>
      <c r="F15" s="24"/>
      <c r="G15" s="24"/>
      <c r="H15" s="24"/>
      <c r="I15" s="24">
        <f>139566-I10</f>
        <v>8314</v>
      </c>
      <c r="J15" s="24">
        <f>125040-J10</f>
        <v>5771</v>
      </c>
      <c r="K15" s="24">
        <f>116371-K10</f>
        <v>2618</v>
      </c>
      <c r="L15" s="24">
        <f>112479-L10</f>
        <v>1132</v>
      </c>
      <c r="M15" s="24">
        <f>111118-M10</f>
        <v>1977</v>
      </c>
      <c r="N15" s="24"/>
      <c r="O15" s="24">
        <v>459</v>
      </c>
      <c r="P15" s="24">
        <v>297</v>
      </c>
      <c r="Q15" s="24">
        <v>501</v>
      </c>
      <c r="R15" s="27">
        <v>843</v>
      </c>
      <c r="S15" s="27">
        <v>645</v>
      </c>
      <c r="T15" s="27">
        <v>1152</v>
      </c>
      <c r="U15" s="27">
        <v>386</v>
      </c>
      <c r="V15" s="27">
        <v>448</v>
      </c>
      <c r="W15" s="17">
        <v>386</v>
      </c>
      <c r="X15" s="17">
        <v>357</v>
      </c>
      <c r="Y15" s="17">
        <v>697</v>
      </c>
      <c r="Z15" s="17">
        <v>852</v>
      </c>
      <c r="AA15" s="17">
        <v>1045</v>
      </c>
      <c r="AB15" s="17">
        <v>1068</v>
      </c>
      <c r="AC15" s="17">
        <v>895</v>
      </c>
      <c r="AD15" s="17">
        <v>548</v>
      </c>
      <c r="AE15" s="17">
        <v>850</v>
      </c>
      <c r="AF15" s="17">
        <v>1079</v>
      </c>
      <c r="AG15" s="17">
        <v>1248</v>
      </c>
      <c r="AH15" s="17">
        <v>3035.5</v>
      </c>
      <c r="AI15" s="17">
        <v>4463</v>
      </c>
      <c r="AJ15" s="17">
        <v>3925.5</v>
      </c>
      <c r="AK15" s="17">
        <v>4855</v>
      </c>
      <c r="AL15" s="17">
        <v>6262</v>
      </c>
      <c r="AM15" s="17">
        <v>5005</v>
      </c>
      <c r="AN15" s="17">
        <v>3309</v>
      </c>
      <c r="AO15" s="17">
        <v>2911</v>
      </c>
      <c r="AP15" s="17">
        <v>3585</v>
      </c>
      <c r="AQ15" s="7"/>
    </row>
    <row r="16" spans="1:43" ht="13.5" customHeight="1" x14ac:dyDescent="0.2">
      <c r="A16" s="4"/>
      <c r="B16" s="16"/>
      <c r="C16" s="68" t="s">
        <v>47</v>
      </c>
      <c r="D16" s="30"/>
      <c r="E16" s="30"/>
      <c r="F16" s="30"/>
      <c r="G16" s="30"/>
      <c r="H16" s="30"/>
      <c r="I16" s="30">
        <v>0</v>
      </c>
      <c r="J16" s="30">
        <v>0</v>
      </c>
      <c r="K16" s="30">
        <f>17409-K11</f>
        <v>441</v>
      </c>
      <c r="L16" s="30">
        <f>16905-L11</f>
        <v>552</v>
      </c>
      <c r="M16" s="30">
        <f>15780-M11</f>
        <v>133</v>
      </c>
      <c r="N16" s="30"/>
      <c r="O16" s="30">
        <v>204</v>
      </c>
      <c r="P16" s="24">
        <v>213</v>
      </c>
      <c r="Q16" s="24">
        <v>982</v>
      </c>
      <c r="R16" s="27">
        <v>1370</v>
      </c>
      <c r="S16" s="27">
        <v>3716</v>
      </c>
      <c r="T16" s="27">
        <v>3942</v>
      </c>
      <c r="U16" s="52">
        <v>3179</v>
      </c>
      <c r="V16" s="43">
        <v>3296</v>
      </c>
      <c r="W16" s="19">
        <v>3332</v>
      </c>
      <c r="X16" s="19">
        <v>4068</v>
      </c>
      <c r="Y16" s="19">
        <v>4305</v>
      </c>
      <c r="Z16" s="19">
        <v>5310</v>
      </c>
      <c r="AA16" s="19">
        <v>3368</v>
      </c>
      <c r="AB16" s="19">
        <v>4913</v>
      </c>
      <c r="AC16" s="19">
        <v>4521</v>
      </c>
      <c r="AD16" s="19">
        <v>4661</v>
      </c>
      <c r="AE16" s="19">
        <v>5670</v>
      </c>
      <c r="AF16" s="19">
        <v>6743</v>
      </c>
      <c r="AG16" s="19">
        <v>6795.5</v>
      </c>
      <c r="AH16" s="19">
        <v>7077</v>
      </c>
      <c r="AI16" s="19">
        <v>9315</v>
      </c>
      <c r="AJ16" s="19">
        <v>9613.5</v>
      </c>
      <c r="AK16" s="19">
        <v>10673</v>
      </c>
      <c r="AL16" s="19">
        <v>10721</v>
      </c>
      <c r="AM16" s="19">
        <v>10721</v>
      </c>
      <c r="AN16" s="19">
        <v>9895</v>
      </c>
      <c r="AO16" s="19">
        <v>9701</v>
      </c>
      <c r="AP16" s="19">
        <v>9797</v>
      </c>
      <c r="AQ16" s="7"/>
    </row>
    <row r="17" spans="1:43" ht="13.5" customHeight="1" x14ac:dyDescent="0.2">
      <c r="A17" s="4"/>
      <c r="B17" s="16"/>
      <c r="C17" s="16"/>
      <c r="D17" s="18"/>
      <c r="E17" s="18"/>
      <c r="F17" s="18"/>
      <c r="G17" s="18"/>
      <c r="H17" s="18"/>
      <c r="I17" s="18">
        <f>SUM(I15:I16)</f>
        <v>8314</v>
      </c>
      <c r="J17" s="18">
        <f>SUM(J15:J16)</f>
        <v>5771</v>
      </c>
      <c r="K17" s="18">
        <f>SUM(K15:K16)</f>
        <v>3059</v>
      </c>
      <c r="L17" s="18">
        <f>SUM(L15:L16)</f>
        <v>1684</v>
      </c>
      <c r="M17" s="18">
        <f>SUM(M15:M16)</f>
        <v>2110</v>
      </c>
      <c r="N17" s="18"/>
      <c r="O17" s="18">
        <f t="shared" ref="O17:AK17" si="5">SUM(O15:O16)</f>
        <v>663</v>
      </c>
      <c r="P17" s="26">
        <f t="shared" si="5"/>
        <v>510</v>
      </c>
      <c r="Q17" s="26">
        <f t="shared" si="5"/>
        <v>1483</v>
      </c>
      <c r="R17" s="22">
        <f t="shared" si="5"/>
        <v>2213</v>
      </c>
      <c r="S17" s="22">
        <f t="shared" si="5"/>
        <v>4361</v>
      </c>
      <c r="T17" s="22">
        <f t="shared" si="5"/>
        <v>5094</v>
      </c>
      <c r="U17" s="23">
        <f t="shared" si="5"/>
        <v>3565</v>
      </c>
      <c r="V17" s="23">
        <f t="shared" si="5"/>
        <v>3744</v>
      </c>
      <c r="W17" s="23">
        <f t="shared" si="5"/>
        <v>3718</v>
      </c>
      <c r="X17" s="23">
        <f t="shared" si="5"/>
        <v>4425</v>
      </c>
      <c r="Y17" s="23">
        <f t="shared" si="5"/>
        <v>5002</v>
      </c>
      <c r="Z17" s="23">
        <f t="shared" si="5"/>
        <v>6162</v>
      </c>
      <c r="AA17" s="23">
        <f t="shared" si="5"/>
        <v>4413</v>
      </c>
      <c r="AB17" s="23">
        <f t="shared" si="5"/>
        <v>5981</v>
      </c>
      <c r="AC17" s="23">
        <f t="shared" si="5"/>
        <v>5416</v>
      </c>
      <c r="AD17" s="23">
        <f t="shared" si="5"/>
        <v>5209</v>
      </c>
      <c r="AE17" s="23">
        <f t="shared" si="5"/>
        <v>6520</v>
      </c>
      <c r="AF17" s="23">
        <f t="shared" si="5"/>
        <v>7822</v>
      </c>
      <c r="AG17" s="23">
        <f t="shared" si="5"/>
        <v>8043.5</v>
      </c>
      <c r="AH17" s="23">
        <f t="shared" si="5"/>
        <v>10112.5</v>
      </c>
      <c r="AI17" s="23">
        <f t="shared" si="5"/>
        <v>13778</v>
      </c>
      <c r="AJ17" s="23">
        <f t="shared" si="5"/>
        <v>13539</v>
      </c>
      <c r="AK17" s="23">
        <f t="shared" si="5"/>
        <v>15528</v>
      </c>
      <c r="AL17" s="23">
        <f t="shared" ref="AL17:AM17" si="6">SUM(AL15:AL16)</f>
        <v>16983</v>
      </c>
      <c r="AM17" s="23">
        <f t="shared" si="6"/>
        <v>15726</v>
      </c>
      <c r="AN17" s="23">
        <f t="shared" ref="AN17:AO17" si="7">SUM(AN15:AN16)</f>
        <v>13204</v>
      </c>
      <c r="AO17" s="23">
        <f t="shared" si="7"/>
        <v>12612</v>
      </c>
      <c r="AP17" s="23">
        <f t="shared" ref="AP17" si="8">SUM(AP15:AP16)</f>
        <v>13382</v>
      </c>
      <c r="AQ17" s="7"/>
    </row>
    <row r="18" spans="1:43" ht="13.5" customHeight="1" x14ac:dyDescent="0.2">
      <c r="A18" s="4"/>
      <c r="B18" s="16"/>
      <c r="C18" s="16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16"/>
      <c r="R18" s="27"/>
      <c r="S18" s="27"/>
      <c r="T18" s="28"/>
      <c r="U18" s="28"/>
      <c r="V18" s="28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7"/>
    </row>
    <row r="19" spans="1:43" ht="13.5" customHeight="1" x14ac:dyDescent="0.2">
      <c r="A19" s="8"/>
      <c r="B19" s="64" t="s">
        <v>38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7"/>
    </row>
    <row r="20" spans="1:43" ht="13.5" customHeight="1" x14ac:dyDescent="0.2">
      <c r="A20" s="4"/>
      <c r="B20" s="16"/>
      <c r="C20" s="16" t="s">
        <v>36</v>
      </c>
      <c r="D20" s="27">
        <f t="shared" ref="D20:H21" si="9">D10</f>
        <v>159445</v>
      </c>
      <c r="E20" s="27">
        <f t="shared" si="9"/>
        <v>176277</v>
      </c>
      <c r="F20" s="27">
        <f t="shared" si="9"/>
        <v>182875</v>
      </c>
      <c r="G20" s="27">
        <f t="shared" si="9"/>
        <v>166568</v>
      </c>
      <c r="H20" s="27">
        <f t="shared" si="9"/>
        <v>145607</v>
      </c>
      <c r="I20" s="17">
        <f t="shared" ref="I20:M21" si="10">I10+I15</f>
        <v>139566</v>
      </c>
      <c r="J20" s="17">
        <f t="shared" si="10"/>
        <v>125040</v>
      </c>
      <c r="K20" s="17">
        <f t="shared" si="10"/>
        <v>116371</v>
      </c>
      <c r="L20" s="17">
        <f t="shared" si="10"/>
        <v>112479</v>
      </c>
      <c r="M20" s="17">
        <f t="shared" si="10"/>
        <v>111118</v>
      </c>
      <c r="N20" s="27"/>
      <c r="O20" s="17">
        <f t="shared" ref="O20:AK20" si="11">O10+O15</f>
        <v>112088</v>
      </c>
      <c r="P20" s="17">
        <f t="shared" si="11"/>
        <v>116014</v>
      </c>
      <c r="Q20" s="17">
        <f t="shared" si="11"/>
        <v>118612</v>
      </c>
      <c r="R20" s="17">
        <f t="shared" si="11"/>
        <v>116179</v>
      </c>
      <c r="S20" s="17">
        <f t="shared" si="11"/>
        <v>116920</v>
      </c>
      <c r="T20" s="17">
        <f t="shared" si="11"/>
        <v>117466</v>
      </c>
      <c r="U20" s="17">
        <f t="shared" si="11"/>
        <v>109991</v>
      </c>
      <c r="V20" s="17">
        <f t="shared" si="11"/>
        <v>108854.5</v>
      </c>
      <c r="W20" s="17">
        <f t="shared" si="11"/>
        <v>103933</v>
      </c>
      <c r="X20" s="17">
        <f t="shared" si="11"/>
        <v>100590</v>
      </c>
      <c r="Y20" s="17">
        <f t="shared" si="11"/>
        <v>101718.5</v>
      </c>
      <c r="Z20" s="17">
        <f t="shared" si="11"/>
        <v>106134.5</v>
      </c>
      <c r="AA20" s="17">
        <f t="shared" si="11"/>
        <v>107004</v>
      </c>
      <c r="AB20" s="17">
        <f t="shared" si="11"/>
        <v>112561</v>
      </c>
      <c r="AC20" s="17">
        <f t="shared" si="11"/>
        <v>118357</v>
      </c>
      <c r="AD20" s="17">
        <f t="shared" si="11"/>
        <v>125325</v>
      </c>
      <c r="AE20" s="17">
        <f t="shared" si="11"/>
        <v>131991.5</v>
      </c>
      <c r="AF20" s="17">
        <f t="shared" si="11"/>
        <v>136369</v>
      </c>
      <c r="AG20" s="17">
        <f t="shared" si="11"/>
        <v>143972.5</v>
      </c>
      <c r="AH20" s="17">
        <f t="shared" si="11"/>
        <v>150599</v>
      </c>
      <c r="AI20" s="17">
        <f t="shared" si="11"/>
        <v>154760.5</v>
      </c>
      <c r="AJ20" s="17">
        <f t="shared" si="11"/>
        <v>157534</v>
      </c>
      <c r="AK20" s="17">
        <f t="shared" si="11"/>
        <v>165007.5</v>
      </c>
      <c r="AL20" s="17">
        <f t="shared" ref="AL20:AM20" si="12">AL10+AL15</f>
        <v>174741.5</v>
      </c>
      <c r="AM20" s="17">
        <f t="shared" si="12"/>
        <v>181211.5</v>
      </c>
      <c r="AN20" s="17">
        <f t="shared" ref="AN20:AO20" si="13">AN10+AN15</f>
        <v>181721.5</v>
      </c>
      <c r="AO20" s="17">
        <f t="shared" si="13"/>
        <v>180330</v>
      </c>
      <c r="AP20" s="17">
        <f t="shared" ref="AP20" si="14">AP10+AP15</f>
        <v>177423</v>
      </c>
      <c r="AQ20" s="7"/>
    </row>
    <row r="21" spans="1:43" ht="13.5" customHeight="1" x14ac:dyDescent="0.2">
      <c r="A21" s="4"/>
      <c r="B21" s="16"/>
      <c r="C21" s="68" t="s">
        <v>47</v>
      </c>
      <c r="D21" s="43">
        <f t="shared" si="9"/>
        <v>12528</v>
      </c>
      <c r="E21" s="43">
        <f t="shared" si="9"/>
        <v>13881</v>
      </c>
      <c r="F21" s="43">
        <f t="shared" si="9"/>
        <v>17198</v>
      </c>
      <c r="G21" s="43">
        <f t="shared" si="9"/>
        <v>17241</v>
      </c>
      <c r="H21" s="43">
        <f t="shared" si="9"/>
        <v>16300</v>
      </c>
      <c r="I21" s="19">
        <f t="shared" si="10"/>
        <v>17368</v>
      </c>
      <c r="J21" s="19">
        <f t="shared" si="10"/>
        <v>17752</v>
      </c>
      <c r="K21" s="19">
        <f t="shared" si="10"/>
        <v>17409</v>
      </c>
      <c r="L21" s="19">
        <f t="shared" si="10"/>
        <v>16905</v>
      </c>
      <c r="M21" s="19">
        <f t="shared" si="10"/>
        <v>15780</v>
      </c>
      <c r="N21" s="43"/>
      <c r="O21" s="19">
        <f t="shared" ref="O21:AK21" si="15">O11+O16</f>
        <v>16929</v>
      </c>
      <c r="P21" s="19">
        <f t="shared" si="15"/>
        <v>16989</v>
      </c>
      <c r="Q21" s="19">
        <f t="shared" si="15"/>
        <v>17794</v>
      </c>
      <c r="R21" s="19">
        <f t="shared" si="15"/>
        <v>15826</v>
      </c>
      <c r="S21" s="19">
        <f t="shared" si="15"/>
        <v>17546</v>
      </c>
      <c r="T21" s="19">
        <f t="shared" si="15"/>
        <v>17303</v>
      </c>
      <c r="U21" s="19">
        <f t="shared" si="15"/>
        <v>16078</v>
      </c>
      <c r="V21" s="19">
        <f t="shared" si="15"/>
        <v>16919</v>
      </c>
      <c r="W21" s="19">
        <f t="shared" si="15"/>
        <v>16961</v>
      </c>
      <c r="X21" s="19">
        <f t="shared" si="15"/>
        <v>19125.5</v>
      </c>
      <c r="Y21" s="19">
        <f t="shared" si="15"/>
        <v>21819.5</v>
      </c>
      <c r="Z21" s="19">
        <f t="shared" si="15"/>
        <v>25606</v>
      </c>
      <c r="AA21" s="19">
        <f t="shared" si="15"/>
        <v>19568</v>
      </c>
      <c r="AB21" s="19">
        <f t="shared" si="15"/>
        <v>20964</v>
      </c>
      <c r="AC21" s="19">
        <f t="shared" si="15"/>
        <v>21323</v>
      </c>
      <c r="AD21" s="19">
        <f t="shared" si="15"/>
        <v>20959</v>
      </c>
      <c r="AE21" s="19">
        <f t="shared" si="15"/>
        <v>22110.5</v>
      </c>
      <c r="AF21" s="19">
        <f t="shared" si="15"/>
        <v>22762.5</v>
      </c>
      <c r="AG21" s="19">
        <f t="shared" si="15"/>
        <v>26212</v>
      </c>
      <c r="AH21" s="19">
        <f t="shared" si="15"/>
        <v>27964</v>
      </c>
      <c r="AI21" s="19">
        <f t="shared" si="15"/>
        <v>30257</v>
      </c>
      <c r="AJ21" s="19">
        <f t="shared" si="15"/>
        <v>28995.5</v>
      </c>
      <c r="AK21" s="19">
        <f t="shared" si="15"/>
        <v>32669</v>
      </c>
      <c r="AL21" s="19">
        <f t="shared" ref="AL21:AM21" si="16">AL11+AL16</f>
        <v>33536.5</v>
      </c>
      <c r="AM21" s="19">
        <f t="shared" si="16"/>
        <v>32167.5</v>
      </c>
      <c r="AN21" s="19">
        <f t="shared" ref="AN21:AO21" si="17">AN11+AN16</f>
        <v>31171.5</v>
      </c>
      <c r="AO21" s="19">
        <f t="shared" si="17"/>
        <v>31157</v>
      </c>
      <c r="AP21" s="19">
        <f t="shared" ref="AP21" si="18">AP11+AP16</f>
        <v>28376</v>
      </c>
      <c r="AQ21" s="7"/>
    </row>
    <row r="22" spans="1:43" ht="13.5" customHeight="1" x14ac:dyDescent="0.2">
      <c r="A22" s="4"/>
      <c r="B22" s="16"/>
      <c r="C22" s="16"/>
      <c r="D22" s="17">
        <f t="shared" ref="D22:M22" si="19">SUM(D20:D21)</f>
        <v>171973</v>
      </c>
      <c r="E22" s="17">
        <f t="shared" si="19"/>
        <v>190158</v>
      </c>
      <c r="F22" s="17">
        <f t="shared" si="19"/>
        <v>200073</v>
      </c>
      <c r="G22" s="17">
        <f t="shared" si="19"/>
        <v>183809</v>
      </c>
      <c r="H22" s="17">
        <f t="shared" si="19"/>
        <v>161907</v>
      </c>
      <c r="I22" s="17">
        <f t="shared" si="19"/>
        <v>156934</v>
      </c>
      <c r="J22" s="17">
        <f t="shared" si="19"/>
        <v>142792</v>
      </c>
      <c r="K22" s="17">
        <f t="shared" si="19"/>
        <v>133780</v>
      </c>
      <c r="L22" s="17">
        <f t="shared" si="19"/>
        <v>129384</v>
      </c>
      <c r="M22" s="17">
        <f t="shared" si="19"/>
        <v>126898</v>
      </c>
      <c r="N22" s="17"/>
      <c r="O22" s="18">
        <f t="shared" ref="O22:AK22" si="20">SUM(O20:O21)</f>
        <v>129017</v>
      </c>
      <c r="P22" s="26">
        <f t="shared" si="20"/>
        <v>133003</v>
      </c>
      <c r="Q22" s="26">
        <f t="shared" si="20"/>
        <v>136406</v>
      </c>
      <c r="R22" s="22">
        <f t="shared" si="20"/>
        <v>132005</v>
      </c>
      <c r="S22" s="22">
        <f t="shared" si="20"/>
        <v>134466</v>
      </c>
      <c r="T22" s="22">
        <f t="shared" si="20"/>
        <v>134769</v>
      </c>
      <c r="U22" s="23">
        <f t="shared" si="20"/>
        <v>126069</v>
      </c>
      <c r="V22" s="23">
        <f t="shared" si="20"/>
        <v>125773.5</v>
      </c>
      <c r="W22" s="23">
        <f t="shared" si="20"/>
        <v>120894</v>
      </c>
      <c r="X22" s="23">
        <f t="shared" si="20"/>
        <v>119715.5</v>
      </c>
      <c r="Y22" s="23">
        <f t="shared" si="20"/>
        <v>123538</v>
      </c>
      <c r="Z22" s="23">
        <f t="shared" si="20"/>
        <v>131740.5</v>
      </c>
      <c r="AA22" s="23">
        <f t="shared" si="20"/>
        <v>126572</v>
      </c>
      <c r="AB22" s="23">
        <f t="shared" si="20"/>
        <v>133525</v>
      </c>
      <c r="AC22" s="23">
        <f t="shared" si="20"/>
        <v>139680</v>
      </c>
      <c r="AD22" s="23">
        <f t="shared" si="20"/>
        <v>146284</v>
      </c>
      <c r="AE22" s="23">
        <f t="shared" si="20"/>
        <v>154102</v>
      </c>
      <c r="AF22" s="23">
        <f t="shared" si="20"/>
        <v>159131.5</v>
      </c>
      <c r="AG22" s="23">
        <f t="shared" si="20"/>
        <v>170184.5</v>
      </c>
      <c r="AH22" s="23">
        <f t="shared" si="20"/>
        <v>178563</v>
      </c>
      <c r="AI22" s="23">
        <f t="shared" si="20"/>
        <v>185017.5</v>
      </c>
      <c r="AJ22" s="23">
        <f t="shared" si="20"/>
        <v>186529.5</v>
      </c>
      <c r="AK22" s="23">
        <f t="shared" si="20"/>
        <v>197676.5</v>
      </c>
      <c r="AL22" s="23">
        <f t="shared" ref="AL22:AM22" si="21">SUM(AL20:AL21)</f>
        <v>208278</v>
      </c>
      <c r="AM22" s="23">
        <f t="shared" si="21"/>
        <v>213379</v>
      </c>
      <c r="AN22" s="23">
        <f t="shared" ref="AN22:AO22" si="22">SUM(AN20:AN21)</f>
        <v>212893</v>
      </c>
      <c r="AO22" s="23">
        <f t="shared" si="22"/>
        <v>211487</v>
      </c>
      <c r="AP22" s="23">
        <f t="shared" ref="AP22" si="23">SUM(AP20:AP21)</f>
        <v>205799</v>
      </c>
      <c r="AQ22" s="7"/>
    </row>
    <row r="23" spans="1:43" ht="13.5" customHeight="1" x14ac:dyDescent="0.2">
      <c r="A23" s="4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7"/>
    </row>
    <row r="24" spans="1:43" ht="13.5" customHeight="1" x14ac:dyDescent="0.2">
      <c r="A24" s="4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7"/>
    </row>
    <row r="25" spans="1:43" ht="13.5" customHeight="1" x14ac:dyDescent="0.2">
      <c r="A25" s="4"/>
      <c r="B25" s="16" t="s">
        <v>50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7"/>
    </row>
    <row r="26" spans="1:43" ht="13.5" customHeight="1" x14ac:dyDescent="0.2">
      <c r="A26" s="4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7"/>
    </row>
    <row r="27" spans="1:43" ht="13.5" customHeight="1" x14ac:dyDescent="0.2">
      <c r="A27" s="33"/>
      <c r="B27" s="34" t="s">
        <v>45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6"/>
      <c r="AG27" s="36"/>
      <c r="AH27" s="36"/>
      <c r="AI27" s="36"/>
      <c r="AJ27" s="36"/>
      <c r="AK27" s="48"/>
      <c r="AL27" s="48"/>
      <c r="AM27" s="48"/>
      <c r="AN27" s="48"/>
      <c r="AO27" s="48"/>
      <c r="AP27" s="48" t="s">
        <v>54</v>
      </c>
      <c r="AQ27" s="37"/>
    </row>
  </sheetData>
  <mergeCells count="1">
    <mergeCell ref="A2:AQ2"/>
  </mergeCells>
  <printOptions horizontalCentered="1"/>
  <pageMargins left="0.7" right="0.45" top="0.5" bottom="0.5" header="0.3" footer="0.3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workbookViewId="0"/>
  </sheetViews>
  <sheetFormatPr defaultColWidth="8.42578125" defaultRowHeight="13.5" customHeight="1" x14ac:dyDescent="0.2"/>
  <cols>
    <col min="1" max="2" width="2.7109375" style="3" customWidth="1"/>
    <col min="3" max="3" width="23.7109375" style="3" customWidth="1"/>
    <col min="4" max="36" width="10.7109375" style="3" hidden="1" customWidth="1"/>
    <col min="37" max="42" width="10.7109375" style="3" customWidth="1"/>
    <col min="43" max="43" width="2.7109375" style="3" customWidth="1"/>
    <col min="44" max="16384" width="8.42578125" style="3"/>
  </cols>
  <sheetData>
    <row r="1" spans="1:43" ht="13.5" customHeight="1" x14ac:dyDescent="0.2">
      <c r="A1" s="47"/>
      <c r="B1" s="47"/>
      <c r="C1" s="47"/>
      <c r="D1" s="1"/>
      <c r="E1" s="1"/>
      <c r="F1" s="1"/>
      <c r="G1" s="1"/>
      <c r="H1" s="1"/>
      <c r="I1" s="1"/>
      <c r="J1" s="1"/>
      <c r="K1" s="1"/>
      <c r="L1" s="1"/>
      <c r="M1" s="1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1"/>
    </row>
    <row r="2" spans="1:43" ht="15" customHeight="1" x14ac:dyDescent="0.2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1"/>
    </row>
    <row r="3" spans="1:43" ht="13.5" customHeight="1" x14ac:dyDescent="0.2">
      <c r="A3" s="8"/>
      <c r="B3" s="54"/>
      <c r="C3" s="54"/>
      <c r="D3" s="5"/>
      <c r="E3" s="5"/>
      <c r="F3" s="5"/>
      <c r="G3" s="5"/>
      <c r="H3" s="5"/>
      <c r="I3" s="5"/>
      <c r="J3" s="5"/>
      <c r="K3" s="5"/>
      <c r="L3" s="5"/>
      <c r="M3" s="5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7"/>
    </row>
    <row r="4" spans="1:43" ht="15" customHeight="1" x14ac:dyDescent="0.25">
      <c r="A4" s="8"/>
      <c r="B4" s="39" t="s">
        <v>41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7"/>
    </row>
    <row r="5" spans="1:43" ht="15" customHeight="1" x14ac:dyDescent="0.25">
      <c r="A5" s="8"/>
      <c r="B5" s="39" t="s">
        <v>43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7"/>
    </row>
    <row r="6" spans="1:43" ht="13.5" customHeight="1" thickBot="1" x14ac:dyDescent="0.25">
      <c r="A6" s="8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7"/>
    </row>
    <row r="7" spans="1:43" ht="13.5" customHeight="1" thickTop="1" x14ac:dyDescent="0.2">
      <c r="A7" s="4"/>
      <c r="B7" s="29"/>
      <c r="C7" s="29"/>
      <c r="D7" s="55" t="s">
        <v>2</v>
      </c>
      <c r="E7" s="55" t="s">
        <v>3</v>
      </c>
      <c r="F7" s="55" t="s">
        <v>4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5" t="s">
        <v>10</v>
      </c>
      <c r="M7" s="55" t="s">
        <v>11</v>
      </c>
      <c r="N7" s="55" t="s">
        <v>12</v>
      </c>
      <c r="O7" s="55" t="s">
        <v>13</v>
      </c>
      <c r="P7" s="55" t="s">
        <v>14</v>
      </c>
      <c r="Q7" s="55" t="s">
        <v>15</v>
      </c>
      <c r="R7" s="55" t="s">
        <v>16</v>
      </c>
      <c r="S7" s="55" t="s">
        <v>17</v>
      </c>
      <c r="T7" s="55" t="s">
        <v>18</v>
      </c>
      <c r="U7" s="55" t="s">
        <v>19</v>
      </c>
      <c r="V7" s="55" t="s">
        <v>20</v>
      </c>
      <c r="W7" s="55" t="s">
        <v>21</v>
      </c>
      <c r="X7" s="55" t="s">
        <v>22</v>
      </c>
      <c r="Y7" s="55" t="s">
        <v>23</v>
      </c>
      <c r="Z7" s="56" t="s">
        <v>24</v>
      </c>
      <c r="AA7" s="56" t="s">
        <v>25</v>
      </c>
      <c r="AB7" s="56" t="s">
        <v>26</v>
      </c>
      <c r="AC7" s="56" t="s">
        <v>27</v>
      </c>
      <c r="AD7" s="56" t="s">
        <v>28</v>
      </c>
      <c r="AE7" s="56" t="s">
        <v>29</v>
      </c>
      <c r="AF7" s="56" t="s">
        <v>30</v>
      </c>
      <c r="AG7" s="56" t="s">
        <v>31</v>
      </c>
      <c r="AH7" s="56" t="s">
        <v>32</v>
      </c>
      <c r="AI7" s="56" t="s">
        <v>33</v>
      </c>
      <c r="AJ7" s="56" t="s">
        <v>34</v>
      </c>
      <c r="AK7" s="56" t="s">
        <v>39</v>
      </c>
      <c r="AL7" s="56" t="s">
        <v>48</v>
      </c>
      <c r="AM7" s="56" t="s">
        <v>49</v>
      </c>
      <c r="AN7" s="56" t="s">
        <v>51</v>
      </c>
      <c r="AO7" s="56" t="s">
        <v>52</v>
      </c>
      <c r="AP7" s="56" t="s">
        <v>53</v>
      </c>
      <c r="AQ7" s="7"/>
    </row>
    <row r="8" spans="1:43" ht="13.5" customHeight="1" x14ac:dyDescent="0.2">
      <c r="A8" s="4"/>
      <c r="B8" s="1"/>
      <c r="C8" s="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7"/>
    </row>
    <row r="9" spans="1:43" ht="13.5" customHeight="1" x14ac:dyDescent="0.2">
      <c r="A9" s="8"/>
      <c r="B9" s="65" t="s">
        <v>35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7"/>
    </row>
    <row r="10" spans="1:43" ht="13.5" customHeight="1" x14ac:dyDescent="0.2">
      <c r="A10" s="4"/>
      <c r="B10" s="16"/>
      <c r="C10" s="68" t="s">
        <v>36</v>
      </c>
      <c r="D10" s="27">
        <f>19021+106431+100102</f>
        <v>225554</v>
      </c>
      <c r="E10" s="27">
        <f>17893+110139+102627</f>
        <v>230659</v>
      </c>
      <c r="F10" s="27">
        <f>17432+103598+97179</f>
        <v>218209</v>
      </c>
      <c r="G10" s="27">
        <f>15464+99211+95016</f>
        <v>209691</v>
      </c>
      <c r="H10" s="27">
        <f>16323+96179+90947</f>
        <v>203449</v>
      </c>
      <c r="I10" s="27">
        <f>17196+99320+88439</f>
        <v>204955</v>
      </c>
      <c r="J10" s="27">
        <f>18297+103146+91781</f>
        <v>213224</v>
      </c>
      <c r="K10" s="27">
        <f>19258+107134+94320</f>
        <v>220712</v>
      </c>
      <c r="L10" s="27">
        <f>19326+111808+97125</f>
        <v>228259</v>
      </c>
      <c r="M10" s="27">
        <f>20671+115613+101355</f>
        <v>237639</v>
      </c>
      <c r="N10" s="18">
        <v>229220</v>
      </c>
      <c r="O10" s="24">
        <v>220214</v>
      </c>
      <c r="P10" s="24">
        <v>198391</v>
      </c>
      <c r="Q10" s="24">
        <v>198011</v>
      </c>
      <c r="R10" s="24">
        <v>203968</v>
      </c>
      <c r="S10" s="24">
        <v>206060</v>
      </c>
      <c r="T10" s="24">
        <v>206813</v>
      </c>
      <c r="U10" s="24">
        <v>206060</v>
      </c>
      <c r="V10" s="18">
        <v>209542</v>
      </c>
      <c r="W10" s="18">
        <v>210425</v>
      </c>
      <c r="X10" s="18">
        <v>207817</v>
      </c>
      <c r="Y10" s="18">
        <v>213332</v>
      </c>
      <c r="Z10" s="18">
        <v>213483</v>
      </c>
      <c r="AA10" s="18">
        <v>210463</v>
      </c>
      <c r="AB10" s="18">
        <v>204062</v>
      </c>
      <c r="AC10" s="18">
        <v>206795</v>
      </c>
      <c r="AD10" s="18">
        <v>205671</v>
      </c>
      <c r="AE10" s="18">
        <f>9+44+882+71048+63+17077+1116+333+12928+27+6361+111+1152+75623+47+19334+606</f>
        <v>206761</v>
      </c>
      <c r="AF10" s="18">
        <v>158491</v>
      </c>
      <c r="AG10" s="18">
        <v>176158</v>
      </c>
      <c r="AH10" s="18">
        <v>174525</v>
      </c>
      <c r="AI10" s="18">
        <v>184387</v>
      </c>
      <c r="AJ10" s="18">
        <v>187711</v>
      </c>
      <c r="AK10" s="18">
        <v>177935.5</v>
      </c>
      <c r="AL10" s="18">
        <v>173165</v>
      </c>
      <c r="AM10" s="18">
        <v>160397</v>
      </c>
      <c r="AN10" s="18">
        <v>144697</v>
      </c>
      <c r="AO10" s="18">
        <v>138667</v>
      </c>
      <c r="AP10" s="18">
        <v>129638</v>
      </c>
      <c r="AQ10" s="7"/>
    </row>
    <row r="11" spans="1:43" ht="13.5" customHeight="1" x14ac:dyDescent="0.2">
      <c r="A11" s="4"/>
      <c r="B11" s="16"/>
      <c r="C11" s="68" t="s">
        <v>46</v>
      </c>
      <c r="D11" s="27">
        <f>0+792+0</f>
        <v>792</v>
      </c>
      <c r="E11" s="27">
        <f>0+1351+640</f>
        <v>1991</v>
      </c>
      <c r="F11" s="27">
        <f>235+2336+2339</f>
        <v>4910</v>
      </c>
      <c r="G11" s="27">
        <f>132+2262+2339</f>
        <v>4733</v>
      </c>
      <c r="H11" s="27">
        <f>162+2414+2426</f>
        <v>5002</v>
      </c>
      <c r="I11" s="27">
        <f>168+2781+2932</f>
        <v>5881</v>
      </c>
      <c r="J11" s="27">
        <f>159+3118+2856</f>
        <v>6133</v>
      </c>
      <c r="K11" s="27">
        <f>239+3214+3036</f>
        <v>6489</v>
      </c>
      <c r="L11" s="27">
        <f>214+3147+3174</f>
        <v>6535</v>
      </c>
      <c r="M11" s="27">
        <f>217+3210+3136</f>
        <v>6563</v>
      </c>
      <c r="N11" s="18">
        <v>6548</v>
      </c>
      <c r="O11" s="24">
        <v>6405</v>
      </c>
      <c r="P11" s="24">
        <v>6578</v>
      </c>
      <c r="Q11" s="24">
        <v>6612</v>
      </c>
      <c r="R11" s="24">
        <v>6553</v>
      </c>
      <c r="S11" s="24">
        <v>6852</v>
      </c>
      <c r="T11" s="24">
        <v>6963</v>
      </c>
      <c r="U11" s="24">
        <v>7067</v>
      </c>
      <c r="V11" s="18">
        <v>7497</v>
      </c>
      <c r="W11" s="18">
        <v>7390</v>
      </c>
      <c r="X11" s="18">
        <v>7320</v>
      </c>
      <c r="Y11" s="18">
        <v>6947</v>
      </c>
      <c r="Z11" s="18">
        <v>6681</v>
      </c>
      <c r="AA11" s="18">
        <v>7084</v>
      </c>
      <c r="AB11" s="18">
        <v>7251</v>
      </c>
      <c r="AC11" s="18">
        <v>7065</v>
      </c>
      <c r="AD11" s="18">
        <v>7446</v>
      </c>
      <c r="AE11" s="18">
        <f>3+3269+533+3506</f>
        <v>7311</v>
      </c>
      <c r="AF11" s="18">
        <v>6557</v>
      </c>
      <c r="AG11" s="18">
        <v>6971</v>
      </c>
      <c r="AH11" s="18">
        <v>6630</v>
      </c>
      <c r="AI11" s="18">
        <v>6674</v>
      </c>
      <c r="AJ11" s="18">
        <v>6705</v>
      </c>
      <c r="AK11" s="18">
        <v>7284</v>
      </c>
      <c r="AL11" s="18">
        <v>7466</v>
      </c>
      <c r="AM11" s="18">
        <v>7533</v>
      </c>
      <c r="AN11" s="18">
        <v>7391</v>
      </c>
      <c r="AO11" s="18">
        <v>7573</v>
      </c>
      <c r="AP11" s="18">
        <v>7779</v>
      </c>
      <c r="AQ11" s="7"/>
    </row>
    <row r="12" spans="1:43" ht="13.5" customHeight="1" x14ac:dyDescent="0.2">
      <c r="A12" s="4"/>
      <c r="B12" s="16"/>
      <c r="C12" s="68" t="s">
        <v>47</v>
      </c>
      <c r="D12" s="43">
        <f>5371+9445+8634</f>
        <v>23450</v>
      </c>
      <c r="E12" s="43">
        <f>4331+9598+9519</f>
        <v>23448</v>
      </c>
      <c r="F12" s="43">
        <f>4047+7918+7632</f>
        <v>19597</v>
      </c>
      <c r="G12" s="43">
        <f>4522+7982+7854</f>
        <v>20358</v>
      </c>
      <c r="H12" s="43">
        <f>4971+8341+7715</f>
        <v>21027</v>
      </c>
      <c r="I12" s="43">
        <f>4938+9229+8043</f>
        <v>22210</v>
      </c>
      <c r="J12" s="43">
        <f>5255+10143+9119</f>
        <v>24517</v>
      </c>
      <c r="K12" s="43">
        <f>6334+10406+10357</f>
        <v>27097</v>
      </c>
      <c r="L12" s="43">
        <f>6276+11408+10644</f>
        <v>28328</v>
      </c>
      <c r="M12" s="43">
        <f>6555+11870+11019</f>
        <v>29444</v>
      </c>
      <c r="N12" s="21">
        <v>29803</v>
      </c>
      <c r="O12" s="30">
        <v>30750</v>
      </c>
      <c r="P12" s="24">
        <v>29355</v>
      </c>
      <c r="Q12" s="24">
        <v>29550</v>
      </c>
      <c r="R12" s="24">
        <v>30837</v>
      </c>
      <c r="S12" s="24">
        <v>32585</v>
      </c>
      <c r="T12" s="24">
        <v>30091</v>
      </c>
      <c r="U12" s="44">
        <v>29719</v>
      </c>
      <c r="V12" s="21">
        <v>28987</v>
      </c>
      <c r="W12" s="21">
        <v>28683</v>
      </c>
      <c r="X12" s="21">
        <v>30714</v>
      </c>
      <c r="Y12" s="21">
        <v>34068</v>
      </c>
      <c r="Z12" s="21">
        <v>35901</v>
      </c>
      <c r="AA12" s="21">
        <v>36865</v>
      </c>
      <c r="AB12" s="21">
        <v>36440</v>
      </c>
      <c r="AC12" s="21">
        <v>37993</v>
      </c>
      <c r="AD12" s="21">
        <v>37837</v>
      </c>
      <c r="AE12" s="21">
        <f>16+272+948.5+40+11054+399+2347+589+24+210+62+231+5151+101+722+135+109+251+1076+11106+342+2417+821+48+36</f>
        <v>38507.5</v>
      </c>
      <c r="AF12" s="21">
        <v>30074</v>
      </c>
      <c r="AG12" s="21">
        <v>37546</v>
      </c>
      <c r="AH12" s="21">
        <v>38252.5</v>
      </c>
      <c r="AI12" s="21">
        <v>37805.5</v>
      </c>
      <c r="AJ12" s="21">
        <v>35527.5</v>
      </c>
      <c r="AK12" s="21">
        <v>35205</v>
      </c>
      <c r="AL12" s="21">
        <v>34035</v>
      </c>
      <c r="AM12" s="21">
        <v>33252.5</v>
      </c>
      <c r="AN12" s="21">
        <v>29299</v>
      </c>
      <c r="AO12" s="21">
        <v>29442</v>
      </c>
      <c r="AP12" s="21">
        <v>28778</v>
      </c>
      <c r="AQ12" s="7"/>
    </row>
    <row r="13" spans="1:43" ht="13.5" customHeight="1" x14ac:dyDescent="0.2">
      <c r="A13" s="4"/>
      <c r="B13" s="16"/>
      <c r="C13" s="16"/>
      <c r="D13" s="17">
        <f t="shared" ref="D13:M13" si="0">SUM(D10:D12)</f>
        <v>249796</v>
      </c>
      <c r="E13" s="17">
        <f t="shared" si="0"/>
        <v>256098</v>
      </c>
      <c r="F13" s="17">
        <f t="shared" si="0"/>
        <v>242716</v>
      </c>
      <c r="G13" s="17">
        <f t="shared" si="0"/>
        <v>234782</v>
      </c>
      <c r="H13" s="17">
        <f t="shared" si="0"/>
        <v>229478</v>
      </c>
      <c r="I13" s="17">
        <f t="shared" si="0"/>
        <v>233046</v>
      </c>
      <c r="J13" s="17">
        <f t="shared" si="0"/>
        <v>243874</v>
      </c>
      <c r="K13" s="17">
        <f t="shared" si="0"/>
        <v>254298</v>
      </c>
      <c r="L13" s="17">
        <f t="shared" si="0"/>
        <v>263122</v>
      </c>
      <c r="M13" s="17">
        <f t="shared" si="0"/>
        <v>273646</v>
      </c>
      <c r="N13" s="18">
        <f t="shared" ref="N13:AA13" si="1">SUM(N10:N12)</f>
        <v>265571</v>
      </c>
      <c r="O13" s="24">
        <f t="shared" si="1"/>
        <v>257369</v>
      </c>
      <c r="P13" s="57">
        <f t="shared" si="1"/>
        <v>234324</v>
      </c>
      <c r="Q13" s="57">
        <f t="shared" si="1"/>
        <v>234173</v>
      </c>
      <c r="R13" s="57">
        <f t="shared" si="1"/>
        <v>241358</v>
      </c>
      <c r="S13" s="57">
        <f t="shared" si="1"/>
        <v>245497</v>
      </c>
      <c r="T13" s="57">
        <f t="shared" si="1"/>
        <v>243867</v>
      </c>
      <c r="U13" s="32">
        <f t="shared" si="1"/>
        <v>242846</v>
      </c>
      <c r="V13" s="32">
        <f t="shared" si="1"/>
        <v>246026</v>
      </c>
      <c r="W13" s="45">
        <f t="shared" si="1"/>
        <v>246498</v>
      </c>
      <c r="X13" s="45">
        <f t="shared" si="1"/>
        <v>245851</v>
      </c>
      <c r="Y13" s="45">
        <f t="shared" si="1"/>
        <v>254347</v>
      </c>
      <c r="Z13" s="45">
        <f t="shared" si="1"/>
        <v>256065</v>
      </c>
      <c r="AA13" s="45">
        <f t="shared" si="1"/>
        <v>254412</v>
      </c>
      <c r="AB13" s="45">
        <f t="shared" ref="AB13:AK13" si="2">SUM(AB10:AB12)</f>
        <v>247753</v>
      </c>
      <c r="AC13" s="45">
        <f t="shared" si="2"/>
        <v>251853</v>
      </c>
      <c r="AD13" s="45">
        <f t="shared" si="2"/>
        <v>250954</v>
      </c>
      <c r="AE13" s="45">
        <f t="shared" si="2"/>
        <v>252579.5</v>
      </c>
      <c r="AF13" s="45">
        <f t="shared" si="2"/>
        <v>195122</v>
      </c>
      <c r="AG13" s="45">
        <f t="shared" si="2"/>
        <v>220675</v>
      </c>
      <c r="AH13" s="45">
        <f t="shared" si="2"/>
        <v>219407.5</v>
      </c>
      <c r="AI13" s="45">
        <f t="shared" si="2"/>
        <v>228866.5</v>
      </c>
      <c r="AJ13" s="45">
        <f t="shared" si="2"/>
        <v>229943.5</v>
      </c>
      <c r="AK13" s="45">
        <f t="shared" si="2"/>
        <v>220424.5</v>
      </c>
      <c r="AL13" s="45">
        <f t="shared" ref="AL13:AM13" si="3">SUM(AL10:AL12)</f>
        <v>214666</v>
      </c>
      <c r="AM13" s="45">
        <f t="shared" si="3"/>
        <v>201182.5</v>
      </c>
      <c r="AN13" s="45">
        <f t="shared" ref="AN13" si="4">SUM(AN10:AN12)</f>
        <v>181387</v>
      </c>
      <c r="AO13" s="45">
        <f t="shared" ref="AO13:AP13" si="5">SUM(AO10:AO12)</f>
        <v>175682</v>
      </c>
      <c r="AP13" s="45">
        <f t="shared" si="5"/>
        <v>166195</v>
      </c>
      <c r="AQ13" s="7"/>
    </row>
    <row r="14" spans="1:43" ht="13.5" customHeight="1" x14ac:dyDescent="0.2">
      <c r="A14" s="4"/>
      <c r="B14" s="16"/>
      <c r="C14" s="16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18"/>
      <c r="O14" s="24"/>
      <c r="P14" s="24"/>
      <c r="Q14" s="24"/>
      <c r="R14" s="24"/>
      <c r="S14" s="24"/>
      <c r="T14" s="16"/>
      <c r="U14" s="16"/>
      <c r="V14" s="16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7"/>
    </row>
    <row r="15" spans="1:43" ht="13.5" customHeight="1" x14ac:dyDescent="0.2">
      <c r="A15" s="4"/>
      <c r="B15" s="65" t="s">
        <v>37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7"/>
    </row>
    <row r="16" spans="1:43" ht="13.5" customHeight="1" x14ac:dyDescent="0.2">
      <c r="A16" s="4"/>
      <c r="B16" s="16"/>
      <c r="C16" s="68" t="s">
        <v>36</v>
      </c>
      <c r="D16" s="24"/>
      <c r="E16" s="24"/>
      <c r="F16" s="24"/>
      <c r="G16" s="24"/>
      <c r="H16" s="24"/>
      <c r="I16" s="24">
        <f>205306-I10</f>
        <v>351</v>
      </c>
      <c r="J16" s="24">
        <v>0</v>
      </c>
      <c r="K16" s="24">
        <f>221047-K10</f>
        <v>335</v>
      </c>
      <c r="L16" s="24">
        <f>228839-L10</f>
        <v>580</v>
      </c>
      <c r="M16" s="18">
        <f>238186-M10</f>
        <v>547</v>
      </c>
      <c r="N16" s="18">
        <v>14096</v>
      </c>
      <c r="O16" s="24">
        <v>17948</v>
      </c>
      <c r="P16" s="24">
        <v>19349</v>
      </c>
      <c r="Q16" s="24">
        <v>21966</v>
      </c>
      <c r="R16" s="24">
        <v>22404</v>
      </c>
      <c r="S16" s="24">
        <v>23633</v>
      </c>
      <c r="T16" s="24">
        <v>25229</v>
      </c>
      <c r="U16" s="24">
        <v>24024</v>
      </c>
      <c r="V16" s="18">
        <v>23704</v>
      </c>
      <c r="W16" s="18">
        <v>21160</v>
      </c>
      <c r="X16" s="18">
        <v>14469</v>
      </c>
      <c r="Y16" s="18">
        <v>20969</v>
      </c>
      <c r="Z16" s="18">
        <v>24318</v>
      </c>
      <c r="AA16" s="18">
        <v>24523</v>
      </c>
      <c r="AB16" s="18">
        <v>27585</v>
      </c>
      <c r="AC16" s="18">
        <v>31848</v>
      </c>
      <c r="AD16" s="18">
        <v>32465</v>
      </c>
      <c r="AE16" s="18">
        <f>373+1787+6584+866+546+2044+19926</f>
        <v>32126</v>
      </c>
      <c r="AF16" s="18">
        <v>58174</v>
      </c>
      <c r="AG16" s="18">
        <v>70976</v>
      </c>
      <c r="AH16" s="18">
        <v>75924</v>
      </c>
      <c r="AI16" s="18">
        <v>63538</v>
      </c>
      <c r="AJ16" s="18">
        <v>63272</v>
      </c>
      <c r="AK16" s="18">
        <v>74151</v>
      </c>
      <c r="AL16" s="18">
        <v>79755</v>
      </c>
      <c r="AM16" s="18">
        <v>82987</v>
      </c>
      <c r="AN16" s="18">
        <v>89573</v>
      </c>
      <c r="AO16" s="18">
        <v>93186</v>
      </c>
      <c r="AP16" s="18">
        <v>95244</v>
      </c>
      <c r="AQ16" s="7"/>
    </row>
    <row r="17" spans="1:43" ht="13.5" customHeight="1" x14ac:dyDescent="0.2">
      <c r="A17" s="4"/>
      <c r="B17" s="16"/>
      <c r="C17" s="68" t="s">
        <v>46</v>
      </c>
      <c r="D17" s="24"/>
      <c r="E17" s="24"/>
      <c r="F17" s="24"/>
      <c r="G17" s="24"/>
      <c r="H17" s="24"/>
      <c r="I17" s="24">
        <f>6418-I11</f>
        <v>537</v>
      </c>
      <c r="J17" s="24">
        <v>0</v>
      </c>
      <c r="K17" s="24">
        <v>0</v>
      </c>
      <c r="L17" s="24">
        <f>6627-L11</f>
        <v>92</v>
      </c>
      <c r="M17" s="18">
        <v>0</v>
      </c>
      <c r="N17" s="18">
        <v>0</v>
      </c>
      <c r="O17" s="24">
        <v>0</v>
      </c>
      <c r="P17" s="24">
        <v>6</v>
      </c>
      <c r="Q17" s="24">
        <v>0</v>
      </c>
      <c r="R17" s="24">
        <v>3</v>
      </c>
      <c r="S17" s="24">
        <v>0</v>
      </c>
      <c r="T17" s="24">
        <v>0</v>
      </c>
      <c r="U17" s="24">
        <v>11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606</v>
      </c>
      <c r="AG17" s="18">
        <v>769</v>
      </c>
      <c r="AH17" s="18">
        <v>786</v>
      </c>
      <c r="AI17" s="18">
        <v>717</v>
      </c>
      <c r="AJ17" s="18">
        <v>402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7"/>
    </row>
    <row r="18" spans="1:43" ht="13.5" customHeight="1" x14ac:dyDescent="0.2">
      <c r="A18" s="4"/>
      <c r="B18" s="16"/>
      <c r="C18" s="68" t="s">
        <v>47</v>
      </c>
      <c r="D18" s="30"/>
      <c r="E18" s="30"/>
      <c r="F18" s="30"/>
      <c r="G18" s="30"/>
      <c r="H18" s="30"/>
      <c r="I18" s="30">
        <f>22718-I12</f>
        <v>508</v>
      </c>
      <c r="J18" s="30">
        <f>25530-J12</f>
        <v>1013</v>
      </c>
      <c r="K18" s="30">
        <f>27763-K12</f>
        <v>666</v>
      </c>
      <c r="L18" s="30">
        <f>28797-L12</f>
        <v>469</v>
      </c>
      <c r="M18" s="30">
        <f>30376-M12</f>
        <v>932</v>
      </c>
      <c r="N18" s="21">
        <v>2926</v>
      </c>
      <c r="O18" s="30">
        <v>3360</v>
      </c>
      <c r="P18" s="24">
        <v>3316</v>
      </c>
      <c r="Q18" s="24">
        <v>3264</v>
      </c>
      <c r="R18" s="24">
        <v>3312</v>
      </c>
      <c r="S18" s="24">
        <v>3499</v>
      </c>
      <c r="T18" s="24">
        <v>3362</v>
      </c>
      <c r="U18" s="44">
        <v>2855</v>
      </c>
      <c r="V18" s="21">
        <v>2721</v>
      </c>
      <c r="W18" s="21">
        <v>3118</v>
      </c>
      <c r="X18" s="21">
        <v>3137</v>
      </c>
      <c r="Y18" s="21">
        <v>3527</v>
      </c>
      <c r="Z18" s="21">
        <v>5385</v>
      </c>
      <c r="AA18" s="21">
        <v>5958</v>
      </c>
      <c r="AB18" s="21">
        <v>6724</v>
      </c>
      <c r="AC18" s="21">
        <v>5625</v>
      </c>
      <c r="AD18" s="21">
        <v>6042</v>
      </c>
      <c r="AE18" s="21">
        <f>1121+7+1291+420+6+1464</f>
        <v>4309</v>
      </c>
      <c r="AF18" s="21">
        <v>8127</v>
      </c>
      <c r="AG18" s="21">
        <v>11717</v>
      </c>
      <c r="AH18" s="21">
        <v>12139</v>
      </c>
      <c r="AI18" s="21">
        <v>11579</v>
      </c>
      <c r="AJ18" s="21">
        <v>11157</v>
      </c>
      <c r="AK18" s="21">
        <v>8420</v>
      </c>
      <c r="AL18" s="21">
        <v>9038</v>
      </c>
      <c r="AM18" s="21">
        <v>10416</v>
      </c>
      <c r="AN18" s="21">
        <v>13529</v>
      </c>
      <c r="AO18" s="21">
        <v>12439</v>
      </c>
      <c r="AP18" s="21">
        <v>13977</v>
      </c>
      <c r="AQ18" s="7"/>
    </row>
    <row r="19" spans="1:43" ht="13.5" customHeight="1" x14ac:dyDescent="0.2">
      <c r="A19" s="4"/>
      <c r="B19" s="16"/>
      <c r="C19" s="16"/>
      <c r="D19" s="18"/>
      <c r="E19" s="18"/>
      <c r="F19" s="18"/>
      <c r="G19" s="18"/>
      <c r="H19" s="18"/>
      <c r="I19" s="18">
        <f t="shared" ref="I19:N19" si="6">SUM(I16:I18)</f>
        <v>1396</v>
      </c>
      <c r="J19" s="18">
        <f t="shared" si="6"/>
        <v>1013</v>
      </c>
      <c r="K19" s="18">
        <f t="shared" si="6"/>
        <v>1001</v>
      </c>
      <c r="L19" s="18">
        <f t="shared" si="6"/>
        <v>1141</v>
      </c>
      <c r="M19" s="18">
        <f t="shared" si="6"/>
        <v>1479</v>
      </c>
      <c r="N19" s="18">
        <f t="shared" si="6"/>
        <v>17022</v>
      </c>
      <c r="O19" s="24">
        <f t="shared" ref="O19:AA19" si="7">SUM(O16:O18)</f>
        <v>21308</v>
      </c>
      <c r="P19" s="57">
        <f t="shared" si="7"/>
        <v>22671</v>
      </c>
      <c r="Q19" s="57">
        <f t="shared" si="7"/>
        <v>25230</v>
      </c>
      <c r="R19" s="57">
        <f t="shared" si="7"/>
        <v>25719</v>
      </c>
      <c r="S19" s="57">
        <f t="shared" si="7"/>
        <v>27132</v>
      </c>
      <c r="T19" s="57">
        <f t="shared" si="7"/>
        <v>28591</v>
      </c>
      <c r="U19" s="32">
        <f t="shared" si="7"/>
        <v>26890</v>
      </c>
      <c r="V19" s="32">
        <f t="shared" si="7"/>
        <v>26425</v>
      </c>
      <c r="W19" s="45">
        <f t="shared" si="7"/>
        <v>24278</v>
      </c>
      <c r="X19" s="45">
        <f t="shared" si="7"/>
        <v>17606</v>
      </c>
      <c r="Y19" s="45">
        <f t="shared" si="7"/>
        <v>24496</v>
      </c>
      <c r="Z19" s="45">
        <f t="shared" si="7"/>
        <v>29703</v>
      </c>
      <c r="AA19" s="45">
        <f t="shared" si="7"/>
        <v>30481</v>
      </c>
      <c r="AB19" s="45">
        <f t="shared" ref="AB19:AK19" si="8">SUM(AB16:AB18)</f>
        <v>34309</v>
      </c>
      <c r="AC19" s="45">
        <f t="shared" si="8"/>
        <v>37473</v>
      </c>
      <c r="AD19" s="45">
        <f t="shared" si="8"/>
        <v>38507</v>
      </c>
      <c r="AE19" s="45">
        <f t="shared" si="8"/>
        <v>36435</v>
      </c>
      <c r="AF19" s="45">
        <f t="shared" si="8"/>
        <v>66907</v>
      </c>
      <c r="AG19" s="45">
        <f t="shared" si="8"/>
        <v>83462</v>
      </c>
      <c r="AH19" s="45">
        <f t="shared" si="8"/>
        <v>88849</v>
      </c>
      <c r="AI19" s="45">
        <f t="shared" si="8"/>
        <v>75834</v>
      </c>
      <c r="AJ19" s="45">
        <f t="shared" si="8"/>
        <v>74831</v>
      </c>
      <c r="AK19" s="45">
        <f t="shared" si="8"/>
        <v>82571</v>
      </c>
      <c r="AL19" s="45">
        <f t="shared" ref="AL19:AM19" si="9">SUM(AL16:AL18)</f>
        <v>88793</v>
      </c>
      <c r="AM19" s="45">
        <f t="shared" si="9"/>
        <v>93403</v>
      </c>
      <c r="AN19" s="45">
        <f t="shared" ref="AN19" si="10">SUM(AN16:AN18)</f>
        <v>103102</v>
      </c>
      <c r="AO19" s="45">
        <f t="shared" ref="AO19:AP19" si="11">SUM(AO16:AO18)</f>
        <v>105625</v>
      </c>
      <c r="AP19" s="45">
        <f t="shared" si="11"/>
        <v>109221</v>
      </c>
      <c r="AQ19" s="7"/>
    </row>
    <row r="20" spans="1:43" ht="13.5" customHeight="1" x14ac:dyDescent="0.2">
      <c r="A20" s="4"/>
      <c r="B20" s="16"/>
      <c r="C20" s="16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4"/>
      <c r="P20" s="32"/>
      <c r="Q20" s="32"/>
      <c r="R20" s="32"/>
      <c r="S20" s="32"/>
      <c r="T20" s="32"/>
      <c r="U20" s="32"/>
      <c r="V20" s="32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7"/>
    </row>
    <row r="21" spans="1:43" ht="13.5" customHeight="1" x14ac:dyDescent="0.2">
      <c r="A21" s="4"/>
      <c r="B21" s="65" t="s">
        <v>38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7"/>
    </row>
    <row r="22" spans="1:43" ht="13.5" customHeight="1" x14ac:dyDescent="0.2">
      <c r="A22" s="4"/>
      <c r="B22" s="16"/>
      <c r="C22" s="68" t="s">
        <v>36</v>
      </c>
      <c r="D22" s="24">
        <f t="shared" ref="D22:G24" si="12">D10</f>
        <v>225554</v>
      </c>
      <c r="E22" s="24">
        <f t="shared" si="12"/>
        <v>230659</v>
      </c>
      <c r="F22" s="24">
        <f t="shared" si="12"/>
        <v>218209</v>
      </c>
      <c r="G22" s="24">
        <f t="shared" si="12"/>
        <v>209691</v>
      </c>
      <c r="H22" s="24">
        <f>H10</f>
        <v>203449</v>
      </c>
      <c r="I22" s="18">
        <f t="shared" ref="I22:AF24" si="13">I10+I16</f>
        <v>205306</v>
      </c>
      <c r="J22" s="18">
        <f t="shared" si="13"/>
        <v>213224</v>
      </c>
      <c r="K22" s="18">
        <f t="shared" si="13"/>
        <v>221047</v>
      </c>
      <c r="L22" s="18">
        <f t="shared" si="13"/>
        <v>228839</v>
      </c>
      <c r="M22" s="18">
        <f t="shared" si="13"/>
        <v>238186</v>
      </c>
      <c r="N22" s="18">
        <f t="shared" si="13"/>
        <v>243316</v>
      </c>
      <c r="O22" s="18">
        <f t="shared" si="13"/>
        <v>238162</v>
      </c>
      <c r="P22" s="18">
        <f t="shared" si="13"/>
        <v>217740</v>
      </c>
      <c r="Q22" s="18">
        <f t="shared" si="13"/>
        <v>219977</v>
      </c>
      <c r="R22" s="18">
        <f t="shared" si="13"/>
        <v>226372</v>
      </c>
      <c r="S22" s="18">
        <f t="shared" si="13"/>
        <v>229693</v>
      </c>
      <c r="T22" s="18">
        <f t="shared" si="13"/>
        <v>232042</v>
      </c>
      <c r="U22" s="18">
        <f t="shared" si="13"/>
        <v>230084</v>
      </c>
      <c r="V22" s="18">
        <f t="shared" si="13"/>
        <v>233246</v>
      </c>
      <c r="W22" s="18">
        <f t="shared" si="13"/>
        <v>231585</v>
      </c>
      <c r="X22" s="18">
        <f t="shared" si="13"/>
        <v>222286</v>
      </c>
      <c r="Y22" s="18">
        <f t="shared" si="13"/>
        <v>234301</v>
      </c>
      <c r="Z22" s="18">
        <f t="shared" si="13"/>
        <v>237801</v>
      </c>
      <c r="AA22" s="18">
        <f t="shared" si="13"/>
        <v>234986</v>
      </c>
      <c r="AB22" s="18">
        <f t="shared" si="13"/>
        <v>231647</v>
      </c>
      <c r="AC22" s="18">
        <f t="shared" si="13"/>
        <v>238643</v>
      </c>
      <c r="AD22" s="18">
        <f t="shared" si="13"/>
        <v>238136</v>
      </c>
      <c r="AE22" s="18">
        <f t="shared" si="13"/>
        <v>238887</v>
      </c>
      <c r="AF22" s="18">
        <f t="shared" si="13"/>
        <v>216665</v>
      </c>
      <c r="AG22" s="18">
        <f t="shared" ref="AG22:AK24" si="14">AG10+AG16</f>
        <v>247134</v>
      </c>
      <c r="AH22" s="18">
        <f t="shared" si="14"/>
        <v>250449</v>
      </c>
      <c r="AI22" s="18">
        <f t="shared" si="14"/>
        <v>247925</v>
      </c>
      <c r="AJ22" s="18">
        <f t="shared" si="14"/>
        <v>250983</v>
      </c>
      <c r="AK22" s="18">
        <f t="shared" si="14"/>
        <v>252086.5</v>
      </c>
      <c r="AL22" s="18">
        <f t="shared" ref="AL22:AM22" si="15">AL10+AL16</f>
        <v>252920</v>
      </c>
      <c r="AM22" s="18">
        <f t="shared" si="15"/>
        <v>243384</v>
      </c>
      <c r="AN22" s="18">
        <f t="shared" ref="AN22" si="16">AN10+AN16</f>
        <v>234270</v>
      </c>
      <c r="AO22" s="18">
        <f t="shared" ref="AO22:AP22" si="17">AO10+AO16</f>
        <v>231853</v>
      </c>
      <c r="AP22" s="18">
        <f t="shared" si="17"/>
        <v>224882</v>
      </c>
      <c r="AQ22" s="7"/>
    </row>
    <row r="23" spans="1:43" ht="13.5" customHeight="1" x14ac:dyDescent="0.2">
      <c r="A23" s="4"/>
      <c r="B23" s="16"/>
      <c r="C23" s="68" t="s">
        <v>46</v>
      </c>
      <c r="D23" s="24">
        <f t="shared" si="12"/>
        <v>792</v>
      </c>
      <c r="E23" s="24">
        <f t="shared" si="12"/>
        <v>1991</v>
      </c>
      <c r="F23" s="24">
        <f t="shared" si="12"/>
        <v>4910</v>
      </c>
      <c r="G23" s="24">
        <f t="shared" si="12"/>
        <v>4733</v>
      </c>
      <c r="H23" s="24">
        <f>H11</f>
        <v>5002</v>
      </c>
      <c r="I23" s="18">
        <f t="shared" si="13"/>
        <v>6418</v>
      </c>
      <c r="J23" s="18">
        <f t="shared" si="13"/>
        <v>6133</v>
      </c>
      <c r="K23" s="18">
        <f t="shared" si="13"/>
        <v>6489</v>
      </c>
      <c r="L23" s="18">
        <f t="shared" si="13"/>
        <v>6627</v>
      </c>
      <c r="M23" s="18">
        <f t="shared" si="13"/>
        <v>6563</v>
      </c>
      <c r="N23" s="18">
        <f t="shared" si="13"/>
        <v>6548</v>
      </c>
      <c r="O23" s="18">
        <f t="shared" si="13"/>
        <v>6405</v>
      </c>
      <c r="P23" s="18">
        <f t="shared" si="13"/>
        <v>6584</v>
      </c>
      <c r="Q23" s="18">
        <f t="shared" si="13"/>
        <v>6612</v>
      </c>
      <c r="R23" s="18">
        <f t="shared" si="13"/>
        <v>6556</v>
      </c>
      <c r="S23" s="18">
        <f t="shared" si="13"/>
        <v>6852</v>
      </c>
      <c r="T23" s="18">
        <f t="shared" si="13"/>
        <v>6963</v>
      </c>
      <c r="U23" s="18">
        <f t="shared" si="13"/>
        <v>7078</v>
      </c>
      <c r="V23" s="18">
        <f t="shared" si="13"/>
        <v>7497</v>
      </c>
      <c r="W23" s="18">
        <f t="shared" si="13"/>
        <v>7390</v>
      </c>
      <c r="X23" s="18">
        <f t="shared" si="13"/>
        <v>7320</v>
      </c>
      <c r="Y23" s="18">
        <f t="shared" si="13"/>
        <v>6947</v>
      </c>
      <c r="Z23" s="18">
        <f t="shared" si="13"/>
        <v>6681</v>
      </c>
      <c r="AA23" s="18">
        <f t="shared" si="13"/>
        <v>7084</v>
      </c>
      <c r="AB23" s="18">
        <f t="shared" si="13"/>
        <v>7251</v>
      </c>
      <c r="AC23" s="18">
        <f t="shared" si="13"/>
        <v>7065</v>
      </c>
      <c r="AD23" s="18">
        <f t="shared" si="13"/>
        <v>7446</v>
      </c>
      <c r="AE23" s="18">
        <f t="shared" si="13"/>
        <v>7311</v>
      </c>
      <c r="AF23" s="18">
        <f t="shared" si="13"/>
        <v>7163</v>
      </c>
      <c r="AG23" s="18">
        <f t="shared" si="14"/>
        <v>7740</v>
      </c>
      <c r="AH23" s="18">
        <f t="shared" si="14"/>
        <v>7416</v>
      </c>
      <c r="AI23" s="18">
        <f t="shared" si="14"/>
        <v>7391</v>
      </c>
      <c r="AJ23" s="18">
        <f t="shared" si="14"/>
        <v>7107</v>
      </c>
      <c r="AK23" s="18">
        <f t="shared" si="14"/>
        <v>7284</v>
      </c>
      <c r="AL23" s="18">
        <f t="shared" ref="AL23:AM23" si="18">AL11+AL17</f>
        <v>7466</v>
      </c>
      <c r="AM23" s="18">
        <f t="shared" si="18"/>
        <v>7533</v>
      </c>
      <c r="AN23" s="18">
        <f t="shared" ref="AN23" si="19">AN11+AN17</f>
        <v>7391</v>
      </c>
      <c r="AO23" s="18">
        <f t="shared" ref="AO23:AP23" si="20">AO11+AO17</f>
        <v>7573</v>
      </c>
      <c r="AP23" s="18">
        <f t="shared" si="20"/>
        <v>7779</v>
      </c>
      <c r="AQ23" s="7"/>
    </row>
    <row r="24" spans="1:43" ht="13.5" customHeight="1" x14ac:dyDescent="0.2">
      <c r="A24" s="4"/>
      <c r="B24" s="16"/>
      <c r="C24" s="68" t="s">
        <v>47</v>
      </c>
      <c r="D24" s="30">
        <f t="shared" si="12"/>
        <v>23450</v>
      </c>
      <c r="E24" s="30">
        <f t="shared" si="12"/>
        <v>23448</v>
      </c>
      <c r="F24" s="30">
        <f t="shared" si="12"/>
        <v>19597</v>
      </c>
      <c r="G24" s="30">
        <f t="shared" si="12"/>
        <v>20358</v>
      </c>
      <c r="H24" s="30">
        <f>H12</f>
        <v>21027</v>
      </c>
      <c r="I24" s="21">
        <f t="shared" si="13"/>
        <v>22718</v>
      </c>
      <c r="J24" s="21">
        <f t="shared" si="13"/>
        <v>25530</v>
      </c>
      <c r="K24" s="21">
        <f t="shared" si="13"/>
        <v>27763</v>
      </c>
      <c r="L24" s="21">
        <f t="shared" si="13"/>
        <v>28797</v>
      </c>
      <c r="M24" s="21">
        <f t="shared" si="13"/>
        <v>30376</v>
      </c>
      <c r="N24" s="21">
        <f t="shared" si="13"/>
        <v>32729</v>
      </c>
      <c r="O24" s="21">
        <f t="shared" si="13"/>
        <v>34110</v>
      </c>
      <c r="P24" s="21">
        <f t="shared" si="13"/>
        <v>32671</v>
      </c>
      <c r="Q24" s="21">
        <f t="shared" si="13"/>
        <v>32814</v>
      </c>
      <c r="R24" s="21">
        <f t="shared" si="13"/>
        <v>34149</v>
      </c>
      <c r="S24" s="21">
        <f t="shared" si="13"/>
        <v>36084</v>
      </c>
      <c r="T24" s="21">
        <f t="shared" si="13"/>
        <v>33453</v>
      </c>
      <c r="U24" s="21">
        <f t="shared" si="13"/>
        <v>32574</v>
      </c>
      <c r="V24" s="21">
        <f t="shared" si="13"/>
        <v>31708</v>
      </c>
      <c r="W24" s="21">
        <f t="shared" si="13"/>
        <v>31801</v>
      </c>
      <c r="X24" s="21">
        <f t="shared" si="13"/>
        <v>33851</v>
      </c>
      <c r="Y24" s="21">
        <f t="shared" si="13"/>
        <v>37595</v>
      </c>
      <c r="Z24" s="21">
        <f t="shared" si="13"/>
        <v>41286</v>
      </c>
      <c r="AA24" s="21">
        <f t="shared" si="13"/>
        <v>42823</v>
      </c>
      <c r="AB24" s="21">
        <f t="shared" si="13"/>
        <v>43164</v>
      </c>
      <c r="AC24" s="21">
        <f t="shared" si="13"/>
        <v>43618</v>
      </c>
      <c r="AD24" s="21">
        <f t="shared" si="13"/>
        <v>43879</v>
      </c>
      <c r="AE24" s="21">
        <f t="shared" si="13"/>
        <v>42816.5</v>
      </c>
      <c r="AF24" s="21">
        <f t="shared" si="13"/>
        <v>38201</v>
      </c>
      <c r="AG24" s="21">
        <f t="shared" si="14"/>
        <v>49263</v>
      </c>
      <c r="AH24" s="21">
        <f t="shared" si="14"/>
        <v>50391.5</v>
      </c>
      <c r="AI24" s="21">
        <f t="shared" si="14"/>
        <v>49384.5</v>
      </c>
      <c r="AJ24" s="21">
        <f t="shared" si="14"/>
        <v>46684.5</v>
      </c>
      <c r="AK24" s="21">
        <f t="shared" si="14"/>
        <v>43625</v>
      </c>
      <c r="AL24" s="21">
        <f t="shared" ref="AL24:AM24" si="21">AL12+AL18</f>
        <v>43073</v>
      </c>
      <c r="AM24" s="21">
        <f t="shared" si="21"/>
        <v>43668.5</v>
      </c>
      <c r="AN24" s="21">
        <f t="shared" ref="AN24" si="22">AN12+AN18</f>
        <v>42828</v>
      </c>
      <c r="AO24" s="21">
        <f t="shared" ref="AO24:AP24" si="23">AO12+AO18</f>
        <v>41881</v>
      </c>
      <c r="AP24" s="21">
        <f t="shared" si="23"/>
        <v>42755</v>
      </c>
      <c r="AQ24" s="7"/>
    </row>
    <row r="25" spans="1:43" ht="13.5" customHeight="1" x14ac:dyDescent="0.2">
      <c r="A25" s="4"/>
      <c r="B25" s="16"/>
      <c r="C25" s="16"/>
      <c r="D25" s="18">
        <f t="shared" ref="D25:AD25" si="24">SUM(D22:D24)</f>
        <v>249796</v>
      </c>
      <c r="E25" s="18">
        <f t="shared" si="24"/>
        <v>256098</v>
      </c>
      <c r="F25" s="18">
        <f t="shared" si="24"/>
        <v>242716</v>
      </c>
      <c r="G25" s="18">
        <f t="shared" si="24"/>
        <v>234782</v>
      </c>
      <c r="H25" s="18">
        <f t="shared" si="24"/>
        <v>229478</v>
      </c>
      <c r="I25" s="18">
        <f t="shared" si="24"/>
        <v>234442</v>
      </c>
      <c r="J25" s="18">
        <f t="shared" si="24"/>
        <v>244887</v>
      </c>
      <c r="K25" s="18">
        <f t="shared" si="24"/>
        <v>255299</v>
      </c>
      <c r="L25" s="18">
        <f t="shared" si="24"/>
        <v>264263</v>
      </c>
      <c r="M25" s="18">
        <f t="shared" si="24"/>
        <v>275125</v>
      </c>
      <c r="N25" s="18">
        <f t="shared" si="24"/>
        <v>282593</v>
      </c>
      <c r="O25" s="24">
        <f t="shared" si="24"/>
        <v>278677</v>
      </c>
      <c r="P25" s="57">
        <f t="shared" si="24"/>
        <v>256995</v>
      </c>
      <c r="Q25" s="57">
        <f t="shared" si="24"/>
        <v>259403</v>
      </c>
      <c r="R25" s="57">
        <f t="shared" si="24"/>
        <v>267077</v>
      </c>
      <c r="S25" s="57">
        <f t="shared" si="24"/>
        <v>272629</v>
      </c>
      <c r="T25" s="57">
        <f t="shared" si="24"/>
        <v>272458</v>
      </c>
      <c r="U25" s="32">
        <f t="shared" si="24"/>
        <v>269736</v>
      </c>
      <c r="V25" s="32">
        <f t="shared" si="24"/>
        <v>272451</v>
      </c>
      <c r="W25" s="45">
        <f t="shared" si="24"/>
        <v>270776</v>
      </c>
      <c r="X25" s="45">
        <f t="shared" si="24"/>
        <v>263457</v>
      </c>
      <c r="Y25" s="45">
        <f t="shared" si="24"/>
        <v>278843</v>
      </c>
      <c r="Z25" s="45">
        <f t="shared" si="24"/>
        <v>285768</v>
      </c>
      <c r="AA25" s="45">
        <f t="shared" si="24"/>
        <v>284893</v>
      </c>
      <c r="AB25" s="45">
        <f t="shared" si="24"/>
        <v>282062</v>
      </c>
      <c r="AC25" s="45">
        <f t="shared" si="24"/>
        <v>289326</v>
      </c>
      <c r="AD25" s="45">
        <f t="shared" si="24"/>
        <v>289461</v>
      </c>
      <c r="AE25" s="45">
        <f t="shared" ref="AE25:AK25" si="25">SUM(AE22:AE24)</f>
        <v>289014.5</v>
      </c>
      <c r="AF25" s="45">
        <f t="shared" si="25"/>
        <v>262029</v>
      </c>
      <c r="AG25" s="45">
        <f t="shared" si="25"/>
        <v>304137</v>
      </c>
      <c r="AH25" s="45">
        <f t="shared" si="25"/>
        <v>308256.5</v>
      </c>
      <c r="AI25" s="45">
        <f t="shared" si="25"/>
        <v>304700.5</v>
      </c>
      <c r="AJ25" s="45">
        <f t="shared" si="25"/>
        <v>304774.5</v>
      </c>
      <c r="AK25" s="45">
        <f t="shared" si="25"/>
        <v>302995.5</v>
      </c>
      <c r="AL25" s="45">
        <f t="shared" ref="AL25:AM25" si="26">SUM(AL22:AL24)</f>
        <v>303459</v>
      </c>
      <c r="AM25" s="45">
        <f t="shared" si="26"/>
        <v>294585.5</v>
      </c>
      <c r="AN25" s="45">
        <f t="shared" ref="AN25" si="27">SUM(AN22:AN24)</f>
        <v>284489</v>
      </c>
      <c r="AO25" s="45">
        <f t="shared" ref="AO25:AP25" si="28">SUM(AO22:AO24)</f>
        <v>281307</v>
      </c>
      <c r="AP25" s="45">
        <f t="shared" si="28"/>
        <v>275416</v>
      </c>
      <c r="AQ25" s="7"/>
    </row>
    <row r="26" spans="1:43" ht="13.5" customHeight="1" x14ac:dyDescent="0.2">
      <c r="A26" s="4"/>
      <c r="B26" s="34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7"/>
    </row>
    <row r="27" spans="1:43" ht="13.5" customHeight="1" x14ac:dyDescent="0.2">
      <c r="A27" s="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7"/>
    </row>
    <row r="28" spans="1:43" ht="13.5" customHeight="1" x14ac:dyDescent="0.2">
      <c r="A28" s="4"/>
      <c r="B28" s="16" t="s">
        <v>50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7"/>
    </row>
    <row r="29" spans="1:43" ht="13.5" customHeight="1" x14ac:dyDescent="0.2">
      <c r="A29" s="4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7"/>
    </row>
    <row r="30" spans="1:43" ht="13.5" customHeight="1" x14ac:dyDescent="0.2">
      <c r="A30" s="33"/>
      <c r="B30" s="34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6"/>
      <c r="AG30" s="36"/>
      <c r="AH30" s="36"/>
      <c r="AI30" s="36"/>
      <c r="AJ30" s="36"/>
      <c r="AK30" s="48"/>
      <c r="AL30" s="48"/>
      <c r="AM30" s="48"/>
      <c r="AN30" s="48"/>
      <c r="AO30" s="48"/>
      <c r="AP30" s="48" t="s">
        <v>54</v>
      </c>
      <c r="AQ30" s="37"/>
    </row>
  </sheetData>
  <mergeCells count="1">
    <mergeCell ref="A2:AQ2"/>
  </mergeCells>
  <printOptions horizontalCentered="1"/>
  <pageMargins left="0.7" right="0.45" top="0.5" bottom="0.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UM System</vt:lpstr>
      <vt:lpstr>MU</vt:lpstr>
      <vt:lpstr>UMKC</vt:lpstr>
      <vt:lpstr>S&amp;T</vt:lpstr>
      <vt:lpstr>UMSL</vt:lpstr>
    </vt:vector>
  </TitlesOfParts>
  <Company>University of Missouri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Sade, Randy</dc:creator>
  <cp:lastModifiedBy>Sade, Randy</cp:lastModifiedBy>
  <cp:lastPrinted>2017-03-22T14:23:38Z</cp:lastPrinted>
  <dcterms:created xsi:type="dcterms:W3CDTF">2014-09-22T20:23:21Z</dcterms:created>
  <dcterms:modified xsi:type="dcterms:W3CDTF">2019-03-06T20:51:53Z</dcterms:modified>
</cp:coreProperties>
</file>