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480" yWindow="330" windowWidth="18195" windowHeight="11325"/>
  </bookViews>
  <sheets>
    <sheet name="UM System" sheetId="5" r:id="rId1"/>
    <sheet name="MU" sheetId="1" r:id="rId2"/>
    <sheet name="UMKC" sheetId="2" r:id="rId3"/>
    <sheet name="S&amp;T" sheetId="3" r:id="rId4"/>
    <sheet name="UMSL" sheetId="4" r:id="rId5"/>
  </sheets>
  <calcPr calcId="152511"/>
</workbook>
</file>

<file path=xl/calcChain.xml><?xml version="1.0" encoding="utf-8"?>
<calcChain xmlns="http://schemas.openxmlformats.org/spreadsheetml/2006/main">
  <c r="BB129" i="2" l="1"/>
  <c r="BB48" i="2"/>
  <c r="BB113" i="5" l="1"/>
  <c r="BA113" i="5"/>
  <c r="BA128" i="2"/>
  <c r="BB128" i="2"/>
  <c r="BB73" i="2"/>
  <c r="BA73" i="2"/>
  <c r="BB164" i="1" l="1"/>
  <c r="BB94" i="5" l="1"/>
  <c r="BB157" i="1"/>
  <c r="BB26" i="5"/>
  <c r="BB156" i="1"/>
  <c r="BB117" i="5"/>
  <c r="BB158" i="1"/>
  <c r="BA31" i="5" l="1"/>
  <c r="AZ31" i="5"/>
  <c r="AY31" i="5"/>
  <c r="AX31" i="5"/>
  <c r="AW31" i="5"/>
  <c r="BB31" i="5"/>
  <c r="AW124" i="4"/>
  <c r="AX124" i="4"/>
  <c r="AY124" i="4"/>
  <c r="AZ124" i="4"/>
  <c r="BA124" i="4"/>
  <c r="BB124" i="4"/>
  <c r="BB82" i="5"/>
  <c r="BB122" i="4"/>
  <c r="BB43" i="4"/>
  <c r="BB185" i="5" l="1"/>
  <c r="BB184" i="5"/>
  <c r="BB183" i="5"/>
  <c r="BB182" i="5"/>
  <c r="BB179" i="5"/>
  <c r="BB178" i="5"/>
  <c r="BB177" i="5"/>
  <c r="BB176" i="5"/>
  <c r="BB173" i="5"/>
  <c r="BB172" i="5"/>
  <c r="BB171" i="5"/>
  <c r="BB170" i="5"/>
  <c r="BB169" i="5"/>
  <c r="BB166" i="5"/>
  <c r="BB165" i="5"/>
  <c r="BB164" i="5"/>
  <c r="BB163" i="5"/>
  <c r="BB160" i="5"/>
  <c r="BB159" i="5"/>
  <c r="BB158" i="5"/>
  <c r="BB157" i="5"/>
  <c r="BB156" i="5"/>
  <c r="BB153" i="5"/>
  <c r="BB152" i="5"/>
  <c r="BB151" i="5"/>
  <c r="BB150" i="5"/>
  <c r="BB147" i="5"/>
  <c r="BB146" i="5"/>
  <c r="BB143" i="5"/>
  <c r="BB142" i="5"/>
  <c r="BB141" i="5"/>
  <c r="BB140" i="5"/>
  <c r="BB139" i="5"/>
  <c r="BB138" i="5"/>
  <c r="BB135" i="5"/>
  <c r="BB134" i="5"/>
  <c r="BB133" i="5"/>
  <c r="BB132" i="5"/>
  <c r="BB129" i="5"/>
  <c r="BB128" i="5"/>
  <c r="BB127" i="5"/>
  <c r="BB126" i="5"/>
  <c r="BB122" i="5"/>
  <c r="BB121" i="5"/>
  <c r="BB118" i="5"/>
  <c r="BB116" i="5"/>
  <c r="BB115" i="5"/>
  <c r="BB114" i="5"/>
  <c r="BB111" i="5"/>
  <c r="BB108" i="5"/>
  <c r="BB107" i="5"/>
  <c r="BB106" i="5"/>
  <c r="BB105" i="5"/>
  <c r="BB104" i="5"/>
  <c r="BB101" i="5"/>
  <c r="BB100" i="5"/>
  <c r="BB99" i="5"/>
  <c r="BB98" i="5"/>
  <c r="BB97" i="5"/>
  <c r="BB90" i="5"/>
  <c r="BB89" i="5"/>
  <c r="BB86" i="5"/>
  <c r="BB85" i="5"/>
  <c r="BB84" i="5"/>
  <c r="BB83" i="5"/>
  <c r="BB79" i="5"/>
  <c r="BB78" i="5"/>
  <c r="BB77" i="5"/>
  <c r="BB73" i="5"/>
  <c r="BB72" i="5"/>
  <c r="BB71" i="5"/>
  <c r="BB70" i="5"/>
  <c r="BB67" i="5"/>
  <c r="BB66" i="5"/>
  <c r="BB65" i="5"/>
  <c r="BB62" i="5"/>
  <c r="BB61" i="5"/>
  <c r="BB59" i="5"/>
  <c r="BB58" i="5"/>
  <c r="BB55" i="5"/>
  <c r="BB54" i="5"/>
  <c r="BB52" i="5"/>
  <c r="BB51" i="5"/>
  <c r="BB50" i="5"/>
  <c r="BB47" i="5"/>
  <c r="BB46" i="5"/>
  <c r="BB195" i="5" s="1"/>
  <c r="BB45" i="5"/>
  <c r="BB44" i="5"/>
  <c r="BB43" i="5"/>
  <c r="BB40" i="5"/>
  <c r="BB39" i="5"/>
  <c r="BB38" i="5"/>
  <c r="BB37" i="5"/>
  <c r="BB36" i="5"/>
  <c r="BB33" i="5"/>
  <c r="BB32" i="5"/>
  <c r="BB194" i="5" s="1"/>
  <c r="BB30" i="5"/>
  <c r="BB29" i="5"/>
  <c r="BB25" i="5"/>
  <c r="BB24" i="5"/>
  <c r="BB22" i="5"/>
  <c r="BB19" i="5"/>
  <c r="BB18" i="5"/>
  <c r="BB17" i="5"/>
  <c r="BB16" i="5"/>
  <c r="BB13" i="5"/>
  <c r="BB12" i="5"/>
  <c r="BB11" i="5"/>
  <c r="BB166" i="1"/>
  <c r="BB165" i="1"/>
  <c r="BB163" i="1"/>
  <c r="BB160" i="1"/>
  <c r="BB159" i="1"/>
  <c r="BB155" i="1"/>
  <c r="BB151" i="1"/>
  <c r="BB146" i="1"/>
  <c r="BB140" i="1"/>
  <c r="BB133" i="1"/>
  <c r="BB127" i="1"/>
  <c r="BB121" i="1"/>
  <c r="BB115" i="1"/>
  <c r="BB109" i="1"/>
  <c r="BB103" i="1"/>
  <c r="BB98" i="1"/>
  <c r="BB93" i="1"/>
  <c r="BB86" i="1"/>
  <c r="BB81" i="1"/>
  <c r="BB69" i="1"/>
  <c r="BB64" i="1"/>
  <c r="BB58" i="1"/>
  <c r="BB52" i="1"/>
  <c r="BB47" i="1"/>
  <c r="BB41" i="1"/>
  <c r="BB34" i="1"/>
  <c r="BB29" i="1"/>
  <c r="BB20" i="1"/>
  <c r="BB14" i="1"/>
  <c r="BB80" i="5" l="1"/>
  <c r="BB191" i="5"/>
  <c r="BB197" i="5"/>
  <c r="BB192" i="5"/>
  <c r="BB190" i="5"/>
  <c r="BB87" i="5"/>
  <c r="BB41" i="5"/>
  <c r="BB48" i="5"/>
  <c r="BB74" i="5"/>
  <c r="BB109" i="5"/>
  <c r="BB130" i="5"/>
  <c r="BB136" i="5"/>
  <c r="BB144" i="5"/>
  <c r="BB154" i="5"/>
  <c r="BB196" i="5"/>
  <c r="BB56" i="5"/>
  <c r="BB63" i="5"/>
  <c r="BB68" i="5"/>
  <c r="BB91" i="5"/>
  <c r="BB161" i="5"/>
  <c r="BB167" i="5"/>
  <c r="BB174" i="5"/>
  <c r="BB20" i="5"/>
  <c r="BB34" i="5"/>
  <c r="BB102" i="5"/>
  <c r="BB119" i="5"/>
  <c r="BB124" i="5"/>
  <c r="BB148" i="5"/>
  <c r="BB180" i="5"/>
  <c r="BB186" i="5"/>
  <c r="BB27" i="5"/>
  <c r="BB14" i="5"/>
  <c r="BB161" i="1"/>
  <c r="BB167" i="1"/>
  <c r="BB139" i="2"/>
  <c r="BB138" i="2"/>
  <c r="BB137" i="2"/>
  <c r="BB134" i="2"/>
  <c r="BB133" i="2"/>
  <c r="BB132" i="2"/>
  <c r="BB131" i="2"/>
  <c r="BB130" i="2"/>
  <c r="BB124" i="2"/>
  <c r="BB120" i="2"/>
  <c r="BB115" i="2"/>
  <c r="BB108" i="2"/>
  <c r="BB102" i="2"/>
  <c r="BB96" i="2"/>
  <c r="BB92" i="2"/>
  <c r="BB88" i="2"/>
  <c r="BB82" i="2"/>
  <c r="BB77" i="2"/>
  <c r="BB67" i="2"/>
  <c r="BB62" i="2"/>
  <c r="BB57" i="2"/>
  <c r="BB53" i="2"/>
  <c r="BB43" i="2"/>
  <c r="BB39" i="2"/>
  <c r="BB34" i="2"/>
  <c r="BB27" i="2"/>
  <c r="BB19" i="2"/>
  <c r="BB13" i="2"/>
  <c r="BB131" i="4"/>
  <c r="BB200" i="5" s="1"/>
  <c r="BB135" i="4"/>
  <c r="BB205" i="5" s="1"/>
  <c r="BB134" i="4"/>
  <c r="BB133" i="4"/>
  <c r="BB202" i="5" s="1"/>
  <c r="BB132" i="4"/>
  <c r="BB128" i="4"/>
  <c r="BB127" i="4"/>
  <c r="BB126" i="4"/>
  <c r="BB125" i="4"/>
  <c r="BB123" i="4"/>
  <c r="BB118" i="4"/>
  <c r="BB113" i="4"/>
  <c r="BB107" i="4"/>
  <c r="BB98" i="4"/>
  <c r="BB92" i="4"/>
  <c r="BB83" i="4"/>
  <c r="BB75" i="4"/>
  <c r="BB70" i="4"/>
  <c r="BB66" i="4"/>
  <c r="BB58" i="4"/>
  <c r="BB52" i="4"/>
  <c r="BB33" i="4"/>
  <c r="BB26" i="4"/>
  <c r="BB20" i="4"/>
  <c r="BB14" i="4"/>
  <c r="BB204" i="5" l="1"/>
  <c r="BB206" i="5" s="1"/>
  <c r="BB201" i="5"/>
  <c r="BB198" i="5"/>
  <c r="BB135" i="2"/>
  <c r="BB141" i="2"/>
  <c r="BB136" i="4"/>
  <c r="BB129" i="4"/>
  <c r="BB75" i="3"/>
  <c r="BB36" i="3"/>
  <c r="BB88" i="3"/>
  <c r="BB87" i="3"/>
  <c r="BB85" i="3"/>
  <c r="BB84" i="3"/>
  <c r="BB83" i="3"/>
  <c r="BB80" i="3"/>
  <c r="BB79" i="3"/>
  <c r="BB77" i="3"/>
  <c r="BB76" i="3"/>
  <c r="BB69" i="3"/>
  <c r="BB62" i="3"/>
  <c r="BB57" i="3"/>
  <c r="BB48" i="3"/>
  <c r="BB42" i="3"/>
  <c r="BB30" i="3"/>
  <c r="BB23" i="3"/>
  <c r="BB15" i="3"/>
  <c r="BB89" i="3" l="1"/>
  <c r="BB81" i="3"/>
  <c r="BA122" i="4"/>
  <c r="BA131" i="4"/>
  <c r="BA166" i="1"/>
  <c r="BA115" i="5" l="1"/>
  <c r="AZ115" i="5"/>
  <c r="AY115" i="5"/>
  <c r="AX115" i="5"/>
  <c r="BA77" i="3"/>
  <c r="AZ77" i="3"/>
  <c r="AY77" i="3"/>
  <c r="AX77" i="3"/>
  <c r="BA114" i="5" l="1"/>
  <c r="BA129" i="2"/>
  <c r="BA36" i="5" l="1"/>
  <c r="AZ36" i="5"/>
  <c r="BA38" i="5"/>
  <c r="AZ38" i="5"/>
  <c r="AZ133" i="4"/>
  <c r="AZ131" i="4"/>
  <c r="AZ122" i="4"/>
  <c r="AZ26" i="4"/>
  <c r="BA133" i="4" l="1"/>
  <c r="BA26" i="4"/>
  <c r="BA185" i="5" l="1"/>
  <c r="BA184" i="5"/>
  <c r="BA183" i="5"/>
  <c r="BA182" i="5"/>
  <c r="BA179" i="5"/>
  <c r="BA178" i="5"/>
  <c r="BA177" i="5"/>
  <c r="BA176" i="5"/>
  <c r="BA173" i="5"/>
  <c r="BA172" i="5"/>
  <c r="BA171" i="5"/>
  <c r="BA170" i="5"/>
  <c r="BA169" i="5"/>
  <c r="BA166" i="5"/>
  <c r="BA165" i="5"/>
  <c r="BA164" i="5"/>
  <c r="BA163" i="5"/>
  <c r="BA160" i="5"/>
  <c r="BA159" i="5"/>
  <c r="BA158" i="5"/>
  <c r="BA157" i="5"/>
  <c r="BA156" i="5"/>
  <c r="BA153" i="5"/>
  <c r="BA152" i="5"/>
  <c r="BA151" i="5"/>
  <c r="BA150" i="5"/>
  <c r="BA147" i="5"/>
  <c r="BA146" i="5"/>
  <c r="BA143" i="5"/>
  <c r="BA142" i="5"/>
  <c r="BA141" i="5"/>
  <c r="BA140" i="5"/>
  <c r="BA139" i="5"/>
  <c r="BA138" i="5"/>
  <c r="BA135" i="5"/>
  <c r="BA134" i="5"/>
  <c r="BA133" i="5"/>
  <c r="BA132" i="5"/>
  <c r="BA129" i="5"/>
  <c r="BA128" i="5"/>
  <c r="BA127" i="5"/>
  <c r="BA126" i="5"/>
  <c r="BA122" i="5"/>
  <c r="BA121" i="5"/>
  <c r="BA118" i="5"/>
  <c r="BA116" i="5"/>
  <c r="BA111" i="5"/>
  <c r="BA108" i="5"/>
  <c r="BA107" i="5"/>
  <c r="BA106" i="5"/>
  <c r="BA105" i="5"/>
  <c r="BA104" i="5"/>
  <c r="BA101" i="5"/>
  <c r="BA100" i="5"/>
  <c r="BA99" i="5"/>
  <c r="BA98" i="5"/>
  <c r="BA97" i="5"/>
  <c r="BA90" i="5"/>
  <c r="BA89" i="5"/>
  <c r="BA86" i="5"/>
  <c r="BA85" i="5"/>
  <c r="BA84" i="5"/>
  <c r="BA83" i="5"/>
  <c r="BA79" i="5"/>
  <c r="BA78" i="5"/>
  <c r="BA77" i="5"/>
  <c r="BA76" i="5"/>
  <c r="BA73" i="5"/>
  <c r="BA72" i="5"/>
  <c r="BA71" i="5"/>
  <c r="BA70" i="5"/>
  <c r="BA67" i="5"/>
  <c r="BA66" i="5"/>
  <c r="BA65" i="5"/>
  <c r="BA62" i="5"/>
  <c r="BA61" i="5"/>
  <c r="BA59" i="5"/>
  <c r="BA58" i="5"/>
  <c r="BA55" i="5"/>
  <c r="BA54" i="5"/>
  <c r="BA52" i="5"/>
  <c r="BA51" i="5"/>
  <c r="BA50" i="5"/>
  <c r="BA47" i="5"/>
  <c r="BA46" i="5"/>
  <c r="BA45" i="5"/>
  <c r="BA44" i="5"/>
  <c r="BA43" i="5"/>
  <c r="BA40" i="5"/>
  <c r="BA39" i="5"/>
  <c r="BA37" i="5"/>
  <c r="BA33" i="5"/>
  <c r="BA32" i="5"/>
  <c r="BA30" i="5"/>
  <c r="BA29" i="5"/>
  <c r="BA26" i="5"/>
  <c r="BA25" i="5"/>
  <c r="BA24" i="5"/>
  <c r="BA22" i="5"/>
  <c r="BA19" i="5"/>
  <c r="BA18" i="5"/>
  <c r="BA17" i="5"/>
  <c r="BA16" i="5"/>
  <c r="BA13" i="5"/>
  <c r="BA12" i="5"/>
  <c r="BA11" i="5"/>
  <c r="BA135" i="4"/>
  <c r="BA134" i="4"/>
  <c r="BA132" i="4"/>
  <c r="BA128" i="4"/>
  <c r="BA127" i="4"/>
  <c r="BA126" i="4"/>
  <c r="BA125" i="4"/>
  <c r="BA123" i="4"/>
  <c r="BA118" i="4"/>
  <c r="BA113" i="4"/>
  <c r="BA107" i="4"/>
  <c r="BA98" i="4"/>
  <c r="BA92" i="4"/>
  <c r="BA83" i="4"/>
  <c r="BA75" i="4"/>
  <c r="BA70" i="4"/>
  <c r="BA66" i="4"/>
  <c r="BA58" i="4"/>
  <c r="BA52" i="4"/>
  <c r="BA43" i="4"/>
  <c r="BA33" i="4"/>
  <c r="BA20" i="4"/>
  <c r="BA14" i="4"/>
  <c r="BA88" i="3"/>
  <c r="BA87" i="3"/>
  <c r="BA85" i="3"/>
  <c r="BA84" i="3"/>
  <c r="BA83" i="3"/>
  <c r="BA200" i="5" s="1"/>
  <c r="BA80" i="3"/>
  <c r="BA79" i="3"/>
  <c r="BA76" i="3"/>
  <c r="BA75" i="3"/>
  <c r="BA69" i="3"/>
  <c r="BA62" i="3"/>
  <c r="BA57" i="3"/>
  <c r="BA48" i="3"/>
  <c r="BA42" i="3"/>
  <c r="BA36" i="3"/>
  <c r="BA30" i="3"/>
  <c r="BA23" i="3"/>
  <c r="BA15" i="3"/>
  <c r="BA139" i="2"/>
  <c r="BA138" i="2"/>
  <c r="BA137" i="2"/>
  <c r="BA134" i="2"/>
  <c r="BA133" i="2"/>
  <c r="BA132" i="2"/>
  <c r="BA131" i="2"/>
  <c r="BA130" i="2"/>
  <c r="BA124" i="2"/>
  <c r="BA120" i="2"/>
  <c r="BA115" i="2"/>
  <c r="BA108" i="2"/>
  <c r="BA102" i="2"/>
  <c r="BA96" i="2"/>
  <c r="BA92" i="2"/>
  <c r="BA88" i="2"/>
  <c r="BA82" i="2"/>
  <c r="BA77" i="2"/>
  <c r="BA67" i="2"/>
  <c r="BA62" i="2"/>
  <c r="BA57" i="2"/>
  <c r="BA53" i="2"/>
  <c r="BA48" i="2"/>
  <c r="BA43" i="2"/>
  <c r="BA39" i="2"/>
  <c r="BA34" i="2"/>
  <c r="BA27" i="2"/>
  <c r="BA23" i="2"/>
  <c r="BA19" i="2"/>
  <c r="BA13" i="2"/>
  <c r="BA165" i="1"/>
  <c r="BA164" i="1"/>
  <c r="BA163" i="1"/>
  <c r="BA160" i="1"/>
  <c r="BA159" i="1"/>
  <c r="BA158" i="1"/>
  <c r="BA157" i="1"/>
  <c r="BA156" i="1"/>
  <c r="BA155" i="1"/>
  <c r="BA151" i="1"/>
  <c r="BA146" i="1"/>
  <c r="BA140" i="1"/>
  <c r="BA133" i="1"/>
  <c r="BA127" i="1"/>
  <c r="BA121" i="1"/>
  <c r="BA115" i="1"/>
  <c r="BA109" i="1"/>
  <c r="BA103" i="1"/>
  <c r="BA98" i="1"/>
  <c r="BA93" i="1"/>
  <c r="BA86" i="1"/>
  <c r="BA81" i="1"/>
  <c r="BA69" i="1"/>
  <c r="BA64" i="1"/>
  <c r="BA58" i="1"/>
  <c r="BA52" i="1"/>
  <c r="BA47" i="1"/>
  <c r="BA41" i="1"/>
  <c r="BA34" i="1"/>
  <c r="BA29" i="1"/>
  <c r="BA20" i="1"/>
  <c r="BA14" i="1"/>
  <c r="BA192" i="5" l="1"/>
  <c r="BA190" i="5"/>
  <c r="BA124" i="5"/>
  <c r="BA14" i="5"/>
  <c r="BA205" i="5"/>
  <c r="BA202" i="5"/>
  <c r="BA201" i="5"/>
  <c r="BA204" i="5"/>
  <c r="BA41" i="5"/>
  <c r="BA74" i="5"/>
  <c r="BA63" i="5"/>
  <c r="BA68" i="5"/>
  <c r="BA195" i="5"/>
  <c r="BA148" i="5"/>
  <c r="BA109" i="5"/>
  <c r="BA130" i="5"/>
  <c r="BA136" i="5"/>
  <c r="BA144" i="5"/>
  <c r="BA154" i="5"/>
  <c r="BA197" i="5"/>
  <c r="BA34" i="5"/>
  <c r="BA186" i="5"/>
  <c r="BA180" i="5"/>
  <c r="BA174" i="5"/>
  <c r="BA196" i="5"/>
  <c r="BA167" i="5"/>
  <c r="BA161" i="5"/>
  <c r="BA119" i="5"/>
  <c r="BA102" i="5"/>
  <c r="BA91" i="5"/>
  <c r="BA87" i="5"/>
  <c r="BA80" i="5"/>
  <c r="BA56" i="5"/>
  <c r="BA48" i="5"/>
  <c r="BA194" i="5"/>
  <c r="BA27" i="5"/>
  <c r="BA191" i="5"/>
  <c r="BA20" i="5"/>
  <c r="BA136" i="4"/>
  <c r="BA129" i="4"/>
  <c r="BA89" i="3"/>
  <c r="BA81" i="3"/>
  <c r="BA141" i="2"/>
  <c r="BA135" i="2"/>
  <c r="BA161" i="1"/>
  <c r="BA167" i="1"/>
  <c r="AZ130" i="2"/>
  <c r="AY26" i="5"/>
  <c r="AX26" i="5"/>
  <c r="AZ26" i="5"/>
  <c r="AX25" i="5"/>
  <c r="AY25" i="5"/>
  <c r="AZ25" i="5"/>
  <c r="AX130" i="2"/>
  <c r="AY130" i="2"/>
  <c r="AX129" i="2"/>
  <c r="AY129" i="2"/>
  <c r="AZ12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AV19" i="2"/>
  <c r="AU19" i="2"/>
  <c r="AT19" i="2"/>
  <c r="AS19" i="2"/>
  <c r="AR19" i="2"/>
  <c r="AQ19" i="2"/>
  <c r="AP19" i="2"/>
  <c r="AO19" i="2"/>
  <c r="AW19" i="2"/>
  <c r="AY19" i="2"/>
  <c r="AX19" i="2"/>
  <c r="AZ19" i="2"/>
  <c r="BA206" i="5" l="1"/>
  <c r="BA198" i="5"/>
  <c r="AX141" i="5"/>
  <c r="AY141" i="5"/>
  <c r="AZ141" i="5"/>
  <c r="AX79" i="3"/>
  <c r="AY79" i="3"/>
  <c r="AZ79" i="3"/>
  <c r="AU62" i="3"/>
  <c r="AX62" i="3"/>
  <c r="AY62" i="3"/>
  <c r="AZ62" i="3"/>
  <c r="AZ69" i="1" l="1"/>
  <c r="AW17" i="5" l="1"/>
  <c r="AX17" i="5"/>
  <c r="AY17" i="5"/>
  <c r="AZ17" i="5"/>
  <c r="AW164" i="1"/>
  <c r="AX164" i="1"/>
  <c r="AY164" i="1"/>
  <c r="AZ164" i="1"/>
  <c r="AW156" i="1"/>
  <c r="AX156" i="1"/>
  <c r="AY156" i="1"/>
  <c r="AZ156" i="1"/>
  <c r="AZ20" i="1"/>
  <c r="AY183" i="5" l="1"/>
  <c r="AX183" i="5"/>
  <c r="AZ183" i="5"/>
  <c r="AX118" i="4"/>
  <c r="AZ123" i="4" l="1"/>
  <c r="AZ118" i="4"/>
  <c r="AZ185" i="5" l="1"/>
  <c r="AZ184" i="5"/>
  <c r="AZ182" i="5"/>
  <c r="AZ179" i="5"/>
  <c r="AZ178" i="5"/>
  <c r="AZ177" i="5"/>
  <c r="AZ176" i="5"/>
  <c r="AZ173" i="5"/>
  <c r="AZ172" i="5"/>
  <c r="AZ171" i="5"/>
  <c r="AZ170" i="5"/>
  <c r="AZ169" i="5"/>
  <c r="AZ166" i="5"/>
  <c r="AZ165" i="5"/>
  <c r="AZ164" i="5"/>
  <c r="AZ163" i="5"/>
  <c r="AZ160" i="5"/>
  <c r="AZ159" i="5"/>
  <c r="AZ158" i="5"/>
  <c r="AZ157" i="5"/>
  <c r="AZ156" i="5"/>
  <c r="AZ153" i="5"/>
  <c r="AZ152" i="5"/>
  <c r="AZ151" i="5"/>
  <c r="AZ150" i="5"/>
  <c r="AZ147" i="5"/>
  <c r="AZ146" i="5"/>
  <c r="AZ143" i="5"/>
  <c r="AZ142" i="5"/>
  <c r="AZ140" i="5"/>
  <c r="AZ139" i="5"/>
  <c r="AZ138" i="5"/>
  <c r="AZ135" i="5"/>
  <c r="AZ134" i="5"/>
  <c r="AZ133" i="5"/>
  <c r="AZ132" i="5"/>
  <c r="AZ129" i="5"/>
  <c r="AZ128" i="5"/>
  <c r="AZ127" i="5"/>
  <c r="AZ126" i="5"/>
  <c r="AZ122" i="5"/>
  <c r="AZ121" i="5"/>
  <c r="AZ118" i="5"/>
  <c r="AZ116" i="5"/>
  <c r="AZ114" i="5"/>
  <c r="AZ113" i="5"/>
  <c r="AZ111" i="5"/>
  <c r="AZ108" i="5"/>
  <c r="AZ107" i="5"/>
  <c r="AZ106" i="5"/>
  <c r="AZ105" i="5"/>
  <c r="AZ104" i="5"/>
  <c r="AZ101" i="5"/>
  <c r="AZ100" i="5"/>
  <c r="AZ99" i="5"/>
  <c r="AZ98" i="5"/>
  <c r="AZ97" i="5"/>
  <c r="AZ90" i="5"/>
  <c r="AZ89" i="5"/>
  <c r="AZ86" i="5"/>
  <c r="AZ85" i="5"/>
  <c r="AZ84" i="5"/>
  <c r="AZ83" i="5"/>
  <c r="AZ79" i="5"/>
  <c r="AZ78" i="5"/>
  <c r="AZ77" i="5"/>
  <c r="AZ76" i="5"/>
  <c r="AZ73" i="5"/>
  <c r="AZ72" i="5"/>
  <c r="AZ71" i="5"/>
  <c r="AZ70" i="5"/>
  <c r="AZ67" i="5"/>
  <c r="AZ66" i="5"/>
  <c r="AZ65" i="5"/>
  <c r="AZ62" i="5"/>
  <c r="AZ61" i="5"/>
  <c r="AZ59" i="5"/>
  <c r="AZ58" i="5"/>
  <c r="AZ55" i="5"/>
  <c r="AZ54" i="5"/>
  <c r="AZ52" i="5"/>
  <c r="AZ51" i="5"/>
  <c r="AZ50" i="5"/>
  <c r="AZ47" i="5"/>
  <c r="AZ46" i="5"/>
  <c r="AZ45" i="5"/>
  <c r="AZ44" i="5"/>
  <c r="AZ43" i="5"/>
  <c r="AZ40" i="5"/>
  <c r="AZ39" i="5"/>
  <c r="AZ37" i="5"/>
  <c r="AZ33" i="5"/>
  <c r="AZ32" i="5"/>
  <c r="AZ30" i="5"/>
  <c r="AZ29" i="5"/>
  <c r="AZ24" i="5"/>
  <c r="AZ22" i="5"/>
  <c r="AZ19" i="5"/>
  <c r="AZ18" i="5"/>
  <c r="AZ16" i="5"/>
  <c r="AZ13" i="5"/>
  <c r="AZ12" i="5"/>
  <c r="AZ11" i="5"/>
  <c r="AZ165" i="1"/>
  <c r="AZ166" i="1"/>
  <c r="AZ163" i="1"/>
  <c r="AZ160" i="1"/>
  <c r="AZ159" i="1"/>
  <c r="AZ158" i="1"/>
  <c r="AZ157" i="1"/>
  <c r="AZ155" i="1"/>
  <c r="AZ151" i="1"/>
  <c r="AZ146" i="1"/>
  <c r="AZ140" i="1"/>
  <c r="AZ133" i="1"/>
  <c r="AZ127" i="1"/>
  <c r="AZ121" i="1"/>
  <c r="AZ115" i="1"/>
  <c r="AZ109" i="1"/>
  <c r="AZ103" i="1"/>
  <c r="AZ98" i="1"/>
  <c r="AZ93" i="1"/>
  <c r="AZ86" i="1"/>
  <c r="AZ81" i="1"/>
  <c r="AZ64" i="1"/>
  <c r="AZ58" i="1"/>
  <c r="AZ52" i="1"/>
  <c r="AZ47" i="1"/>
  <c r="AZ41" i="1"/>
  <c r="AZ34" i="1"/>
  <c r="AZ29" i="1"/>
  <c r="AZ14" i="1"/>
  <c r="AZ139" i="2"/>
  <c r="AZ138" i="2"/>
  <c r="AZ137" i="2"/>
  <c r="AZ134" i="2"/>
  <c r="AZ133" i="2"/>
  <c r="AZ132" i="2"/>
  <c r="AZ131" i="2"/>
  <c r="AZ128" i="2"/>
  <c r="AZ124" i="2"/>
  <c r="AZ120" i="2"/>
  <c r="AZ115" i="2"/>
  <c r="AZ108" i="2"/>
  <c r="AZ102" i="2"/>
  <c r="AZ96" i="2"/>
  <c r="AZ92" i="2"/>
  <c r="AZ88" i="2"/>
  <c r="AZ82" i="2"/>
  <c r="AZ77" i="2"/>
  <c r="AZ73" i="2"/>
  <c r="AZ67" i="2"/>
  <c r="AZ62" i="2"/>
  <c r="AZ57" i="2"/>
  <c r="AZ53" i="2"/>
  <c r="AZ48" i="2"/>
  <c r="AZ43" i="2"/>
  <c r="AZ39" i="2"/>
  <c r="AZ34" i="2"/>
  <c r="AZ27" i="2"/>
  <c r="AZ23" i="2"/>
  <c r="AZ13" i="2"/>
  <c r="AZ88" i="3"/>
  <c r="AZ87" i="3"/>
  <c r="AZ85" i="3"/>
  <c r="AZ202" i="5" s="1"/>
  <c r="AZ84" i="3"/>
  <c r="AZ83" i="3"/>
  <c r="AZ80" i="3"/>
  <c r="AZ76" i="3"/>
  <c r="AZ75" i="3"/>
  <c r="AZ69" i="3"/>
  <c r="AZ57" i="3"/>
  <c r="AZ48" i="3"/>
  <c r="AZ42" i="3"/>
  <c r="AZ36" i="3"/>
  <c r="AZ30" i="3"/>
  <c r="AZ23" i="3"/>
  <c r="AZ15" i="3"/>
  <c r="AZ200" i="5"/>
  <c r="AZ135" i="4"/>
  <c r="AZ134" i="4"/>
  <c r="AZ132" i="4"/>
  <c r="AZ128" i="4"/>
  <c r="AZ127" i="4"/>
  <c r="AZ126" i="4"/>
  <c r="AZ125" i="4"/>
  <c r="AZ113" i="4"/>
  <c r="AZ107" i="4"/>
  <c r="AZ98" i="4"/>
  <c r="AZ92" i="4"/>
  <c r="AZ83" i="4"/>
  <c r="AZ75" i="4"/>
  <c r="AZ70" i="4"/>
  <c r="AZ66" i="4"/>
  <c r="AZ58" i="4"/>
  <c r="AZ52" i="4"/>
  <c r="AZ43" i="4"/>
  <c r="AZ33" i="4"/>
  <c r="AZ20" i="4"/>
  <c r="AZ14" i="4"/>
  <c r="AZ192" i="5" l="1"/>
  <c r="AZ124" i="5"/>
  <c r="AZ190" i="5"/>
  <c r="AZ91" i="5"/>
  <c r="AZ148" i="5"/>
  <c r="AZ63" i="5"/>
  <c r="AZ167" i="5"/>
  <c r="AZ201" i="5"/>
  <c r="AZ197" i="5"/>
  <c r="AZ74" i="5"/>
  <c r="AZ80" i="5"/>
  <c r="AZ68" i="5"/>
  <c r="AZ20" i="5"/>
  <c r="AZ205" i="5"/>
  <c r="AZ204" i="5"/>
  <c r="AZ56" i="5"/>
  <c r="AZ87" i="5"/>
  <c r="AZ186" i="5"/>
  <c r="AZ180" i="5"/>
  <c r="AZ174" i="5"/>
  <c r="AZ161" i="5"/>
  <c r="AZ154" i="5"/>
  <c r="AZ195" i="5"/>
  <c r="AZ144" i="5"/>
  <c r="AZ196" i="5"/>
  <c r="AZ136" i="5"/>
  <c r="AZ130" i="5"/>
  <c r="AZ119" i="5"/>
  <c r="AZ109" i="5"/>
  <c r="AZ102" i="5"/>
  <c r="AZ194" i="5"/>
  <c r="AZ48" i="5"/>
  <c r="AZ41" i="5"/>
  <c r="AZ191" i="5"/>
  <c r="AZ34" i="5"/>
  <c r="AZ27" i="5"/>
  <c r="AZ14" i="5"/>
  <c r="AZ161" i="1"/>
  <c r="AZ167" i="1"/>
  <c r="AZ135" i="2"/>
  <c r="AZ141" i="2"/>
  <c r="AZ81" i="3"/>
  <c r="AZ89" i="3"/>
  <c r="AZ136" i="4"/>
  <c r="AZ129" i="4"/>
  <c r="AV156" i="1"/>
  <c r="AZ206" i="5" l="1"/>
  <c r="AZ198" i="5"/>
  <c r="AY138" i="5"/>
  <c r="AX113" i="5"/>
  <c r="AW113" i="5"/>
  <c r="AY113" i="5"/>
  <c r="AY111" i="5"/>
  <c r="AY123" i="4"/>
  <c r="AY132" i="4"/>
  <c r="AY20" i="4"/>
  <c r="AX29" i="5"/>
  <c r="AW29" i="5"/>
  <c r="AY29" i="5"/>
  <c r="AY156" i="5"/>
  <c r="AY158" i="5"/>
  <c r="AX151" i="5"/>
  <c r="AW151" i="5"/>
  <c r="AY151" i="5"/>
  <c r="AX127" i="5"/>
  <c r="AW127" i="5"/>
  <c r="AV127" i="5"/>
  <c r="AY127" i="5"/>
  <c r="AV140" i="5"/>
  <c r="AW140" i="5"/>
  <c r="AX140" i="5"/>
  <c r="AX133" i="5"/>
  <c r="AW133" i="5"/>
  <c r="AV133" i="5"/>
  <c r="AU133" i="5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AW130" i="2"/>
  <c r="AV130" i="2"/>
  <c r="AX102" i="2"/>
  <c r="AU96" i="2"/>
  <c r="AT96" i="2"/>
  <c r="AV96" i="2"/>
  <c r="AX96" i="2"/>
  <c r="AW96" i="2"/>
  <c r="AT66" i="4"/>
  <c r="AT20" i="4"/>
  <c r="AT77" i="2"/>
  <c r="AU77" i="2"/>
  <c r="AX77" i="2"/>
  <c r="AW77" i="2"/>
  <c r="AV77" i="2"/>
  <c r="AY83" i="4"/>
  <c r="AX83" i="4"/>
  <c r="AW66" i="4"/>
  <c r="AV20" i="4"/>
  <c r="AW20" i="4"/>
  <c r="AY96" i="2"/>
  <c r="AY77" i="2"/>
  <c r="AY67" i="2"/>
  <c r="AY128" i="2" l="1"/>
  <c r="AY102" i="2"/>
  <c r="AV164" i="1" l="1"/>
  <c r="AU164" i="1"/>
  <c r="AU156" i="1"/>
  <c r="AX122" i="4" l="1"/>
  <c r="AW122" i="4"/>
  <c r="AX66" i="4"/>
  <c r="AX20" i="4"/>
  <c r="AT124" i="4"/>
  <c r="AY131" i="4" l="1"/>
  <c r="AY122" i="4"/>
  <c r="AY66" i="4"/>
  <c r="AY133" i="5" l="1"/>
  <c r="AY140" i="5"/>
  <c r="AY165" i="1"/>
  <c r="AY14" i="4" l="1"/>
  <c r="AY26" i="4"/>
  <c r="AY33" i="4"/>
  <c r="AY43" i="4"/>
  <c r="AY52" i="4"/>
  <c r="AY58" i="4"/>
  <c r="AY70" i="4"/>
  <c r="AY75" i="4"/>
  <c r="AY92" i="4"/>
  <c r="AY98" i="4"/>
  <c r="AY107" i="4"/>
  <c r="AY113" i="4"/>
  <c r="AY118" i="4"/>
  <c r="AY15" i="3"/>
  <c r="AY23" i="3"/>
  <c r="AY30" i="3"/>
  <c r="AY36" i="3"/>
  <c r="AY42" i="3"/>
  <c r="AY48" i="3"/>
  <c r="AY57" i="3"/>
  <c r="AY69" i="3"/>
  <c r="AY13" i="2"/>
  <c r="AY23" i="2"/>
  <c r="AY27" i="2"/>
  <c r="AY34" i="2"/>
  <c r="AY39" i="2"/>
  <c r="AY43" i="2"/>
  <c r="AY48" i="2"/>
  <c r="AY53" i="2"/>
  <c r="AY57" i="2"/>
  <c r="AY62" i="2"/>
  <c r="AY73" i="2"/>
  <c r="AY82" i="2"/>
  <c r="AY88" i="2"/>
  <c r="AY92" i="2"/>
  <c r="AY108" i="2"/>
  <c r="AY115" i="2"/>
  <c r="AY120" i="2"/>
  <c r="AY124" i="2"/>
  <c r="AY185" i="5"/>
  <c r="AY184" i="5"/>
  <c r="AY182" i="5"/>
  <c r="AY179" i="5"/>
  <c r="AY178" i="5"/>
  <c r="AY177" i="5"/>
  <c r="AY176" i="5"/>
  <c r="AY173" i="5"/>
  <c r="AY172" i="5"/>
  <c r="AY171" i="5"/>
  <c r="AY170" i="5"/>
  <c r="AY169" i="5"/>
  <c r="AY166" i="5"/>
  <c r="AY165" i="5"/>
  <c r="AY164" i="5"/>
  <c r="AY163" i="5"/>
  <c r="AY160" i="5"/>
  <c r="AY159" i="5"/>
  <c r="AY157" i="5"/>
  <c r="AY153" i="5"/>
  <c r="AY152" i="5"/>
  <c r="AY150" i="5"/>
  <c r="AY147" i="5"/>
  <c r="AY146" i="5"/>
  <c r="AY143" i="5"/>
  <c r="AY142" i="5"/>
  <c r="AY139" i="5"/>
  <c r="AY135" i="5"/>
  <c r="AY134" i="5"/>
  <c r="AY132" i="5"/>
  <c r="AY129" i="5"/>
  <c r="AY128" i="5"/>
  <c r="AY126" i="5"/>
  <c r="AY122" i="5"/>
  <c r="AY121" i="5"/>
  <c r="AY118" i="5"/>
  <c r="AY116" i="5"/>
  <c r="AY114" i="5"/>
  <c r="AY108" i="5"/>
  <c r="AY107" i="5"/>
  <c r="AY106" i="5"/>
  <c r="AY105" i="5"/>
  <c r="AY104" i="5"/>
  <c r="AY101" i="5"/>
  <c r="AY100" i="5"/>
  <c r="AY99" i="5"/>
  <c r="AY98" i="5"/>
  <c r="AY97" i="5"/>
  <c r="AY90" i="5"/>
  <c r="AY89" i="5"/>
  <c r="AY86" i="5"/>
  <c r="AY85" i="5"/>
  <c r="AY84" i="5"/>
  <c r="AY83" i="5"/>
  <c r="AY79" i="5"/>
  <c r="AY78" i="5"/>
  <c r="AY77" i="5"/>
  <c r="AY76" i="5"/>
  <c r="AY73" i="5"/>
  <c r="AY72" i="5"/>
  <c r="AY71" i="5"/>
  <c r="AY70" i="5"/>
  <c r="AY67" i="5"/>
  <c r="AY66" i="5"/>
  <c r="AY65" i="5"/>
  <c r="AY62" i="5"/>
  <c r="AY61" i="5"/>
  <c r="AY59" i="5"/>
  <c r="AY58" i="5"/>
  <c r="AY55" i="5"/>
  <c r="AY54" i="5"/>
  <c r="AY52" i="5"/>
  <c r="AY51" i="5"/>
  <c r="AY50" i="5"/>
  <c r="AY47" i="5"/>
  <c r="AY46" i="5"/>
  <c r="AY45" i="5"/>
  <c r="AY44" i="5"/>
  <c r="AY43" i="5"/>
  <c r="AY40" i="5"/>
  <c r="AY39" i="5"/>
  <c r="AY38" i="5"/>
  <c r="AY37" i="5"/>
  <c r="AY33" i="5"/>
  <c r="AY32" i="5"/>
  <c r="AY30" i="5"/>
  <c r="AY24" i="5"/>
  <c r="AY22" i="5"/>
  <c r="AY19" i="5"/>
  <c r="AY18" i="5"/>
  <c r="AY16" i="5"/>
  <c r="AY13" i="5"/>
  <c r="AY12" i="5"/>
  <c r="AY11" i="5"/>
  <c r="AY135" i="4"/>
  <c r="AY134" i="4"/>
  <c r="AY133" i="4"/>
  <c r="AY128" i="4"/>
  <c r="AY127" i="4"/>
  <c r="AY126" i="4"/>
  <c r="AY125" i="4"/>
  <c r="AY88" i="3"/>
  <c r="AY87" i="3"/>
  <c r="AY85" i="3"/>
  <c r="AY84" i="3"/>
  <c r="AY83" i="3"/>
  <c r="AY80" i="3"/>
  <c r="AY76" i="3"/>
  <c r="AY75" i="3"/>
  <c r="AY139" i="2"/>
  <c r="AY138" i="2"/>
  <c r="AY137" i="2"/>
  <c r="AY134" i="2"/>
  <c r="AY133" i="2"/>
  <c r="AY132" i="2"/>
  <c r="AY131" i="2"/>
  <c r="AY166" i="1"/>
  <c r="AY163" i="1"/>
  <c r="AY160" i="1"/>
  <c r="AY159" i="1"/>
  <c r="AY158" i="1"/>
  <c r="AY157" i="1"/>
  <c r="AY155" i="1"/>
  <c r="AY151" i="1"/>
  <c r="AY146" i="1"/>
  <c r="AY140" i="1"/>
  <c r="AY133" i="1"/>
  <c r="AY127" i="1"/>
  <c r="AY121" i="1"/>
  <c r="AY115" i="1"/>
  <c r="AY109" i="1"/>
  <c r="AY103" i="1"/>
  <c r="AY98" i="1"/>
  <c r="AY93" i="1"/>
  <c r="AY86" i="1"/>
  <c r="AY81" i="1"/>
  <c r="AY69" i="1"/>
  <c r="AY64" i="1"/>
  <c r="AY58" i="1"/>
  <c r="AY52" i="1"/>
  <c r="AY47" i="1"/>
  <c r="AY41" i="1"/>
  <c r="AY34" i="1"/>
  <c r="AY29" i="1"/>
  <c r="AY20" i="1"/>
  <c r="AY14" i="1"/>
  <c r="AY192" i="5" l="1"/>
  <c r="AY202" i="5"/>
  <c r="AY190" i="5"/>
  <c r="AY144" i="5"/>
  <c r="AY191" i="5"/>
  <c r="AY161" i="5"/>
  <c r="AY119" i="5"/>
  <c r="AY34" i="5"/>
  <c r="AY130" i="5"/>
  <c r="AY135" i="2"/>
  <c r="AY200" i="5"/>
  <c r="AY197" i="5"/>
  <c r="AY74" i="5"/>
  <c r="AY195" i="5"/>
  <c r="AY109" i="5"/>
  <c r="AY63" i="5"/>
  <c r="AY201" i="5"/>
  <c r="AY204" i="5"/>
  <c r="AY56" i="5"/>
  <c r="AY68" i="5"/>
  <c r="AY148" i="5"/>
  <c r="AY167" i="5"/>
  <c r="AY174" i="5"/>
  <c r="AY186" i="5"/>
  <c r="AY48" i="5"/>
  <c r="AY91" i="5"/>
  <c r="AY180" i="5"/>
  <c r="AY154" i="5"/>
  <c r="AY136" i="5"/>
  <c r="AY124" i="5"/>
  <c r="AY102" i="5"/>
  <c r="AY87" i="5"/>
  <c r="AY80" i="5"/>
  <c r="AY161" i="1"/>
  <c r="AY41" i="5"/>
  <c r="AY196" i="5"/>
  <c r="AY20" i="5"/>
  <c r="AY194" i="5"/>
  <c r="AY167" i="1"/>
  <c r="AY14" i="5"/>
  <c r="AY205" i="5"/>
  <c r="AY27" i="5"/>
  <c r="AY129" i="4"/>
  <c r="AY136" i="4"/>
  <c r="AY81" i="3"/>
  <c r="AY89" i="3"/>
  <c r="AY141" i="2"/>
  <c r="AF133" i="4"/>
  <c r="AG133" i="4"/>
  <c r="AH133" i="4"/>
  <c r="AI133" i="4"/>
  <c r="AJ133" i="4"/>
  <c r="AK133" i="4"/>
  <c r="AL133" i="4"/>
  <c r="AM133" i="4"/>
  <c r="AN133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W134" i="4"/>
  <c r="X134" i="4"/>
  <c r="Y134" i="4"/>
  <c r="Z134" i="4"/>
  <c r="AA134" i="4"/>
  <c r="AB134" i="4"/>
  <c r="AC134" i="4"/>
  <c r="AD134" i="4"/>
  <c r="AE134" i="4"/>
  <c r="AF134" i="4"/>
  <c r="AJ134" i="4"/>
  <c r="AK134" i="4"/>
  <c r="AL134" i="4"/>
  <c r="AM134" i="4"/>
  <c r="AN134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E136" i="4"/>
  <c r="AO133" i="4"/>
  <c r="AA136" i="4" l="1"/>
  <c r="W136" i="4"/>
  <c r="AL136" i="4"/>
  <c r="AJ136" i="4"/>
  <c r="AC136" i="4"/>
  <c r="AN136" i="4"/>
  <c r="Y136" i="4"/>
  <c r="AM136" i="4"/>
  <c r="AF136" i="4"/>
  <c r="AB136" i="4"/>
  <c r="X136" i="4"/>
  <c r="AK136" i="4"/>
  <c r="AD136" i="4"/>
  <c r="Z136" i="4"/>
  <c r="AY206" i="5"/>
  <c r="AY198" i="5"/>
  <c r="AX165" i="1" l="1"/>
  <c r="AX164" i="5"/>
  <c r="AW164" i="5"/>
  <c r="AV164" i="5"/>
  <c r="AU164" i="5"/>
  <c r="AX84" i="5" l="1"/>
  <c r="AW84" i="5"/>
  <c r="AW53" i="2"/>
  <c r="AX104" i="5" l="1"/>
  <c r="AW104" i="5"/>
  <c r="AX131" i="4"/>
  <c r="AW131" i="4"/>
  <c r="AX58" i="4"/>
  <c r="AW58" i="4"/>
  <c r="AX24" i="5"/>
  <c r="AW24" i="5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X14" i="4"/>
  <c r="AX177" i="5"/>
  <c r="AW77" i="3"/>
  <c r="AX89" i="5"/>
  <c r="AX76" i="3"/>
  <c r="AX185" i="5" l="1"/>
  <c r="AX184" i="5"/>
  <c r="AX182" i="5"/>
  <c r="AX179" i="5"/>
  <c r="AX178" i="5"/>
  <c r="AX176" i="5"/>
  <c r="AX173" i="5"/>
  <c r="AX172" i="5"/>
  <c r="AX171" i="5"/>
  <c r="AX170" i="5"/>
  <c r="AX169" i="5"/>
  <c r="AX166" i="5"/>
  <c r="AX165" i="5"/>
  <c r="AX163" i="5"/>
  <c r="AX160" i="5"/>
  <c r="AX159" i="5"/>
  <c r="AX158" i="5"/>
  <c r="AX157" i="5"/>
  <c r="AX153" i="5"/>
  <c r="AX152" i="5"/>
  <c r="AX150" i="5"/>
  <c r="AX147" i="5"/>
  <c r="AX146" i="5"/>
  <c r="AX143" i="5"/>
  <c r="AX142" i="5"/>
  <c r="AX139" i="5"/>
  <c r="AX135" i="5"/>
  <c r="AX134" i="5"/>
  <c r="AX132" i="5"/>
  <c r="AX129" i="5"/>
  <c r="AX128" i="5"/>
  <c r="AX126" i="5"/>
  <c r="AX122" i="5"/>
  <c r="AX121" i="5"/>
  <c r="AX118" i="5"/>
  <c r="AX116" i="5"/>
  <c r="AX114" i="5"/>
  <c r="AX108" i="5"/>
  <c r="AX107" i="5"/>
  <c r="AX106" i="5"/>
  <c r="AX105" i="5"/>
  <c r="AX101" i="5"/>
  <c r="AX100" i="5"/>
  <c r="AX99" i="5"/>
  <c r="AX98" i="5"/>
  <c r="AX97" i="5"/>
  <c r="AX90" i="5"/>
  <c r="AX91" i="5" s="1"/>
  <c r="AX86" i="5"/>
  <c r="AX85" i="5"/>
  <c r="AX83" i="5"/>
  <c r="AX79" i="5"/>
  <c r="AX78" i="5"/>
  <c r="AX77" i="5"/>
  <c r="AX76" i="5"/>
  <c r="AX73" i="5"/>
  <c r="AX72" i="5"/>
  <c r="AX71" i="5"/>
  <c r="AX70" i="5"/>
  <c r="AX67" i="5"/>
  <c r="AX66" i="5"/>
  <c r="AX65" i="5"/>
  <c r="AX62" i="5"/>
  <c r="AX61" i="5"/>
  <c r="AX59" i="5"/>
  <c r="AX58" i="5"/>
  <c r="AX55" i="5"/>
  <c r="AX54" i="5"/>
  <c r="AX52" i="5"/>
  <c r="AX51" i="5"/>
  <c r="AX50" i="5"/>
  <c r="AX190" i="5" s="1"/>
  <c r="AX47" i="5"/>
  <c r="AX46" i="5"/>
  <c r="AX45" i="5"/>
  <c r="AX44" i="5"/>
  <c r="AX43" i="5"/>
  <c r="AX40" i="5"/>
  <c r="AX39" i="5"/>
  <c r="AX38" i="5"/>
  <c r="AX37" i="5"/>
  <c r="AX33" i="5"/>
  <c r="AX32" i="5"/>
  <c r="AX30" i="5"/>
  <c r="AX22" i="5"/>
  <c r="AX19" i="5"/>
  <c r="AX18" i="5"/>
  <c r="AX16" i="5"/>
  <c r="AX13" i="5"/>
  <c r="AX12" i="5"/>
  <c r="AX11" i="5"/>
  <c r="AX166" i="1"/>
  <c r="AX163" i="1"/>
  <c r="AX160" i="1"/>
  <c r="AX159" i="1"/>
  <c r="AX158" i="1"/>
  <c r="AX157" i="1"/>
  <c r="AX155" i="1"/>
  <c r="AX151" i="1"/>
  <c r="AX146" i="1"/>
  <c r="AX140" i="1"/>
  <c r="AX133" i="1"/>
  <c r="AX127" i="1"/>
  <c r="AX121" i="1"/>
  <c r="AX115" i="1"/>
  <c r="AX109" i="1"/>
  <c r="AX103" i="1"/>
  <c r="AX98" i="1"/>
  <c r="AX93" i="1"/>
  <c r="AX86" i="1"/>
  <c r="AX81" i="1"/>
  <c r="AX69" i="1"/>
  <c r="AX64" i="1"/>
  <c r="AX58" i="1"/>
  <c r="AX52" i="1"/>
  <c r="AX47" i="1"/>
  <c r="AX41" i="1"/>
  <c r="AX34" i="1"/>
  <c r="AX29" i="1"/>
  <c r="AX20" i="1"/>
  <c r="AX14" i="1"/>
  <c r="AX139" i="2"/>
  <c r="AX138" i="2"/>
  <c r="AX137" i="2"/>
  <c r="AX134" i="2"/>
  <c r="AX133" i="2"/>
  <c r="AX132" i="2"/>
  <c r="AX124" i="2"/>
  <c r="AX120" i="2"/>
  <c r="AX115" i="2"/>
  <c r="AX108" i="2"/>
  <c r="AX131" i="2"/>
  <c r="AX92" i="2"/>
  <c r="AX88" i="2"/>
  <c r="AX82" i="2"/>
  <c r="AX73" i="2"/>
  <c r="AX67" i="2"/>
  <c r="AX62" i="2"/>
  <c r="AX57" i="2"/>
  <c r="AX53" i="2"/>
  <c r="AX48" i="2"/>
  <c r="AX43" i="2"/>
  <c r="AX39" i="2"/>
  <c r="AX34" i="2"/>
  <c r="AX27" i="2"/>
  <c r="AX23" i="2"/>
  <c r="AX13" i="2"/>
  <c r="AX192" i="5" l="1"/>
  <c r="AX195" i="5"/>
  <c r="AX119" i="5"/>
  <c r="AX34" i="5"/>
  <c r="AX124" i="5"/>
  <c r="AX197" i="5"/>
  <c r="AX148" i="5"/>
  <c r="AX20" i="5"/>
  <c r="AX68" i="5"/>
  <c r="AX74" i="5"/>
  <c r="AX161" i="1"/>
  <c r="AX196" i="5"/>
  <c r="AX141" i="2"/>
  <c r="AX80" i="5"/>
  <c r="AX154" i="5"/>
  <c r="AX27" i="5"/>
  <c r="AX161" i="5"/>
  <c r="AX194" i="5"/>
  <c r="AX174" i="5"/>
  <c r="AX167" i="5"/>
  <c r="AX48" i="5"/>
  <c r="AX186" i="5"/>
  <c r="AX180" i="5"/>
  <c r="AX109" i="5"/>
  <c r="AX87" i="5"/>
  <c r="AX63" i="5"/>
  <c r="AX144" i="5"/>
  <c r="AX136" i="5"/>
  <c r="AX130" i="5"/>
  <c r="AX102" i="5"/>
  <c r="AX56" i="5"/>
  <c r="AX41" i="5"/>
  <c r="AX191" i="5"/>
  <c r="AX14" i="5"/>
  <c r="AX167" i="1"/>
  <c r="AX135" i="2"/>
  <c r="AX88" i="3"/>
  <c r="AX85" i="3"/>
  <c r="AX84" i="3"/>
  <c r="AX83" i="3"/>
  <c r="AX80" i="3"/>
  <c r="AX75" i="3"/>
  <c r="AX69" i="3"/>
  <c r="AX57" i="3"/>
  <c r="AX48" i="3"/>
  <c r="AX42" i="3"/>
  <c r="AX36" i="3"/>
  <c r="AX30" i="3"/>
  <c r="AX23" i="3"/>
  <c r="AX15" i="3"/>
  <c r="AX87" i="3"/>
  <c r="AX135" i="4"/>
  <c r="AX134" i="4"/>
  <c r="AX133" i="4"/>
  <c r="AX132" i="4"/>
  <c r="AX128" i="4"/>
  <c r="AX127" i="4"/>
  <c r="AX126" i="4"/>
  <c r="AX125" i="4"/>
  <c r="AX123" i="4"/>
  <c r="AX107" i="4"/>
  <c r="AX98" i="4"/>
  <c r="AX92" i="4"/>
  <c r="AX75" i="4"/>
  <c r="AX70" i="4"/>
  <c r="AX52" i="4"/>
  <c r="AX43" i="4"/>
  <c r="AX33" i="4"/>
  <c r="AX26" i="4"/>
  <c r="AX201" i="5" l="1"/>
  <c r="AX202" i="5"/>
  <c r="AX205" i="5"/>
  <c r="AX204" i="5"/>
  <c r="AX200" i="5"/>
  <c r="AX198" i="5"/>
  <c r="AX89" i="3"/>
  <c r="AX81" i="3"/>
  <c r="AX136" i="4"/>
  <c r="AX129" i="4"/>
  <c r="AX113" i="4"/>
  <c r="AV90" i="5"/>
  <c r="AU90" i="5"/>
  <c r="AT90" i="5"/>
  <c r="AS90" i="5"/>
  <c r="AR90" i="5"/>
  <c r="AQ90" i="5"/>
  <c r="AP90" i="5"/>
  <c r="AO90" i="5"/>
  <c r="AN85" i="5"/>
  <c r="AV85" i="5"/>
  <c r="AU85" i="5"/>
  <c r="AT85" i="5"/>
  <c r="AS85" i="5"/>
  <c r="AR85" i="5"/>
  <c r="AQ85" i="5"/>
  <c r="AP85" i="5"/>
  <c r="AO85" i="5"/>
  <c r="AW85" i="5"/>
  <c r="AW90" i="5"/>
  <c r="AX206" i="5" l="1"/>
  <c r="D194" i="5"/>
  <c r="M197" i="5"/>
  <c r="L197" i="5"/>
  <c r="K197" i="5"/>
  <c r="J197" i="5"/>
  <c r="I197" i="5"/>
  <c r="H197" i="5"/>
  <c r="G197" i="5"/>
  <c r="F197" i="5"/>
  <c r="E197" i="5"/>
  <c r="D197" i="5"/>
  <c r="F196" i="5"/>
  <c r="E196" i="5"/>
  <c r="D196" i="5"/>
  <c r="G196" i="5"/>
  <c r="M196" i="5"/>
  <c r="L196" i="5"/>
  <c r="K196" i="5"/>
  <c r="J196" i="5"/>
  <c r="I196" i="5"/>
  <c r="H196" i="5"/>
  <c r="M195" i="5"/>
  <c r="L195" i="5"/>
  <c r="K195" i="5"/>
  <c r="J195" i="5"/>
  <c r="M194" i="5"/>
  <c r="L194" i="5"/>
  <c r="K194" i="5"/>
  <c r="J194" i="5"/>
  <c r="I194" i="5"/>
  <c r="H194" i="5"/>
  <c r="G194" i="5"/>
  <c r="F194" i="5"/>
  <c r="E194" i="5"/>
  <c r="M193" i="5"/>
  <c r="L193" i="5"/>
  <c r="K193" i="5"/>
  <c r="M192" i="5"/>
  <c r="L192" i="5"/>
  <c r="K192" i="5"/>
  <c r="J192" i="5"/>
  <c r="M191" i="5"/>
  <c r="L191" i="5"/>
  <c r="K191" i="5"/>
  <c r="J191" i="5"/>
  <c r="I191" i="5"/>
  <c r="H191" i="5"/>
  <c r="G191" i="5"/>
  <c r="F191" i="5"/>
  <c r="E191" i="5"/>
  <c r="D191" i="5"/>
  <c r="D129" i="4"/>
  <c r="F129" i="4"/>
  <c r="E129" i="4"/>
  <c r="G129" i="4"/>
  <c r="M129" i="4"/>
  <c r="L129" i="4"/>
  <c r="K129" i="4"/>
  <c r="J129" i="4"/>
  <c r="I129" i="4"/>
  <c r="H129" i="4"/>
  <c r="M81" i="3"/>
  <c r="L81" i="3"/>
  <c r="K81" i="3"/>
  <c r="J81" i="3"/>
  <c r="I81" i="3"/>
  <c r="H81" i="3"/>
  <c r="G81" i="3"/>
  <c r="F81" i="3"/>
  <c r="E81" i="3"/>
  <c r="D81" i="3"/>
  <c r="M135" i="2"/>
  <c r="L135" i="2"/>
  <c r="K135" i="2"/>
  <c r="J135" i="2"/>
  <c r="I135" i="2"/>
  <c r="H135" i="2"/>
  <c r="G135" i="2"/>
  <c r="F135" i="2"/>
  <c r="E135" i="2"/>
  <c r="D135" i="2"/>
  <c r="M161" i="1"/>
  <c r="L161" i="1"/>
  <c r="K161" i="1"/>
  <c r="J161" i="1"/>
  <c r="I161" i="1"/>
  <c r="H161" i="1"/>
  <c r="G161" i="1"/>
  <c r="F161" i="1"/>
  <c r="E161" i="1"/>
  <c r="D161" i="1"/>
  <c r="V196" i="5"/>
  <c r="U196" i="5"/>
  <c r="T196" i="5"/>
  <c r="S196" i="5"/>
  <c r="R196" i="5"/>
  <c r="Q196" i="5"/>
  <c r="P196" i="5"/>
  <c r="O196" i="5"/>
  <c r="N196" i="5"/>
  <c r="V197" i="5"/>
  <c r="U197" i="5"/>
  <c r="T197" i="5"/>
  <c r="S197" i="5"/>
  <c r="R197" i="5"/>
  <c r="Q197" i="5"/>
  <c r="P197" i="5"/>
  <c r="O197" i="5"/>
  <c r="N197" i="5"/>
  <c r="V195" i="5"/>
  <c r="U195" i="5"/>
  <c r="T195" i="5"/>
  <c r="S195" i="5"/>
  <c r="R195" i="5"/>
  <c r="Q195" i="5"/>
  <c r="P195" i="5"/>
  <c r="O195" i="5"/>
  <c r="N195" i="5"/>
  <c r="V194" i="5"/>
  <c r="U194" i="5"/>
  <c r="T194" i="5"/>
  <c r="S194" i="5"/>
  <c r="R194" i="5"/>
  <c r="Q194" i="5"/>
  <c r="P194" i="5"/>
  <c r="O194" i="5"/>
  <c r="N194" i="5"/>
  <c r="V193" i="5"/>
  <c r="U193" i="5"/>
  <c r="T193" i="5"/>
  <c r="S193" i="5"/>
  <c r="R193" i="5"/>
  <c r="Q193" i="5"/>
  <c r="P193" i="5"/>
  <c r="O193" i="5"/>
  <c r="N193" i="5"/>
  <c r="V192" i="5"/>
  <c r="U192" i="5"/>
  <c r="T192" i="5"/>
  <c r="S192" i="5"/>
  <c r="R192" i="5"/>
  <c r="Q192" i="5"/>
  <c r="P192" i="5"/>
  <c r="O192" i="5"/>
  <c r="N192" i="5"/>
  <c r="V191" i="5"/>
  <c r="U191" i="5"/>
  <c r="T191" i="5"/>
  <c r="S191" i="5"/>
  <c r="R191" i="5"/>
  <c r="Q191" i="5"/>
  <c r="P191" i="5"/>
  <c r="O191" i="5"/>
  <c r="N191" i="5"/>
  <c r="R129" i="4"/>
  <c r="Q129" i="4"/>
  <c r="P129" i="4"/>
  <c r="O129" i="4"/>
  <c r="N129" i="4"/>
  <c r="S129" i="4"/>
  <c r="V129" i="4"/>
  <c r="U129" i="4"/>
  <c r="T129" i="4"/>
  <c r="V81" i="3"/>
  <c r="U81" i="3"/>
  <c r="T81" i="3"/>
  <c r="S81" i="3"/>
  <c r="R81" i="3"/>
  <c r="Q81" i="3"/>
  <c r="P81" i="3"/>
  <c r="O81" i="3"/>
  <c r="N81" i="3"/>
  <c r="V135" i="2"/>
  <c r="U135" i="2"/>
  <c r="T135" i="2"/>
  <c r="S135" i="2"/>
  <c r="R135" i="2"/>
  <c r="Q135" i="2"/>
  <c r="P135" i="2"/>
  <c r="O135" i="2"/>
  <c r="N135" i="2"/>
  <c r="H198" i="5" l="1"/>
  <c r="I198" i="5"/>
  <c r="J198" i="5"/>
  <c r="F198" i="5"/>
  <c r="L198" i="5"/>
  <c r="E198" i="5"/>
  <c r="G198" i="5"/>
  <c r="K198" i="5"/>
  <c r="M198" i="5"/>
  <c r="D198" i="5"/>
  <c r="N198" i="5"/>
  <c r="P198" i="5"/>
  <c r="R198" i="5"/>
  <c r="T198" i="5"/>
  <c r="V198" i="5"/>
  <c r="O198" i="5"/>
  <c r="Q198" i="5"/>
  <c r="S198" i="5"/>
  <c r="U198" i="5"/>
  <c r="N161" i="1"/>
  <c r="Q161" i="1"/>
  <c r="S161" i="1"/>
  <c r="O161" i="1"/>
  <c r="V161" i="1"/>
  <c r="T161" i="1"/>
  <c r="R161" i="1"/>
  <c r="P161" i="1"/>
  <c r="W128" i="4"/>
  <c r="W172" i="5"/>
  <c r="X172" i="5"/>
  <c r="AA172" i="5"/>
  <c r="Y172" i="5"/>
  <c r="Z172" i="5"/>
  <c r="AA185" i="5"/>
  <c r="Z185" i="5"/>
  <c r="Y185" i="5"/>
  <c r="X185" i="5"/>
  <c r="W185" i="5"/>
  <c r="AA179" i="5"/>
  <c r="Z179" i="5"/>
  <c r="Y179" i="5"/>
  <c r="X179" i="5"/>
  <c r="W179" i="5"/>
  <c r="AA166" i="5"/>
  <c r="Z166" i="5"/>
  <c r="Y166" i="5"/>
  <c r="X166" i="5"/>
  <c r="W166" i="5"/>
  <c r="AA151" i="1"/>
  <c r="Z151" i="1"/>
  <c r="Y151" i="1"/>
  <c r="X151" i="1"/>
  <c r="W151" i="1"/>
  <c r="AA146" i="1"/>
  <c r="Z146" i="1"/>
  <c r="Y146" i="1"/>
  <c r="X146" i="1"/>
  <c r="W146" i="1"/>
  <c r="AA133" i="1"/>
  <c r="Z133" i="1"/>
  <c r="Y133" i="1"/>
  <c r="X133" i="1"/>
  <c r="W133" i="1"/>
  <c r="AA124" i="2"/>
  <c r="Z124" i="2"/>
  <c r="Y124" i="2"/>
  <c r="X124" i="2"/>
  <c r="W124" i="2"/>
  <c r="W120" i="2"/>
  <c r="AA120" i="2"/>
  <c r="Z120" i="2"/>
  <c r="Y120" i="2"/>
  <c r="X120" i="2"/>
  <c r="AA108" i="2"/>
  <c r="Z108" i="2"/>
  <c r="Y108" i="2"/>
  <c r="X108" i="2"/>
  <c r="W108" i="2"/>
  <c r="AA118" i="4"/>
  <c r="Z118" i="4"/>
  <c r="Y118" i="4"/>
  <c r="X118" i="4"/>
  <c r="W118" i="4"/>
  <c r="W113" i="4"/>
  <c r="AA113" i="4"/>
  <c r="Z113" i="4"/>
  <c r="Y113" i="4"/>
  <c r="X113" i="4"/>
  <c r="AA127" i="4"/>
  <c r="Z127" i="4"/>
  <c r="AA107" i="4"/>
  <c r="Z107" i="4"/>
  <c r="Y107" i="4"/>
  <c r="X107" i="4"/>
  <c r="W107" i="4"/>
  <c r="AA143" i="5"/>
  <c r="Z143" i="5"/>
  <c r="Y143" i="5"/>
  <c r="X143" i="5"/>
  <c r="W143" i="5"/>
  <c r="AA135" i="5"/>
  <c r="Z135" i="5"/>
  <c r="Y135" i="5"/>
  <c r="X135" i="5"/>
  <c r="W135" i="5"/>
  <c r="AA121" i="1"/>
  <c r="Z121" i="1"/>
  <c r="Y121" i="1"/>
  <c r="X121" i="1"/>
  <c r="W121" i="1"/>
  <c r="AA115" i="1"/>
  <c r="Z115" i="1"/>
  <c r="Y115" i="1"/>
  <c r="X115" i="1"/>
  <c r="W115" i="1"/>
  <c r="AA109" i="1"/>
  <c r="Z109" i="1"/>
  <c r="Y109" i="1"/>
  <c r="X109" i="1"/>
  <c r="W109" i="1"/>
  <c r="AA92" i="2"/>
  <c r="Z92" i="2"/>
  <c r="Y92" i="2"/>
  <c r="X92" i="2"/>
  <c r="W92" i="2"/>
  <c r="AA88" i="2"/>
  <c r="Z88" i="2"/>
  <c r="Y88" i="2"/>
  <c r="X88" i="2"/>
  <c r="W88" i="2"/>
  <c r="AA82" i="2"/>
  <c r="Z82" i="2"/>
  <c r="Y82" i="2"/>
  <c r="X82" i="2"/>
  <c r="W82" i="2"/>
  <c r="AA62" i="3"/>
  <c r="Z62" i="3"/>
  <c r="Y62" i="3"/>
  <c r="X62" i="3"/>
  <c r="W62" i="3"/>
  <c r="AA57" i="3"/>
  <c r="Z57" i="3"/>
  <c r="Y57" i="3"/>
  <c r="X57" i="3"/>
  <c r="W57" i="3"/>
  <c r="W87" i="4"/>
  <c r="X87" i="4"/>
  <c r="Z87" i="4"/>
  <c r="Y87" i="4"/>
  <c r="AA87" i="4"/>
  <c r="AA92" i="4"/>
  <c r="Z92" i="4"/>
  <c r="Y92" i="4"/>
  <c r="X92" i="4"/>
  <c r="W92" i="4"/>
  <c r="AA83" i="4"/>
  <c r="Z83" i="4"/>
  <c r="Y83" i="4"/>
  <c r="X83" i="4"/>
  <c r="W83" i="4"/>
  <c r="AA75" i="4"/>
  <c r="Z75" i="4"/>
  <c r="Y75" i="4"/>
  <c r="X75" i="4"/>
  <c r="W75" i="4"/>
  <c r="AA129" i="5"/>
  <c r="Z129" i="5"/>
  <c r="Y129" i="5"/>
  <c r="X129" i="5"/>
  <c r="W129" i="5"/>
  <c r="AA103" i="1"/>
  <c r="Z103" i="1"/>
  <c r="Y103" i="1"/>
  <c r="X103" i="1"/>
  <c r="W103" i="1"/>
  <c r="AA98" i="1"/>
  <c r="Z98" i="1"/>
  <c r="Y98" i="1"/>
  <c r="X98" i="1"/>
  <c r="W98" i="1"/>
  <c r="AA93" i="1"/>
  <c r="Z93" i="1"/>
  <c r="Y93" i="1"/>
  <c r="X93" i="1"/>
  <c r="W93" i="1"/>
  <c r="AA70" i="4"/>
  <c r="Z70" i="4"/>
  <c r="Y70" i="4"/>
  <c r="X70" i="4"/>
  <c r="W70" i="4"/>
  <c r="AA66" i="4"/>
  <c r="Z66" i="4"/>
  <c r="Y66" i="4"/>
  <c r="W101" i="5"/>
  <c r="X101" i="5"/>
  <c r="AA108" i="5"/>
  <c r="Z108" i="5"/>
  <c r="Y108" i="5"/>
  <c r="X108" i="5"/>
  <c r="W108" i="5"/>
  <c r="AA101" i="5"/>
  <c r="Z101" i="5"/>
  <c r="Y101" i="5"/>
  <c r="AA86" i="5"/>
  <c r="Z86" i="5"/>
  <c r="Y86" i="5"/>
  <c r="X86" i="5"/>
  <c r="W86" i="5"/>
  <c r="AA86" i="1"/>
  <c r="Z86" i="1"/>
  <c r="Y86" i="1"/>
  <c r="X86" i="1"/>
  <c r="W86" i="1"/>
  <c r="AA81" i="1"/>
  <c r="Z81" i="1"/>
  <c r="Y81" i="1"/>
  <c r="X81" i="1"/>
  <c r="W81" i="1"/>
  <c r="AA75" i="1"/>
  <c r="Z75" i="1"/>
  <c r="Y75" i="1"/>
  <c r="X75" i="1"/>
  <c r="W75" i="1"/>
  <c r="AA69" i="1"/>
  <c r="Z69" i="1"/>
  <c r="Y69" i="1"/>
  <c r="X69" i="1"/>
  <c r="W69" i="1"/>
  <c r="AA64" i="1"/>
  <c r="Z64" i="1"/>
  <c r="Y64" i="1"/>
  <c r="X64" i="1"/>
  <c r="W64" i="1"/>
  <c r="AA67" i="2"/>
  <c r="Z67" i="2"/>
  <c r="Y67" i="2"/>
  <c r="X67" i="2"/>
  <c r="W67" i="2"/>
  <c r="AA62" i="2"/>
  <c r="Z62" i="2"/>
  <c r="Y62" i="2"/>
  <c r="X62" i="2"/>
  <c r="W62" i="2"/>
  <c r="AA57" i="2"/>
  <c r="Z57" i="2"/>
  <c r="Y57" i="2"/>
  <c r="X57" i="2"/>
  <c r="W57" i="2"/>
  <c r="AA53" i="2"/>
  <c r="Z53" i="2"/>
  <c r="Y53" i="2"/>
  <c r="X53" i="2"/>
  <c r="W53" i="2"/>
  <c r="AA48" i="2"/>
  <c r="Z48" i="2"/>
  <c r="Y48" i="2"/>
  <c r="X48" i="2"/>
  <c r="W48" i="2"/>
  <c r="AA48" i="3"/>
  <c r="Z48" i="3"/>
  <c r="Y48" i="3"/>
  <c r="X48" i="3"/>
  <c r="W48" i="3"/>
  <c r="AA42" i="3"/>
  <c r="Z42" i="3"/>
  <c r="Y42" i="3"/>
  <c r="X42" i="3"/>
  <c r="W42" i="3"/>
  <c r="AA36" i="3"/>
  <c r="Z36" i="3"/>
  <c r="Y36" i="3"/>
  <c r="X36" i="3"/>
  <c r="W36" i="3"/>
  <c r="AA58" i="4"/>
  <c r="Z58" i="4"/>
  <c r="Y58" i="4"/>
  <c r="X58" i="4"/>
  <c r="W58" i="4"/>
  <c r="AA52" i="4"/>
  <c r="Z52" i="4"/>
  <c r="Y52" i="4"/>
  <c r="X52" i="4"/>
  <c r="W52" i="4"/>
  <c r="AA43" i="4"/>
  <c r="Z43" i="4"/>
  <c r="Y43" i="4"/>
  <c r="X43" i="4"/>
  <c r="W43" i="4"/>
  <c r="AA73" i="5"/>
  <c r="Z73" i="5"/>
  <c r="Y73" i="5"/>
  <c r="X73" i="5"/>
  <c r="W73" i="5"/>
  <c r="AA67" i="5"/>
  <c r="Z67" i="5"/>
  <c r="Y67" i="5"/>
  <c r="X67" i="5"/>
  <c r="W67" i="5"/>
  <c r="AA62" i="5"/>
  <c r="Z62" i="5"/>
  <c r="Y62" i="5"/>
  <c r="X62" i="5"/>
  <c r="W62" i="5"/>
  <c r="AA47" i="5"/>
  <c r="Z47" i="5"/>
  <c r="Y47" i="5"/>
  <c r="X47" i="5"/>
  <c r="W47" i="5"/>
  <c r="AA40" i="5"/>
  <c r="Z40" i="5"/>
  <c r="Y40" i="5"/>
  <c r="X40" i="5"/>
  <c r="W40" i="5"/>
  <c r="AA58" i="1"/>
  <c r="Z58" i="1"/>
  <c r="Y58" i="1"/>
  <c r="X58" i="1"/>
  <c r="W58" i="1"/>
  <c r="AA52" i="1"/>
  <c r="Z52" i="1"/>
  <c r="Y52" i="1"/>
  <c r="X52" i="1"/>
  <c r="W52" i="1"/>
  <c r="AA47" i="1"/>
  <c r="Z47" i="1"/>
  <c r="Y47" i="1"/>
  <c r="X47" i="1"/>
  <c r="W47" i="1"/>
  <c r="AA41" i="1"/>
  <c r="Z41" i="1"/>
  <c r="Y41" i="1"/>
  <c r="X41" i="1"/>
  <c r="W41" i="1"/>
  <c r="AA34" i="1"/>
  <c r="Z34" i="1"/>
  <c r="Y34" i="1"/>
  <c r="X34" i="1"/>
  <c r="W34" i="1"/>
  <c r="AA43" i="2"/>
  <c r="Z43" i="2"/>
  <c r="Y43" i="2"/>
  <c r="X43" i="2"/>
  <c r="W43" i="2"/>
  <c r="AA34" i="2"/>
  <c r="Z34" i="2"/>
  <c r="Y34" i="2"/>
  <c r="X34" i="2"/>
  <c r="W34" i="2"/>
  <c r="AA27" i="2"/>
  <c r="Z27" i="2"/>
  <c r="Y27" i="2"/>
  <c r="X27" i="2"/>
  <c r="W27" i="2"/>
  <c r="AA30" i="3"/>
  <c r="Z30" i="3"/>
  <c r="Y30" i="3"/>
  <c r="X30" i="3"/>
  <c r="W30" i="3"/>
  <c r="AA15" i="3"/>
  <c r="Z15" i="3"/>
  <c r="Y15" i="3"/>
  <c r="X15" i="3"/>
  <c r="W15" i="3"/>
  <c r="AA33" i="4"/>
  <c r="Z33" i="4"/>
  <c r="Y33" i="4"/>
  <c r="X33" i="4"/>
  <c r="W33" i="4"/>
  <c r="AA26" i="4"/>
  <c r="Z26" i="4"/>
  <c r="Y26" i="4"/>
  <c r="X26" i="4"/>
  <c r="W26" i="4"/>
  <c r="AA33" i="5"/>
  <c r="Z33" i="5"/>
  <c r="Y33" i="5"/>
  <c r="X33" i="5"/>
  <c r="W33" i="5"/>
  <c r="AA19" i="5"/>
  <c r="Z19" i="5"/>
  <c r="Y19" i="5"/>
  <c r="X19" i="5"/>
  <c r="W19" i="5"/>
  <c r="Y13" i="5"/>
  <c r="AA23" i="2"/>
  <c r="Z23" i="2"/>
  <c r="Y23" i="2"/>
  <c r="X23" i="2"/>
  <c r="W23" i="2"/>
  <c r="W29" i="1"/>
  <c r="AA29" i="1"/>
  <c r="Z29" i="1"/>
  <c r="Y29" i="1"/>
  <c r="X29" i="1"/>
  <c r="AA24" i="1"/>
  <c r="Z24" i="1"/>
  <c r="Y24" i="1"/>
  <c r="X24" i="1"/>
  <c r="W24" i="1"/>
  <c r="AA20" i="1"/>
  <c r="Z20" i="1"/>
  <c r="Y20" i="1"/>
  <c r="X20" i="1"/>
  <c r="W20" i="1"/>
  <c r="W127" i="4"/>
  <c r="X127" i="4"/>
  <c r="Y127" i="4"/>
  <c r="W133" i="2"/>
  <c r="X133" i="2"/>
  <c r="Y133" i="2"/>
  <c r="Z133" i="2"/>
  <c r="AA133" i="2"/>
  <c r="AA140" i="2"/>
  <c r="Z140" i="2"/>
  <c r="Y140" i="2"/>
  <c r="X140" i="2"/>
  <c r="W140" i="2"/>
  <c r="Y166" i="1"/>
  <c r="W22" i="3"/>
  <c r="W55" i="5" s="1"/>
  <c r="W126" i="1"/>
  <c r="W160" i="5" s="1"/>
  <c r="W13" i="1"/>
  <c r="W166" i="1" s="1"/>
  <c r="X22" i="3"/>
  <c r="X55" i="5" s="1"/>
  <c r="X126" i="1"/>
  <c r="X160" i="5" s="1"/>
  <c r="X13" i="1"/>
  <c r="X13" i="5" s="1"/>
  <c r="Y22" i="3"/>
  <c r="Y55" i="5" s="1"/>
  <c r="Y126" i="1"/>
  <c r="Y160" i="5" s="1"/>
  <c r="Z80" i="3"/>
  <c r="Z22" i="3"/>
  <c r="Z55" i="5" s="1"/>
  <c r="Z126" i="1"/>
  <c r="Z160" i="5" s="1"/>
  <c r="Z13" i="1"/>
  <c r="Z13" i="5" s="1"/>
  <c r="Z78" i="3"/>
  <c r="AA22" i="3"/>
  <c r="AA80" i="3" s="1"/>
  <c r="AA126" i="1"/>
  <c r="AA160" i="5" s="1"/>
  <c r="AA13" i="1"/>
  <c r="AA166" i="1" s="1"/>
  <c r="AA173" i="5"/>
  <c r="Z173" i="5"/>
  <c r="Y173" i="5"/>
  <c r="X173" i="5"/>
  <c r="W173" i="5"/>
  <c r="AA79" i="5"/>
  <c r="Z79" i="5"/>
  <c r="Y79" i="5"/>
  <c r="X79" i="5"/>
  <c r="W79" i="5"/>
  <c r="AA128" i="4"/>
  <c r="Z128" i="4"/>
  <c r="Y128" i="4"/>
  <c r="X128" i="4"/>
  <c r="AA134" i="2"/>
  <c r="Z134" i="2"/>
  <c r="Y134" i="2"/>
  <c r="X134" i="2"/>
  <c r="W134" i="2"/>
  <c r="AA160" i="1"/>
  <c r="Z160" i="1"/>
  <c r="Y160" i="1"/>
  <c r="X160" i="1"/>
  <c r="W160" i="1"/>
  <c r="U161" i="1" l="1"/>
  <c r="Y80" i="3"/>
  <c r="X80" i="3"/>
  <c r="W80" i="3"/>
  <c r="X88" i="3"/>
  <c r="Z88" i="3"/>
  <c r="W88" i="3"/>
  <c r="Y88" i="3"/>
  <c r="AA88" i="3"/>
  <c r="AA55" i="5"/>
  <c r="Z159" i="1"/>
  <c r="Y159" i="1"/>
  <c r="W159" i="1"/>
  <c r="X166" i="1"/>
  <c r="Z166" i="1"/>
  <c r="W13" i="5"/>
  <c r="W205" i="5" s="1"/>
  <c r="AA13" i="5"/>
  <c r="AA159" i="1"/>
  <c r="X159" i="1"/>
  <c r="X205" i="5"/>
  <c r="Y196" i="5"/>
  <c r="Z205" i="5"/>
  <c r="Z196" i="5"/>
  <c r="X196" i="5"/>
  <c r="Y205" i="5"/>
  <c r="X197" i="5"/>
  <c r="W197" i="5"/>
  <c r="Y197" i="5"/>
  <c r="AA197" i="5"/>
  <c r="Z197" i="5"/>
  <c r="Z32" i="5"/>
  <c r="Y32" i="5"/>
  <c r="X32" i="5"/>
  <c r="W32" i="5"/>
  <c r="AA32" i="5"/>
  <c r="AA184" i="5"/>
  <c r="Z184" i="5"/>
  <c r="Y184" i="5"/>
  <c r="X184" i="5"/>
  <c r="W184" i="5"/>
  <c r="AA178" i="5"/>
  <c r="Z178" i="5"/>
  <c r="Y178" i="5"/>
  <c r="X178" i="5"/>
  <c r="W178" i="5"/>
  <c r="AA165" i="5"/>
  <c r="Z165" i="5"/>
  <c r="Y165" i="5"/>
  <c r="X165" i="5"/>
  <c r="W165" i="5"/>
  <c r="AA152" i="5"/>
  <c r="Z152" i="5"/>
  <c r="Y152" i="5"/>
  <c r="X152" i="5"/>
  <c r="W152" i="5"/>
  <c r="AA141" i="5"/>
  <c r="Z141" i="5"/>
  <c r="Y141" i="5"/>
  <c r="X141" i="5"/>
  <c r="W141" i="5"/>
  <c r="AA134" i="5"/>
  <c r="Z134" i="5"/>
  <c r="Y134" i="5"/>
  <c r="X134" i="5"/>
  <c r="W134" i="5"/>
  <c r="Y147" i="5"/>
  <c r="X147" i="5"/>
  <c r="W147" i="5"/>
  <c r="Z147" i="5"/>
  <c r="AA147" i="5"/>
  <c r="AA128" i="5"/>
  <c r="Z128" i="5"/>
  <c r="Y128" i="5"/>
  <c r="X128" i="5"/>
  <c r="W128" i="5"/>
  <c r="AA122" i="5"/>
  <c r="Z122" i="5"/>
  <c r="Y122" i="5"/>
  <c r="X122" i="5"/>
  <c r="W122" i="5"/>
  <c r="AA116" i="5"/>
  <c r="Z116" i="5"/>
  <c r="Y116" i="5"/>
  <c r="AA107" i="5"/>
  <c r="Z107" i="5"/>
  <c r="Y107" i="5"/>
  <c r="X107" i="5"/>
  <c r="W107" i="5"/>
  <c r="AA100" i="5"/>
  <c r="Z100" i="5"/>
  <c r="Y100" i="5"/>
  <c r="X100" i="5"/>
  <c r="W100" i="5"/>
  <c r="X94" i="5"/>
  <c r="W94" i="5"/>
  <c r="AA94" i="5"/>
  <c r="Z94" i="5"/>
  <c r="Y94" i="5"/>
  <c r="AA85" i="5"/>
  <c r="Z85" i="5"/>
  <c r="Y85" i="5"/>
  <c r="X85" i="5"/>
  <c r="W85" i="5"/>
  <c r="AA78" i="5"/>
  <c r="AA80" i="5" s="1"/>
  <c r="Z78" i="5"/>
  <c r="Z80" i="5" s="1"/>
  <c r="Y78" i="5"/>
  <c r="Y80" i="5" s="1"/>
  <c r="X78" i="5"/>
  <c r="X80" i="5" s="1"/>
  <c r="W78" i="5"/>
  <c r="W80" i="5" s="1"/>
  <c r="AB60" i="5"/>
  <c r="AA60" i="5"/>
  <c r="Z60" i="5"/>
  <c r="Y60" i="5"/>
  <c r="X60" i="5"/>
  <c r="W60" i="5"/>
  <c r="AB53" i="5"/>
  <c r="AA53" i="5"/>
  <c r="Z53" i="5"/>
  <c r="Y53" i="5"/>
  <c r="X53" i="5"/>
  <c r="W53" i="5"/>
  <c r="AA72" i="5"/>
  <c r="Z72" i="5"/>
  <c r="Y72" i="5"/>
  <c r="X72" i="5"/>
  <c r="W72" i="5"/>
  <c r="AA66" i="5"/>
  <c r="Z66" i="5"/>
  <c r="Y66" i="5"/>
  <c r="X66" i="5"/>
  <c r="W66" i="5"/>
  <c r="AA61" i="5"/>
  <c r="Z61" i="5"/>
  <c r="Y61" i="5"/>
  <c r="X61" i="5"/>
  <c r="W61" i="5"/>
  <c r="AA45" i="5"/>
  <c r="Z45" i="5"/>
  <c r="Y45" i="5"/>
  <c r="X45" i="5"/>
  <c r="W45" i="5"/>
  <c r="AA39" i="5"/>
  <c r="Z39" i="5"/>
  <c r="Y39" i="5"/>
  <c r="X39" i="5"/>
  <c r="W39" i="5"/>
  <c r="AA18" i="5"/>
  <c r="Z18" i="5"/>
  <c r="Y18" i="5"/>
  <c r="X18" i="5"/>
  <c r="W18" i="5"/>
  <c r="AB86" i="3"/>
  <c r="AA86" i="3"/>
  <c r="Z86" i="3"/>
  <c r="Y86" i="3"/>
  <c r="X86" i="3"/>
  <c r="W86" i="3"/>
  <c r="AB78" i="3"/>
  <c r="AA78" i="3"/>
  <c r="Y78" i="3"/>
  <c r="X78" i="3"/>
  <c r="W78" i="3"/>
  <c r="AA139" i="2"/>
  <c r="Z139" i="2"/>
  <c r="Y139" i="2"/>
  <c r="X139" i="2"/>
  <c r="W139" i="2"/>
  <c r="W96" i="4"/>
  <c r="W125" i="4" s="1"/>
  <c r="W21" i="3"/>
  <c r="W87" i="3" s="1"/>
  <c r="W112" i="2"/>
  <c r="W101" i="2"/>
  <c r="W125" i="1"/>
  <c r="W12" i="1"/>
  <c r="W12" i="5" s="1"/>
  <c r="X96" i="4"/>
  <c r="X125" i="4" s="1"/>
  <c r="X21" i="3"/>
  <c r="X54" i="5" s="1"/>
  <c r="X112" i="2"/>
  <c r="X171" i="5" s="1"/>
  <c r="X101" i="2"/>
  <c r="X125" i="1"/>
  <c r="X12" i="1"/>
  <c r="X12" i="5" s="1"/>
  <c r="W159" i="5" l="1"/>
  <c r="W131" i="2"/>
  <c r="Y203" i="5"/>
  <c r="AA196" i="5"/>
  <c r="Z203" i="5"/>
  <c r="W196" i="5"/>
  <c r="W203" i="5"/>
  <c r="AA203" i="5"/>
  <c r="X203" i="5"/>
  <c r="AB203" i="5"/>
  <c r="AA205" i="5"/>
  <c r="X131" i="2"/>
  <c r="X159" i="5"/>
  <c r="X194" i="5" s="1"/>
  <c r="W171" i="5"/>
  <c r="X157" i="1"/>
  <c r="W157" i="1"/>
  <c r="X165" i="1"/>
  <c r="W165" i="1"/>
  <c r="W79" i="3"/>
  <c r="X87" i="3"/>
  <c r="X79" i="3"/>
  <c r="W54" i="5"/>
  <c r="W204" i="5" s="1"/>
  <c r="X193" i="5"/>
  <c r="Z193" i="5"/>
  <c r="AB193" i="5"/>
  <c r="X204" i="5"/>
  <c r="W193" i="5"/>
  <c r="Y193" i="5"/>
  <c r="AA193" i="5"/>
  <c r="Y96" i="4"/>
  <c r="Y125" i="4" s="1"/>
  <c r="Y21" i="3"/>
  <c r="Y79" i="3" s="1"/>
  <c r="Y101" i="2"/>
  <c r="Y112" i="2"/>
  <c r="Y171" i="5" s="1"/>
  <c r="Y125" i="1"/>
  <c r="Y12" i="1"/>
  <c r="Z96" i="4"/>
  <c r="Z125" i="4" s="1"/>
  <c r="Z21" i="3"/>
  <c r="Z79" i="3" s="1"/>
  <c r="Z112" i="2"/>
  <c r="Z171" i="5" s="1"/>
  <c r="Z101" i="2"/>
  <c r="Z125" i="1"/>
  <c r="Z12" i="1"/>
  <c r="AA96" i="4"/>
  <c r="AA125" i="4" s="1"/>
  <c r="AA21" i="3"/>
  <c r="AA79" i="3" s="1"/>
  <c r="AA112" i="2"/>
  <c r="AA171" i="5" s="1"/>
  <c r="AA101" i="2"/>
  <c r="AA125" i="1"/>
  <c r="AA12" i="1"/>
  <c r="Y131" i="2" l="1"/>
  <c r="AA131" i="2"/>
  <c r="Z131" i="2"/>
  <c r="Z159" i="5"/>
  <c r="W194" i="5"/>
  <c r="Y159" i="5"/>
  <c r="AA159" i="5"/>
  <c r="AA12" i="5"/>
  <c r="AA165" i="1"/>
  <c r="AA157" i="1"/>
  <c r="Z12" i="5"/>
  <c r="Z165" i="1"/>
  <c r="Z157" i="1"/>
  <c r="Y12" i="5"/>
  <c r="Y165" i="1"/>
  <c r="Y157" i="1"/>
  <c r="AA87" i="3"/>
  <c r="AA54" i="5"/>
  <c r="Z54" i="5"/>
  <c r="Z87" i="3"/>
  <c r="Y87" i="3"/>
  <c r="Y54" i="5"/>
  <c r="Y158" i="1"/>
  <c r="Y204" i="5" l="1"/>
  <c r="Y194" i="5"/>
  <c r="AA194" i="5"/>
  <c r="AA204" i="5"/>
  <c r="Z194" i="5"/>
  <c r="Z204" i="5"/>
  <c r="AA46" i="5"/>
  <c r="AA195" i="5" s="1"/>
  <c r="Z46" i="5"/>
  <c r="Z195" i="5" s="1"/>
  <c r="Y46" i="5"/>
  <c r="Y195" i="5" s="1"/>
  <c r="X46" i="5"/>
  <c r="X195" i="5" s="1"/>
  <c r="W46" i="5"/>
  <c r="W195" i="5" s="1"/>
  <c r="AA170" i="5"/>
  <c r="Z170" i="5"/>
  <c r="Y170" i="5"/>
  <c r="X170" i="5"/>
  <c r="W170" i="5"/>
  <c r="AA158" i="1"/>
  <c r="Z158" i="1"/>
  <c r="X158" i="1"/>
  <c r="W158" i="1"/>
  <c r="AA132" i="2"/>
  <c r="Z132" i="2"/>
  <c r="Y132" i="2"/>
  <c r="X132" i="2"/>
  <c r="W132" i="2"/>
  <c r="AA130" i="2"/>
  <c r="Z130" i="2"/>
  <c r="Y130" i="2"/>
  <c r="X130" i="2"/>
  <c r="W130" i="2"/>
  <c r="Y192" i="5" l="1"/>
  <c r="Z192" i="5"/>
  <c r="X192" i="5"/>
  <c r="W192" i="5"/>
  <c r="AA192" i="5"/>
  <c r="AA182" i="5"/>
  <c r="AA186" i="5" s="1"/>
  <c r="Z182" i="5"/>
  <c r="Z186" i="5" s="1"/>
  <c r="Y182" i="5"/>
  <c r="Y186" i="5" s="1"/>
  <c r="X182" i="5"/>
  <c r="X186" i="5" s="1"/>
  <c r="W182" i="5"/>
  <c r="W186" i="5" s="1"/>
  <c r="AA176" i="5"/>
  <c r="AA180" i="5" s="1"/>
  <c r="Z176" i="5"/>
  <c r="Z180" i="5" s="1"/>
  <c r="Y176" i="5"/>
  <c r="Y180" i="5" s="1"/>
  <c r="X176" i="5"/>
  <c r="X180" i="5" s="1"/>
  <c r="W176" i="5"/>
  <c r="W180" i="5" s="1"/>
  <c r="AA163" i="5"/>
  <c r="AA167" i="5" s="1"/>
  <c r="Z163" i="5"/>
  <c r="Z167" i="5" s="1"/>
  <c r="Y163" i="5"/>
  <c r="Y167" i="5" s="1"/>
  <c r="X163" i="5"/>
  <c r="X167" i="5" s="1"/>
  <c r="W163" i="5"/>
  <c r="W167" i="5" s="1"/>
  <c r="AA150" i="5"/>
  <c r="AA154" i="5" s="1"/>
  <c r="Z150" i="5"/>
  <c r="Z154" i="5" s="1"/>
  <c r="Y150" i="5"/>
  <c r="Y154" i="5" s="1"/>
  <c r="X150" i="5"/>
  <c r="X154" i="5" s="1"/>
  <c r="W150" i="5"/>
  <c r="W154" i="5" s="1"/>
  <c r="Z146" i="5"/>
  <c r="Z148" i="5" s="1"/>
  <c r="Y146" i="5"/>
  <c r="Y148" i="5" s="1"/>
  <c r="X146" i="5"/>
  <c r="X148" i="5" s="1"/>
  <c r="W146" i="5"/>
  <c r="W148" i="5" s="1"/>
  <c r="AA146" i="5"/>
  <c r="AA148" i="5" s="1"/>
  <c r="AA139" i="5"/>
  <c r="AA144" i="5" s="1"/>
  <c r="Z139" i="5"/>
  <c r="Z144" i="5" s="1"/>
  <c r="Y139" i="5"/>
  <c r="Y144" i="5" s="1"/>
  <c r="X139" i="5"/>
  <c r="X144" i="5" s="1"/>
  <c r="W139" i="5"/>
  <c r="W144" i="5" s="1"/>
  <c r="AA132" i="5"/>
  <c r="AA136" i="5" s="1"/>
  <c r="Z132" i="5"/>
  <c r="Z136" i="5" s="1"/>
  <c r="Y132" i="5"/>
  <c r="Y136" i="5" s="1"/>
  <c r="X132" i="5"/>
  <c r="X136" i="5" s="1"/>
  <c r="W132" i="5"/>
  <c r="W136" i="5" s="1"/>
  <c r="AA126" i="5"/>
  <c r="AA130" i="5" s="1"/>
  <c r="Z126" i="5"/>
  <c r="Z130" i="5" s="1"/>
  <c r="Y126" i="5"/>
  <c r="Y130" i="5" s="1"/>
  <c r="X126" i="5"/>
  <c r="X130" i="5" s="1"/>
  <c r="W126" i="5"/>
  <c r="W130" i="5" s="1"/>
  <c r="AA121" i="5"/>
  <c r="AA124" i="5" s="1"/>
  <c r="Z121" i="5"/>
  <c r="Z124" i="5" s="1"/>
  <c r="Y121" i="5"/>
  <c r="Y124" i="5" s="1"/>
  <c r="X121" i="5"/>
  <c r="X124" i="5" s="1"/>
  <c r="W121" i="5"/>
  <c r="W124" i="5" s="1"/>
  <c r="AA114" i="5"/>
  <c r="AA119" i="5" s="1"/>
  <c r="Z114" i="5"/>
  <c r="Z119" i="5" s="1"/>
  <c r="Y114" i="5"/>
  <c r="Y119" i="5" s="1"/>
  <c r="X114" i="5"/>
  <c r="X119" i="5" s="1"/>
  <c r="W114" i="5"/>
  <c r="W119" i="5" s="1"/>
  <c r="AA105" i="5"/>
  <c r="AA109" i="5" s="1"/>
  <c r="Z105" i="5"/>
  <c r="Z109" i="5" s="1"/>
  <c r="Y105" i="5"/>
  <c r="Y109" i="5" s="1"/>
  <c r="X105" i="5"/>
  <c r="X109" i="5" s="1"/>
  <c r="W105" i="5"/>
  <c r="W109" i="5" s="1"/>
  <c r="AA98" i="5"/>
  <c r="AA102" i="5" s="1"/>
  <c r="Z98" i="5"/>
  <c r="Z102" i="5" s="1"/>
  <c r="Y98" i="5"/>
  <c r="Y102" i="5" s="1"/>
  <c r="X98" i="5"/>
  <c r="X102" i="5" s="1"/>
  <c r="W98" i="5"/>
  <c r="W102" i="5" s="1"/>
  <c r="AA93" i="5"/>
  <c r="AA95" i="5" s="1"/>
  <c r="Z93" i="5"/>
  <c r="Z95" i="5" s="1"/>
  <c r="Y93" i="5"/>
  <c r="Y95" i="5" s="1"/>
  <c r="X93" i="5"/>
  <c r="X95" i="5" s="1"/>
  <c r="W93" i="5"/>
  <c r="W95" i="5" s="1"/>
  <c r="AA89" i="5"/>
  <c r="AA91" i="5" s="1"/>
  <c r="Z89" i="5"/>
  <c r="Z91" i="5" s="1"/>
  <c r="Y89" i="5"/>
  <c r="Y91" i="5" s="1"/>
  <c r="X89" i="5"/>
  <c r="X91" i="5" s="1"/>
  <c r="W89" i="5"/>
  <c r="W91" i="5" s="1"/>
  <c r="AA83" i="5"/>
  <c r="AA87" i="5" s="1"/>
  <c r="Z83" i="5"/>
  <c r="Z87" i="5" s="1"/>
  <c r="Y83" i="5"/>
  <c r="Y87" i="5" s="1"/>
  <c r="X83" i="5"/>
  <c r="X87" i="5" s="1"/>
  <c r="W83" i="5"/>
  <c r="W87" i="5" s="1"/>
  <c r="AA70" i="5"/>
  <c r="AA74" i="5" s="1"/>
  <c r="Z70" i="5"/>
  <c r="Z74" i="5" s="1"/>
  <c r="Y70" i="5"/>
  <c r="Y74" i="5" s="1"/>
  <c r="X70" i="5"/>
  <c r="X74" i="5" s="1"/>
  <c r="W70" i="5"/>
  <c r="W74" i="5" s="1"/>
  <c r="AA65" i="5"/>
  <c r="AA68" i="5" s="1"/>
  <c r="Z65" i="5"/>
  <c r="Z68" i="5" s="1"/>
  <c r="Y65" i="5"/>
  <c r="Y68" i="5" s="1"/>
  <c r="X65" i="5"/>
  <c r="X68" i="5" s="1"/>
  <c r="W65" i="5"/>
  <c r="W68" i="5" s="1"/>
  <c r="AA58" i="5"/>
  <c r="AA63" i="5" s="1"/>
  <c r="Z58" i="5"/>
  <c r="Z63" i="5" s="1"/>
  <c r="Y58" i="5"/>
  <c r="Y63" i="5" s="1"/>
  <c r="X58" i="5"/>
  <c r="X63" i="5" s="1"/>
  <c r="W58" i="5"/>
  <c r="W63" i="5" s="1"/>
  <c r="AA43" i="5"/>
  <c r="AA48" i="5" s="1"/>
  <c r="Z43" i="5"/>
  <c r="Z48" i="5" s="1"/>
  <c r="Y43" i="5"/>
  <c r="Y48" i="5" s="1"/>
  <c r="X43" i="5"/>
  <c r="X48" i="5" s="1"/>
  <c r="W43" i="5"/>
  <c r="W48" i="5" s="1"/>
  <c r="AA37" i="5"/>
  <c r="AA41" i="5" s="1"/>
  <c r="Z37" i="5"/>
  <c r="Z41" i="5" s="1"/>
  <c r="Y37" i="5"/>
  <c r="Y41" i="5" s="1"/>
  <c r="X37" i="5"/>
  <c r="X41" i="5" s="1"/>
  <c r="W37" i="5"/>
  <c r="W41" i="5" s="1"/>
  <c r="Z30" i="5"/>
  <c r="Z34" i="5" s="1"/>
  <c r="Y30" i="5"/>
  <c r="Y34" i="5" s="1"/>
  <c r="X30" i="5"/>
  <c r="X34" i="5" s="1"/>
  <c r="W30" i="5"/>
  <c r="W34" i="5" s="1"/>
  <c r="AA30" i="5"/>
  <c r="AA34" i="5" s="1"/>
  <c r="AA25" i="5"/>
  <c r="AA27" i="5" s="1"/>
  <c r="Z25" i="5"/>
  <c r="Z27" i="5" s="1"/>
  <c r="Y25" i="5"/>
  <c r="Y27" i="5" s="1"/>
  <c r="X25" i="5"/>
  <c r="X27" i="5" s="1"/>
  <c r="W25" i="5"/>
  <c r="W27" i="5" s="1"/>
  <c r="AA16" i="5"/>
  <c r="AA20" i="5" s="1"/>
  <c r="Z16" i="5"/>
  <c r="Z20" i="5" s="1"/>
  <c r="Y16" i="5"/>
  <c r="Y20" i="5" s="1"/>
  <c r="X16" i="5"/>
  <c r="X20" i="5" s="1"/>
  <c r="W16" i="5"/>
  <c r="W20" i="5" s="1"/>
  <c r="AA137" i="2" l="1"/>
  <c r="Z137" i="2"/>
  <c r="Y137" i="2"/>
  <c r="X137" i="2"/>
  <c r="W137" i="2"/>
  <c r="W94" i="4"/>
  <c r="W64" i="3"/>
  <c r="W18" i="3"/>
  <c r="W110" i="2"/>
  <c r="W115" i="2" s="1"/>
  <c r="W99" i="2"/>
  <c r="W102" i="2" s="1"/>
  <c r="W135" i="1"/>
  <c r="W123" i="1"/>
  <c r="W127" i="1" s="1"/>
  <c r="W11" i="1"/>
  <c r="W155" i="1" s="1"/>
  <c r="W161" i="1" s="1"/>
  <c r="X94" i="4"/>
  <c r="X64" i="3"/>
  <c r="X18" i="3"/>
  <c r="X110" i="2"/>
  <c r="X115" i="2" s="1"/>
  <c r="X99" i="2"/>
  <c r="X102" i="2" s="1"/>
  <c r="X135" i="1"/>
  <c r="X123" i="1"/>
  <c r="X127" i="1" s="1"/>
  <c r="X11" i="1"/>
  <c r="X163" i="1" s="1"/>
  <c r="Y94" i="4"/>
  <c r="Y64" i="3"/>
  <c r="Y18" i="3"/>
  <c r="Y110" i="2"/>
  <c r="Y115" i="2" s="1"/>
  <c r="Y99" i="2"/>
  <c r="Y102" i="2" s="1"/>
  <c r="Y135" i="1"/>
  <c r="Y123" i="1"/>
  <c r="Y127" i="1" s="1"/>
  <c r="Y11" i="1"/>
  <c r="Z94" i="4"/>
  <c r="Z64" i="3"/>
  <c r="Z18" i="3"/>
  <c r="Z110" i="2"/>
  <c r="Z115" i="2" s="1"/>
  <c r="Z99" i="2"/>
  <c r="Z102" i="2" s="1"/>
  <c r="Z123" i="1"/>
  <c r="Z127" i="1" s="1"/>
  <c r="Z135" i="1"/>
  <c r="Z11" i="1"/>
  <c r="Z163" i="1" s="1"/>
  <c r="X141" i="2" l="1"/>
  <c r="Z141" i="2"/>
  <c r="W141" i="2"/>
  <c r="Y141" i="2"/>
  <c r="AA141" i="2"/>
  <c r="Z167" i="1"/>
  <c r="X167" i="1"/>
  <c r="Z155" i="1"/>
  <c r="Z161" i="1" s="1"/>
  <c r="Y98" i="4"/>
  <c r="Y123" i="4"/>
  <c r="Y129" i="4" s="1"/>
  <c r="X98" i="4"/>
  <c r="X123" i="4"/>
  <c r="X129" i="4" s="1"/>
  <c r="Z98" i="4"/>
  <c r="Z123" i="4"/>
  <c r="Z129" i="4" s="1"/>
  <c r="W98" i="4"/>
  <c r="W123" i="4"/>
  <c r="W129" i="4" s="1"/>
  <c r="Z51" i="5"/>
  <c r="Z56" i="5" s="1"/>
  <c r="Z23" i="3"/>
  <c r="Y51" i="5"/>
  <c r="Y56" i="5" s="1"/>
  <c r="Y23" i="3"/>
  <c r="X51" i="5"/>
  <c r="X56" i="5" s="1"/>
  <c r="X23" i="3"/>
  <c r="W51" i="5"/>
  <c r="W56" i="5" s="1"/>
  <c r="W23" i="3"/>
  <c r="Y129" i="2"/>
  <c r="Y135" i="2" s="1"/>
  <c r="W129" i="2"/>
  <c r="W135" i="2" s="1"/>
  <c r="Z129" i="2"/>
  <c r="Z135" i="2" s="1"/>
  <c r="X129" i="2"/>
  <c r="X135" i="2" s="1"/>
  <c r="X155" i="1"/>
  <c r="X161" i="1" s="1"/>
  <c r="Z140" i="1"/>
  <c r="Z169" i="5"/>
  <c r="Z174" i="5" s="1"/>
  <c r="Y155" i="1"/>
  <c r="Y161" i="1" s="1"/>
  <c r="Z14" i="1"/>
  <c r="Z11" i="5"/>
  <c r="Z14" i="5" s="1"/>
  <c r="Z157" i="5"/>
  <c r="Z161" i="5" s="1"/>
  <c r="Y14" i="1"/>
  <c r="Y11" i="5"/>
  <c r="Y14" i="5" s="1"/>
  <c r="Y140" i="1"/>
  <c r="Y169" i="5"/>
  <c r="Y174" i="5" s="1"/>
  <c r="Y157" i="5"/>
  <c r="Y161" i="5" s="1"/>
  <c r="X14" i="1"/>
  <c r="X11" i="5"/>
  <c r="X14" i="5" s="1"/>
  <c r="X140" i="1"/>
  <c r="X169" i="5"/>
  <c r="X174" i="5" s="1"/>
  <c r="X157" i="5"/>
  <c r="X161" i="5" s="1"/>
  <c r="W14" i="1"/>
  <c r="W11" i="5"/>
  <c r="W14" i="5" s="1"/>
  <c r="W140" i="1"/>
  <c r="W169" i="5"/>
  <c r="W174" i="5" s="1"/>
  <c r="W157" i="5"/>
  <c r="W161" i="5" s="1"/>
  <c r="W163" i="1"/>
  <c r="Y163" i="1"/>
  <c r="Y76" i="3"/>
  <c r="Y81" i="3" s="1"/>
  <c r="W76" i="3"/>
  <c r="W81" i="3" s="1"/>
  <c r="W84" i="3"/>
  <c r="W89" i="3" s="1"/>
  <c r="Y84" i="3"/>
  <c r="Y89" i="3" s="1"/>
  <c r="Z76" i="3"/>
  <c r="Z81" i="3" s="1"/>
  <c r="X76" i="3"/>
  <c r="X81" i="3" s="1"/>
  <c r="X84" i="3"/>
  <c r="X89" i="3" s="1"/>
  <c r="Z84" i="3"/>
  <c r="Z89" i="3" s="1"/>
  <c r="AA94" i="4"/>
  <c r="AA64" i="3"/>
  <c r="AA18" i="3"/>
  <c r="AA23" i="3" s="1"/>
  <c r="AA110" i="2"/>
  <c r="AA115" i="2" s="1"/>
  <c r="AA99" i="2"/>
  <c r="AA102" i="2" s="1"/>
  <c r="AA123" i="1"/>
  <c r="AA127" i="1" s="1"/>
  <c r="AA135" i="1"/>
  <c r="AA11" i="1"/>
  <c r="AA155" i="1" l="1"/>
  <c r="AA161" i="1" s="1"/>
  <c r="W201" i="5"/>
  <c r="W206" i="5" s="1"/>
  <c r="W167" i="1"/>
  <c r="Y167" i="1"/>
  <c r="Y201" i="5"/>
  <c r="Z191" i="5"/>
  <c r="Z198" i="5" s="1"/>
  <c r="X201" i="5"/>
  <c r="Z201" i="5"/>
  <c r="Y191" i="5"/>
  <c r="Y198" i="5" s="1"/>
  <c r="AA98" i="4"/>
  <c r="AA123" i="4"/>
  <c r="AA129" i="4" s="1"/>
  <c r="W191" i="5"/>
  <c r="W198" i="5" s="1"/>
  <c r="X191" i="5"/>
  <c r="X198" i="5" s="1"/>
  <c r="AA129" i="2"/>
  <c r="AA135" i="2" s="1"/>
  <c r="AA157" i="5"/>
  <c r="AA161" i="5" s="1"/>
  <c r="AA140" i="1"/>
  <c r="AA169" i="5"/>
  <c r="AA174" i="5" s="1"/>
  <c r="AA14" i="1"/>
  <c r="AA11" i="5"/>
  <c r="AA14" i="5" s="1"/>
  <c r="AA163" i="1"/>
  <c r="AA51" i="5"/>
  <c r="AA56" i="5" s="1"/>
  <c r="AA84" i="3"/>
  <c r="AA89" i="3" s="1"/>
  <c r="AA76" i="3"/>
  <c r="AA81" i="3" s="1"/>
  <c r="AB140" i="2"/>
  <c r="AD140" i="2"/>
  <c r="AC140" i="2"/>
  <c r="AD185" i="5"/>
  <c r="AC185" i="5"/>
  <c r="AB185" i="5"/>
  <c r="AD179" i="5"/>
  <c r="AC179" i="5"/>
  <c r="AB179" i="5"/>
  <c r="AD172" i="5"/>
  <c r="AC172" i="5"/>
  <c r="AB172" i="5"/>
  <c r="AD166" i="5"/>
  <c r="AC166" i="5"/>
  <c r="AB166" i="5"/>
  <c r="AD118" i="4"/>
  <c r="AC118" i="4"/>
  <c r="AB118" i="4"/>
  <c r="AB113" i="4"/>
  <c r="AD113" i="4"/>
  <c r="AC113" i="4"/>
  <c r="AD107" i="4"/>
  <c r="AC107" i="4"/>
  <c r="AB107" i="4"/>
  <c r="AD124" i="2"/>
  <c r="AC124" i="2"/>
  <c r="AB124" i="2"/>
  <c r="AD120" i="2"/>
  <c r="AC120" i="2"/>
  <c r="AB120" i="2"/>
  <c r="AD115" i="2"/>
  <c r="AC115" i="2"/>
  <c r="AB115" i="2"/>
  <c r="AD108" i="2"/>
  <c r="AC108" i="2"/>
  <c r="AB108" i="2"/>
  <c r="AD151" i="1"/>
  <c r="AC151" i="1"/>
  <c r="AB151" i="1"/>
  <c r="AD146" i="1"/>
  <c r="AC146" i="1"/>
  <c r="AB146" i="1"/>
  <c r="AB140" i="1"/>
  <c r="AD140" i="1"/>
  <c r="AC140" i="1"/>
  <c r="AD133" i="1"/>
  <c r="AC133" i="1"/>
  <c r="AB133" i="1"/>
  <c r="AB127" i="4"/>
  <c r="AC127" i="4"/>
  <c r="AD127" i="4"/>
  <c r="AC133" i="2"/>
  <c r="AB133" i="2"/>
  <c r="AD133" i="2"/>
  <c r="AB134" i="2"/>
  <c r="AD108" i="5"/>
  <c r="AC108" i="5"/>
  <c r="AB108" i="5"/>
  <c r="AD67" i="2"/>
  <c r="AC67" i="2"/>
  <c r="AB67" i="2"/>
  <c r="AB101" i="5"/>
  <c r="AB52" i="4"/>
  <c r="AD143" i="5"/>
  <c r="AC143" i="5"/>
  <c r="AB143" i="5"/>
  <c r="AD135" i="5"/>
  <c r="AC135" i="5"/>
  <c r="AB135" i="5"/>
  <c r="AD92" i="4"/>
  <c r="AC92" i="4"/>
  <c r="AB92" i="4"/>
  <c r="AD83" i="4"/>
  <c r="AC83" i="4"/>
  <c r="AB83" i="4"/>
  <c r="AD75" i="4"/>
  <c r="AC75" i="4"/>
  <c r="AB75" i="4"/>
  <c r="AD62" i="3"/>
  <c r="AC62" i="3"/>
  <c r="AB62" i="3"/>
  <c r="AD57" i="3"/>
  <c r="AC57" i="3"/>
  <c r="AB57" i="3"/>
  <c r="AD92" i="2"/>
  <c r="AC92" i="2"/>
  <c r="AB92" i="2"/>
  <c r="AD88" i="2"/>
  <c r="AC88" i="2"/>
  <c r="AB88" i="2"/>
  <c r="AD82" i="2"/>
  <c r="AC82" i="2"/>
  <c r="AB82" i="2"/>
  <c r="AD121" i="1"/>
  <c r="AC121" i="1"/>
  <c r="AB121" i="1"/>
  <c r="AD115" i="1"/>
  <c r="AC115" i="1"/>
  <c r="AB115" i="1"/>
  <c r="AD109" i="1"/>
  <c r="AC109" i="1"/>
  <c r="AB109" i="1"/>
  <c r="AD129" i="5"/>
  <c r="AC129" i="5"/>
  <c r="AB129" i="5"/>
  <c r="AD118" i="5"/>
  <c r="AC118" i="5"/>
  <c r="AB118" i="5"/>
  <c r="AD70" i="4"/>
  <c r="AC70" i="4"/>
  <c r="AB70" i="4"/>
  <c r="AD66" i="4"/>
  <c r="AC66" i="4"/>
  <c r="AB66" i="4"/>
  <c r="AD58" i="4"/>
  <c r="AC58" i="4"/>
  <c r="AB58" i="4"/>
  <c r="AD73" i="2"/>
  <c r="AC73" i="2"/>
  <c r="AB73" i="2"/>
  <c r="AD103" i="1"/>
  <c r="AC103" i="1"/>
  <c r="AB103" i="1"/>
  <c r="AD98" i="1"/>
  <c r="AC98" i="1"/>
  <c r="AB98" i="1"/>
  <c r="AD93" i="1"/>
  <c r="AC93" i="1"/>
  <c r="AB93" i="1"/>
  <c r="AD101" i="5"/>
  <c r="AC101" i="5"/>
  <c r="AG86" i="5"/>
  <c r="AF86" i="5"/>
  <c r="AE86" i="5"/>
  <c r="AD86" i="5"/>
  <c r="AC86" i="5"/>
  <c r="AB86" i="5"/>
  <c r="AD52" i="4"/>
  <c r="AC52" i="4"/>
  <c r="AD43" i="4"/>
  <c r="AC43" i="4"/>
  <c r="AB43" i="4"/>
  <c r="AD48" i="3"/>
  <c r="AC48" i="3"/>
  <c r="AB48" i="3"/>
  <c r="AD42" i="3"/>
  <c r="AC42" i="3"/>
  <c r="AB42" i="3"/>
  <c r="AD36" i="3"/>
  <c r="AC36" i="3"/>
  <c r="AB36" i="3"/>
  <c r="AD62" i="2"/>
  <c r="AC62" i="2"/>
  <c r="AB62" i="2"/>
  <c r="AD57" i="2"/>
  <c r="AC57" i="2"/>
  <c r="AB57" i="2"/>
  <c r="AD53" i="2"/>
  <c r="AC53" i="2"/>
  <c r="AB53" i="2"/>
  <c r="AD48" i="2"/>
  <c r="AC48" i="2"/>
  <c r="AB48" i="2"/>
  <c r="AD86" i="1"/>
  <c r="AC86" i="1"/>
  <c r="AB86" i="1"/>
  <c r="AD81" i="1"/>
  <c r="AC81" i="1"/>
  <c r="AB81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D69" i="1"/>
  <c r="AC69" i="1"/>
  <c r="AB69" i="1"/>
  <c r="AD64" i="1"/>
  <c r="AC64" i="1"/>
  <c r="AB64" i="1"/>
  <c r="AD73" i="5"/>
  <c r="AC73" i="5"/>
  <c r="AB73" i="5"/>
  <c r="AD67" i="5"/>
  <c r="AC67" i="5"/>
  <c r="AB67" i="5"/>
  <c r="AD62" i="5"/>
  <c r="AC62" i="5"/>
  <c r="AB62" i="5"/>
  <c r="AD47" i="5"/>
  <c r="AC47" i="5"/>
  <c r="AB47" i="5"/>
  <c r="AD40" i="5"/>
  <c r="AC40" i="5"/>
  <c r="AB40" i="5"/>
  <c r="AD33" i="4"/>
  <c r="AC33" i="4"/>
  <c r="AB33" i="4"/>
  <c r="AD26" i="4"/>
  <c r="AC26" i="4"/>
  <c r="AB26" i="4"/>
  <c r="AD30" i="3"/>
  <c r="AC30" i="3"/>
  <c r="AB30" i="3"/>
  <c r="AD15" i="3"/>
  <c r="AC15" i="3"/>
  <c r="AB15" i="3"/>
  <c r="AD43" i="2"/>
  <c r="AC43" i="2"/>
  <c r="AB43" i="2"/>
  <c r="AD34" i="2"/>
  <c r="AC34" i="2"/>
  <c r="AB34" i="2"/>
  <c r="AD27" i="2"/>
  <c r="AC27" i="2"/>
  <c r="AB27" i="2"/>
  <c r="AB58" i="1"/>
  <c r="AD58" i="1"/>
  <c r="AC58" i="1"/>
  <c r="AD52" i="1"/>
  <c r="AC52" i="1"/>
  <c r="AB52" i="1"/>
  <c r="AD47" i="1"/>
  <c r="AC47" i="1"/>
  <c r="AB47" i="1"/>
  <c r="AD41" i="1"/>
  <c r="AC41" i="1"/>
  <c r="AB41" i="1"/>
  <c r="AD34" i="1"/>
  <c r="AC34" i="1"/>
  <c r="AB34" i="1"/>
  <c r="AD33" i="5"/>
  <c r="AC33" i="5"/>
  <c r="AB33" i="5"/>
  <c r="AD19" i="5"/>
  <c r="AC19" i="5"/>
  <c r="AB19" i="5"/>
  <c r="AD20" i="4"/>
  <c r="AC20" i="4"/>
  <c r="AB20" i="4"/>
  <c r="AD23" i="2"/>
  <c r="AC23" i="2"/>
  <c r="AB23" i="2"/>
  <c r="AD29" i="1"/>
  <c r="AC29" i="1"/>
  <c r="AB29" i="1"/>
  <c r="AD24" i="1"/>
  <c r="AC24" i="1"/>
  <c r="AB24" i="1"/>
  <c r="AD20" i="1"/>
  <c r="AC20" i="1"/>
  <c r="AB20" i="1"/>
  <c r="X206" i="5" l="1"/>
  <c r="Y206" i="5"/>
  <c r="Z206" i="5"/>
  <c r="AA167" i="1"/>
  <c r="AA201" i="5"/>
  <c r="AA191" i="5"/>
  <c r="AA198" i="5" s="1"/>
  <c r="AB22" i="3"/>
  <c r="AB126" i="1"/>
  <c r="AB160" i="5" s="1"/>
  <c r="AB13" i="1"/>
  <c r="AC22" i="3"/>
  <c r="AC126" i="1"/>
  <c r="AC160" i="5" s="1"/>
  <c r="AC13" i="1"/>
  <c r="AD22" i="3"/>
  <c r="AD126" i="1"/>
  <c r="AD160" i="5" s="1"/>
  <c r="AD13" i="1"/>
  <c r="AA206" i="5" l="1"/>
  <c r="AD55" i="5"/>
  <c r="AD88" i="3"/>
  <c r="AB55" i="5"/>
  <c r="AB88" i="3"/>
  <c r="AC88" i="3"/>
  <c r="AC55" i="5"/>
  <c r="AD80" i="3"/>
  <c r="AC80" i="3"/>
  <c r="AB80" i="3"/>
  <c r="AC166" i="1"/>
  <c r="AC13" i="5"/>
  <c r="AC159" i="1"/>
  <c r="AD166" i="1"/>
  <c r="AD13" i="5"/>
  <c r="AD159" i="1"/>
  <c r="AB166" i="1"/>
  <c r="AB13" i="5"/>
  <c r="AB159" i="1"/>
  <c r="AD79" i="5"/>
  <c r="AC79" i="5"/>
  <c r="AB79" i="5"/>
  <c r="AD173" i="5"/>
  <c r="AC173" i="5"/>
  <c r="AB173" i="5"/>
  <c r="AD160" i="1"/>
  <c r="AC160" i="1"/>
  <c r="AB160" i="1"/>
  <c r="AD134" i="2"/>
  <c r="AC134" i="2"/>
  <c r="AD128" i="4"/>
  <c r="AC128" i="4"/>
  <c r="AB128" i="4"/>
  <c r="AD46" i="5"/>
  <c r="AD195" i="5" s="1"/>
  <c r="AC46" i="5"/>
  <c r="AC195" i="5" s="1"/>
  <c r="AB46" i="5"/>
  <c r="AB195" i="5" s="1"/>
  <c r="AD132" i="2"/>
  <c r="AC132" i="2"/>
  <c r="AB132" i="2"/>
  <c r="AD158" i="1"/>
  <c r="AC158" i="1"/>
  <c r="AB158" i="1"/>
  <c r="AD184" i="5"/>
  <c r="AC184" i="5"/>
  <c r="AB184" i="5"/>
  <c r="AD178" i="5"/>
  <c r="AC178" i="5"/>
  <c r="AB178" i="5"/>
  <c r="AD171" i="5"/>
  <c r="AC171" i="5"/>
  <c r="AB171" i="5"/>
  <c r="AD165" i="5"/>
  <c r="AC165" i="5"/>
  <c r="AB165" i="5"/>
  <c r="AD152" i="5"/>
  <c r="AC152" i="5"/>
  <c r="AB152" i="5"/>
  <c r="AD147" i="5"/>
  <c r="AC147" i="5"/>
  <c r="AB147" i="5"/>
  <c r="AD141" i="5"/>
  <c r="AC141" i="5"/>
  <c r="AB141" i="5"/>
  <c r="AD134" i="5"/>
  <c r="AC134" i="5"/>
  <c r="AB134" i="5"/>
  <c r="AD128" i="5"/>
  <c r="AC128" i="5"/>
  <c r="AB128" i="5"/>
  <c r="AD122" i="5"/>
  <c r="AC122" i="5"/>
  <c r="AB122" i="5"/>
  <c r="AD116" i="5"/>
  <c r="AC116" i="5"/>
  <c r="AB116" i="5"/>
  <c r="AD107" i="5"/>
  <c r="AC107" i="5"/>
  <c r="AB107" i="5"/>
  <c r="AD100" i="5"/>
  <c r="AC100" i="5"/>
  <c r="AB100" i="5"/>
  <c r="AD94" i="5"/>
  <c r="AD95" i="5" s="1"/>
  <c r="AC94" i="5"/>
  <c r="AC95" i="5" s="1"/>
  <c r="AB94" i="5"/>
  <c r="AD85" i="5"/>
  <c r="AC85" i="5"/>
  <c r="AB85" i="5"/>
  <c r="AD78" i="5"/>
  <c r="AC78" i="5"/>
  <c r="AB78" i="5"/>
  <c r="AD72" i="5"/>
  <c r="AC72" i="5"/>
  <c r="AB72" i="5"/>
  <c r="AD66" i="5"/>
  <c r="AC66" i="5"/>
  <c r="AB66" i="5"/>
  <c r="AD61" i="5"/>
  <c r="AC61" i="5"/>
  <c r="AB61" i="5"/>
  <c r="AD45" i="5"/>
  <c r="AC45" i="5"/>
  <c r="AB45" i="5"/>
  <c r="AD39" i="5"/>
  <c r="AC39" i="5"/>
  <c r="AB39" i="5"/>
  <c r="AD32" i="5"/>
  <c r="AC32" i="5"/>
  <c r="AB32" i="5"/>
  <c r="AD18" i="5"/>
  <c r="AC18" i="5"/>
  <c r="AB18" i="5"/>
  <c r="AB96" i="4"/>
  <c r="AB125" i="4" s="1"/>
  <c r="AB21" i="3"/>
  <c r="AB79" i="3" s="1"/>
  <c r="AD139" i="2"/>
  <c r="AC139" i="2"/>
  <c r="AB139" i="2"/>
  <c r="AB101" i="2"/>
  <c r="AB131" i="2" s="1"/>
  <c r="AB125" i="1"/>
  <c r="AB12" i="1"/>
  <c r="AC96" i="4"/>
  <c r="AC125" i="4" s="1"/>
  <c r="AC21" i="3"/>
  <c r="AC54" i="5" s="1"/>
  <c r="AC101" i="2"/>
  <c r="AC131" i="2" s="1"/>
  <c r="AC125" i="1"/>
  <c r="AC12" i="1"/>
  <c r="AC165" i="1" s="1"/>
  <c r="AD96" i="4"/>
  <c r="AD125" i="4" s="1"/>
  <c r="AD21" i="3"/>
  <c r="AD79" i="3" s="1"/>
  <c r="AD101" i="2"/>
  <c r="AD131" i="2" s="1"/>
  <c r="AD125" i="1"/>
  <c r="AD12" i="1"/>
  <c r="AD12" i="5" s="1"/>
  <c r="AD170" i="5"/>
  <c r="AC170" i="5"/>
  <c r="AB170" i="5"/>
  <c r="AD130" i="2"/>
  <c r="AC130" i="2"/>
  <c r="AB130" i="2"/>
  <c r="AD182" i="5"/>
  <c r="AC182" i="5"/>
  <c r="AB182" i="5"/>
  <c r="AD176" i="5"/>
  <c r="AC176" i="5"/>
  <c r="AB176" i="5"/>
  <c r="AD169" i="5"/>
  <c r="AC169" i="5"/>
  <c r="AB169" i="5"/>
  <c r="AD163" i="5"/>
  <c r="AC163" i="5"/>
  <c r="AB163" i="5"/>
  <c r="AD150" i="5"/>
  <c r="AC150" i="5"/>
  <c r="AB150" i="5"/>
  <c r="AD146" i="5"/>
  <c r="AC146" i="5"/>
  <c r="AB146" i="5"/>
  <c r="AD139" i="5"/>
  <c r="AC139" i="5"/>
  <c r="AB139" i="5"/>
  <c r="AD132" i="5"/>
  <c r="AC132" i="5"/>
  <c r="AB132" i="5"/>
  <c r="AD126" i="5"/>
  <c r="AC126" i="5"/>
  <c r="AB126" i="5"/>
  <c r="AD121" i="5"/>
  <c r="AC121" i="5"/>
  <c r="AB121" i="5"/>
  <c r="AD114" i="5"/>
  <c r="AC114" i="5"/>
  <c r="AB114" i="5"/>
  <c r="AD105" i="5"/>
  <c r="AC105" i="5"/>
  <c r="AB105" i="5"/>
  <c r="AD98" i="5"/>
  <c r="AC98" i="5"/>
  <c r="AB98" i="5"/>
  <c r="AD89" i="5"/>
  <c r="AD91" i="5" s="1"/>
  <c r="AC89" i="5"/>
  <c r="AC91" i="5" s="1"/>
  <c r="AB89" i="5"/>
  <c r="AB91" i="5" s="1"/>
  <c r="AD83" i="5"/>
  <c r="AC83" i="5"/>
  <c r="AB83" i="5"/>
  <c r="AD70" i="5"/>
  <c r="AC70" i="5"/>
  <c r="AB70" i="5"/>
  <c r="AD65" i="5"/>
  <c r="AC65" i="5"/>
  <c r="AB65" i="5"/>
  <c r="AD58" i="5"/>
  <c r="AC58" i="5"/>
  <c r="AB58" i="5"/>
  <c r="AD43" i="5"/>
  <c r="AC43" i="5"/>
  <c r="AB43" i="5"/>
  <c r="AD37" i="5"/>
  <c r="AC37" i="5"/>
  <c r="AB37" i="5"/>
  <c r="AD30" i="5"/>
  <c r="AC30" i="5"/>
  <c r="AB30" i="5"/>
  <c r="AD25" i="5"/>
  <c r="AD27" i="5" s="1"/>
  <c r="AC25" i="5"/>
  <c r="AC27" i="5" s="1"/>
  <c r="AB25" i="5"/>
  <c r="AB27" i="5" s="1"/>
  <c r="AD16" i="5"/>
  <c r="AC16" i="5"/>
  <c r="AB16" i="5"/>
  <c r="AB93" i="5"/>
  <c r="AB94" i="4"/>
  <c r="AD137" i="2"/>
  <c r="AC137" i="2"/>
  <c r="AB137" i="2"/>
  <c r="AB64" i="3"/>
  <c r="AB18" i="3"/>
  <c r="AB99" i="2"/>
  <c r="AB123" i="1"/>
  <c r="AB11" i="1"/>
  <c r="AB11" i="5" s="1"/>
  <c r="AC94" i="4"/>
  <c r="AC64" i="3"/>
  <c r="AC18" i="3"/>
  <c r="AC99" i="2"/>
  <c r="AC102" i="2" s="1"/>
  <c r="AC123" i="1"/>
  <c r="AC127" i="1" s="1"/>
  <c r="AC11" i="1"/>
  <c r="AC163" i="1" s="1"/>
  <c r="AD94" i="4"/>
  <c r="AD64" i="3"/>
  <c r="AD18" i="3"/>
  <c r="AD99" i="2"/>
  <c r="AD123" i="1"/>
  <c r="AD11" i="1"/>
  <c r="AD11" i="5" s="1"/>
  <c r="AE140" i="2"/>
  <c r="AG140" i="2"/>
  <c r="AF140" i="2"/>
  <c r="AH140" i="2"/>
  <c r="AJ140" i="2"/>
  <c r="AI140" i="2"/>
  <c r="AK140" i="2"/>
  <c r="AG139" i="2"/>
  <c r="AF139" i="2"/>
  <c r="AE139" i="2"/>
  <c r="AG137" i="2"/>
  <c r="AF137" i="2"/>
  <c r="AE137" i="2"/>
  <c r="AE130" i="2"/>
  <c r="AE127" i="4"/>
  <c r="AE107" i="4"/>
  <c r="AG107" i="4"/>
  <c r="AF107" i="4"/>
  <c r="AF113" i="4"/>
  <c r="AE113" i="4"/>
  <c r="AG118" i="4"/>
  <c r="AF118" i="4"/>
  <c r="AE118" i="4"/>
  <c r="AG124" i="2"/>
  <c r="AF124" i="2"/>
  <c r="AE124" i="2"/>
  <c r="AG120" i="2"/>
  <c r="AF120" i="2"/>
  <c r="AE120" i="2"/>
  <c r="AG108" i="2"/>
  <c r="AF108" i="2"/>
  <c r="AE108" i="2"/>
  <c r="AG151" i="1"/>
  <c r="AF151" i="1"/>
  <c r="AE151" i="1"/>
  <c r="AG146" i="1"/>
  <c r="AF146" i="1"/>
  <c r="AE146" i="1"/>
  <c r="AG140" i="1"/>
  <c r="AF140" i="1"/>
  <c r="AE140" i="1"/>
  <c r="AG133" i="1"/>
  <c r="AF133" i="1"/>
  <c r="AE133" i="1"/>
  <c r="AG151" i="5"/>
  <c r="AE124" i="4"/>
  <c r="AF124" i="4"/>
  <c r="AF92" i="4"/>
  <c r="AE92" i="4"/>
  <c r="AG92" i="4"/>
  <c r="AG83" i="4"/>
  <c r="AF83" i="4"/>
  <c r="AE83" i="4"/>
  <c r="AG140" i="5"/>
  <c r="AF140" i="5"/>
  <c r="AG75" i="4"/>
  <c r="AF75" i="4"/>
  <c r="AE75" i="4"/>
  <c r="AG62" i="3"/>
  <c r="AF62" i="3"/>
  <c r="AE62" i="3"/>
  <c r="AG57" i="3"/>
  <c r="AF57" i="3"/>
  <c r="AE57" i="3"/>
  <c r="AG92" i="2"/>
  <c r="AF92" i="2"/>
  <c r="AE92" i="2"/>
  <c r="AG88" i="2"/>
  <c r="AF88" i="2"/>
  <c r="AE88" i="2"/>
  <c r="AG82" i="2"/>
  <c r="AF82" i="2"/>
  <c r="AE82" i="2"/>
  <c r="AG121" i="1"/>
  <c r="AF121" i="1"/>
  <c r="AE121" i="1"/>
  <c r="AG115" i="1"/>
  <c r="AF115" i="1"/>
  <c r="AE115" i="1"/>
  <c r="AG109" i="1"/>
  <c r="AF109" i="1"/>
  <c r="AE109" i="1"/>
  <c r="AE66" i="4"/>
  <c r="AF66" i="4"/>
  <c r="AG70" i="4"/>
  <c r="AF70" i="4"/>
  <c r="AE70" i="4"/>
  <c r="AG73" i="2"/>
  <c r="AF73" i="2"/>
  <c r="AE73" i="2"/>
  <c r="AG103" i="1"/>
  <c r="AF103" i="1"/>
  <c r="AE103" i="1"/>
  <c r="AF98" i="1"/>
  <c r="AE98" i="1"/>
  <c r="AG98" i="1"/>
  <c r="AG93" i="1"/>
  <c r="AF93" i="1"/>
  <c r="AE93" i="1"/>
  <c r="AF99" i="5"/>
  <c r="AF202" i="5" s="1"/>
  <c r="AG108" i="5"/>
  <c r="AF108" i="5"/>
  <c r="AE108" i="5"/>
  <c r="AF52" i="4"/>
  <c r="AE52" i="4"/>
  <c r="AF58" i="4"/>
  <c r="AE58" i="4"/>
  <c r="AG58" i="4"/>
  <c r="AF127" i="4"/>
  <c r="AG127" i="4"/>
  <c r="AG48" i="3"/>
  <c r="AF48" i="3"/>
  <c r="AE48" i="3"/>
  <c r="AJ108" i="5"/>
  <c r="AI108" i="5"/>
  <c r="AH108" i="5"/>
  <c r="AK133" i="2"/>
  <c r="AJ133" i="2"/>
  <c r="AI133" i="2"/>
  <c r="AH133" i="2"/>
  <c r="AJ67" i="2"/>
  <c r="AI67" i="2"/>
  <c r="AH67" i="2"/>
  <c r="AG67" i="2"/>
  <c r="AF67" i="2"/>
  <c r="AE67" i="2"/>
  <c r="AG43" i="4"/>
  <c r="AF43" i="4"/>
  <c r="AE43" i="4"/>
  <c r="AG42" i="3"/>
  <c r="AF42" i="3"/>
  <c r="AE42" i="3"/>
  <c r="AG36" i="3"/>
  <c r="AF36" i="3"/>
  <c r="AE36" i="3"/>
  <c r="AG62" i="2"/>
  <c r="AF62" i="2"/>
  <c r="AE62" i="2"/>
  <c r="AE57" i="2"/>
  <c r="AG57" i="2"/>
  <c r="AF57" i="2"/>
  <c r="AG53" i="2"/>
  <c r="AF53" i="2"/>
  <c r="AE53" i="2"/>
  <c r="AG48" i="2"/>
  <c r="AF48" i="2"/>
  <c r="AE48" i="2"/>
  <c r="AG86" i="1"/>
  <c r="AF86" i="1"/>
  <c r="AE86" i="1"/>
  <c r="AG81" i="1"/>
  <c r="AF81" i="1"/>
  <c r="AE81" i="1"/>
  <c r="AG69" i="1"/>
  <c r="AF69" i="1"/>
  <c r="AE69" i="1"/>
  <c r="AG64" i="1"/>
  <c r="AF64" i="1"/>
  <c r="AE64" i="1"/>
  <c r="AF40" i="5"/>
  <c r="AE40" i="5"/>
  <c r="AG40" i="5"/>
  <c r="AG33" i="4"/>
  <c r="AF33" i="4"/>
  <c r="AE33" i="4"/>
  <c r="AG26" i="4"/>
  <c r="AF26" i="4"/>
  <c r="AE26" i="4"/>
  <c r="AG30" i="3"/>
  <c r="AF30" i="3"/>
  <c r="AE30" i="3"/>
  <c r="AG15" i="3"/>
  <c r="AF15" i="3"/>
  <c r="AE15" i="3"/>
  <c r="AH48" i="2"/>
  <c r="AG43" i="2"/>
  <c r="AF43" i="2"/>
  <c r="AE43" i="2"/>
  <c r="AG34" i="2"/>
  <c r="AF34" i="2"/>
  <c r="AE34" i="2"/>
  <c r="AG27" i="2"/>
  <c r="AF27" i="2"/>
  <c r="AE27" i="2"/>
  <c r="AG58" i="1"/>
  <c r="AF58" i="1"/>
  <c r="AE58" i="1"/>
  <c r="AG52" i="1"/>
  <c r="AF52" i="1"/>
  <c r="AE52" i="1"/>
  <c r="AG47" i="1"/>
  <c r="AF47" i="1"/>
  <c r="AE47" i="1"/>
  <c r="AG41" i="1"/>
  <c r="AF41" i="1"/>
  <c r="AE41" i="1"/>
  <c r="AF34" i="1"/>
  <c r="AE34" i="1"/>
  <c r="AG34" i="1"/>
  <c r="AG133" i="2"/>
  <c r="AG185" i="5"/>
  <c r="AF185" i="5"/>
  <c r="AE185" i="5"/>
  <c r="AG179" i="5"/>
  <c r="AF179" i="5"/>
  <c r="AE179" i="5"/>
  <c r="AG172" i="5"/>
  <c r="AF172" i="5"/>
  <c r="AE172" i="5"/>
  <c r="AG166" i="5"/>
  <c r="AF166" i="5"/>
  <c r="AE166" i="5"/>
  <c r="AG143" i="5"/>
  <c r="AF143" i="5"/>
  <c r="AE143" i="5"/>
  <c r="AG135" i="5"/>
  <c r="AF135" i="5"/>
  <c r="AE135" i="5"/>
  <c r="AG129" i="5"/>
  <c r="AF129" i="5"/>
  <c r="AE129" i="5"/>
  <c r="AG118" i="5"/>
  <c r="AF118" i="5"/>
  <c r="AE118" i="5"/>
  <c r="AG101" i="5"/>
  <c r="AF101" i="5"/>
  <c r="AE101" i="5"/>
  <c r="AG73" i="5"/>
  <c r="AF73" i="5"/>
  <c r="AE73" i="5"/>
  <c r="AG67" i="5"/>
  <c r="AF67" i="5"/>
  <c r="AE67" i="5"/>
  <c r="AG62" i="5"/>
  <c r="AF62" i="5"/>
  <c r="AE62" i="5"/>
  <c r="AG47" i="5"/>
  <c r="AF47" i="5"/>
  <c r="AE47" i="5"/>
  <c r="AG124" i="4"/>
  <c r="AG33" i="5"/>
  <c r="AF33" i="5"/>
  <c r="AE33" i="5"/>
  <c r="AG19" i="5"/>
  <c r="AF19" i="5"/>
  <c r="AE19" i="5"/>
  <c r="AG20" i="4"/>
  <c r="AF20" i="4"/>
  <c r="AE20" i="4"/>
  <c r="AG23" i="2"/>
  <c r="AF23" i="2"/>
  <c r="AE23" i="2"/>
  <c r="AG29" i="1"/>
  <c r="AF29" i="1"/>
  <c r="AE29" i="1"/>
  <c r="AG24" i="1"/>
  <c r="AF24" i="1"/>
  <c r="AE24" i="1"/>
  <c r="AG20" i="1"/>
  <c r="AF20" i="1"/>
  <c r="AE20" i="1"/>
  <c r="AE22" i="3"/>
  <c r="AE88" i="3" s="1"/>
  <c r="AE133" i="2"/>
  <c r="AE126" i="1"/>
  <c r="AE160" i="5" s="1"/>
  <c r="AE13" i="1"/>
  <c r="AE166" i="1" s="1"/>
  <c r="AF22" i="3"/>
  <c r="AF88" i="3" s="1"/>
  <c r="AF133" i="2"/>
  <c r="AF126" i="1"/>
  <c r="AF160" i="5" s="1"/>
  <c r="AF13" i="1"/>
  <c r="AF166" i="1" s="1"/>
  <c r="AB23" i="3" l="1"/>
  <c r="AD127" i="1"/>
  <c r="AC98" i="4"/>
  <c r="AD102" i="2"/>
  <c r="AB102" i="2"/>
  <c r="AB127" i="1"/>
  <c r="AB141" i="2"/>
  <c r="AD141" i="2"/>
  <c r="AC192" i="5"/>
  <c r="AC141" i="2"/>
  <c r="AB192" i="5"/>
  <c r="AD192" i="5"/>
  <c r="AC74" i="5"/>
  <c r="AC159" i="5"/>
  <c r="AD34" i="5"/>
  <c r="AB68" i="5"/>
  <c r="AD68" i="5"/>
  <c r="AC41" i="5"/>
  <c r="AC63" i="5"/>
  <c r="AB63" i="5"/>
  <c r="AD63" i="5"/>
  <c r="AB98" i="4"/>
  <c r="AB123" i="4"/>
  <c r="AE80" i="3"/>
  <c r="AB159" i="5"/>
  <c r="AD14" i="5"/>
  <c r="AB95" i="5"/>
  <c r="AC20" i="5"/>
  <c r="AC87" i="5"/>
  <c r="AC102" i="5"/>
  <c r="AB167" i="5"/>
  <c r="AD167" i="5"/>
  <c r="AB180" i="5"/>
  <c r="AD180" i="5"/>
  <c r="AC186" i="5"/>
  <c r="AB20" i="5"/>
  <c r="AD20" i="5"/>
  <c r="AB48" i="5"/>
  <c r="AD48" i="5"/>
  <c r="AB119" i="5"/>
  <c r="AD119" i="5"/>
  <c r="AC124" i="5"/>
  <c r="AB130" i="5"/>
  <c r="AD130" i="5"/>
  <c r="AB144" i="5"/>
  <c r="AD144" i="5"/>
  <c r="AC148" i="5"/>
  <c r="AB154" i="5"/>
  <c r="AD154" i="5"/>
  <c r="AB87" i="5"/>
  <c r="AD87" i="5"/>
  <c r="AB102" i="5"/>
  <c r="AD102" i="5"/>
  <c r="AC109" i="5"/>
  <c r="AC136" i="5"/>
  <c r="AB34" i="5"/>
  <c r="AC123" i="4"/>
  <c r="AC129" i="4" s="1"/>
  <c r="AF141" i="2"/>
  <c r="AB129" i="2"/>
  <c r="AB135" i="2" s="1"/>
  <c r="AC34" i="5"/>
  <c r="AB41" i="5"/>
  <c r="AD41" i="5"/>
  <c r="AC48" i="5"/>
  <c r="AC68" i="5"/>
  <c r="AB74" i="5"/>
  <c r="AD74" i="5"/>
  <c r="AC174" i="5"/>
  <c r="AD165" i="1"/>
  <c r="AB157" i="1"/>
  <c r="AB80" i="5"/>
  <c r="AD80" i="5"/>
  <c r="AB197" i="5"/>
  <c r="AD98" i="4"/>
  <c r="AD123" i="4"/>
  <c r="AD129" i="4" s="1"/>
  <c r="AB129" i="4"/>
  <c r="AD159" i="5"/>
  <c r="AC23" i="3"/>
  <c r="AC51" i="5"/>
  <c r="AC56" i="5" s="1"/>
  <c r="AC76" i="3"/>
  <c r="AB51" i="5"/>
  <c r="AB201" i="5" s="1"/>
  <c r="AC84" i="3"/>
  <c r="AB76" i="3"/>
  <c r="AB81" i="3" s="1"/>
  <c r="AB87" i="3"/>
  <c r="AD87" i="3"/>
  <c r="AB54" i="5"/>
  <c r="AD54" i="5"/>
  <c r="AD204" i="5" s="1"/>
  <c r="AD23" i="3"/>
  <c r="AD51" i="5"/>
  <c r="AD201" i="5" s="1"/>
  <c r="AD76" i="3"/>
  <c r="AD81" i="3" s="1"/>
  <c r="AB84" i="3"/>
  <c r="AB89" i="3" s="1"/>
  <c r="AD84" i="3"/>
  <c r="AC79" i="3"/>
  <c r="AC87" i="3"/>
  <c r="AC89" i="3" s="1"/>
  <c r="AD197" i="5"/>
  <c r="AD129" i="2"/>
  <c r="AD135" i="2" s="1"/>
  <c r="AC129" i="2"/>
  <c r="AC135" i="2" s="1"/>
  <c r="AC197" i="5"/>
  <c r="AB157" i="5"/>
  <c r="AD157" i="5"/>
  <c r="AB165" i="1"/>
  <c r="AC12" i="5"/>
  <c r="AC204" i="5" s="1"/>
  <c r="AB196" i="5"/>
  <c r="AB205" i="5"/>
  <c r="AC196" i="5"/>
  <c r="AC205" i="5"/>
  <c r="AD155" i="1"/>
  <c r="AD14" i="1"/>
  <c r="AC14" i="1"/>
  <c r="AC155" i="1"/>
  <c r="AB155" i="1"/>
  <c r="AB14" i="1"/>
  <c r="AB163" i="1"/>
  <c r="AD163" i="1"/>
  <c r="AC11" i="5"/>
  <c r="AC157" i="5"/>
  <c r="AD157" i="1"/>
  <c r="AC157" i="1"/>
  <c r="AB12" i="5"/>
  <c r="AD196" i="5"/>
  <c r="AD205" i="5"/>
  <c r="AC167" i="1"/>
  <c r="AB109" i="5"/>
  <c r="AD109" i="5"/>
  <c r="AC119" i="5"/>
  <c r="AB124" i="5"/>
  <c r="AD124" i="5"/>
  <c r="AC130" i="5"/>
  <c r="AB136" i="5"/>
  <c r="AD136" i="5"/>
  <c r="AC144" i="5"/>
  <c r="AB148" i="5"/>
  <c r="AD148" i="5"/>
  <c r="AC154" i="5"/>
  <c r="AC167" i="5"/>
  <c r="AB174" i="5"/>
  <c r="AD174" i="5"/>
  <c r="AC180" i="5"/>
  <c r="AB186" i="5"/>
  <c r="AD186" i="5"/>
  <c r="AC80" i="5"/>
  <c r="AF80" i="3"/>
  <c r="AF55" i="5"/>
  <c r="AE55" i="5"/>
  <c r="AE13" i="5"/>
  <c r="AE159" i="1"/>
  <c r="AF13" i="5"/>
  <c r="AF159" i="1"/>
  <c r="AE141" i="2"/>
  <c r="AG141" i="2"/>
  <c r="AG22" i="3"/>
  <c r="AG126" i="1"/>
  <c r="AG160" i="5" s="1"/>
  <c r="AG13" i="1"/>
  <c r="AD89" i="3" l="1"/>
  <c r="AB161" i="1"/>
  <c r="AC161" i="5"/>
  <c r="AB161" i="5"/>
  <c r="AB204" i="5"/>
  <c r="AD161" i="5"/>
  <c r="AD194" i="5"/>
  <c r="AD191" i="5"/>
  <c r="AB167" i="1"/>
  <c r="AD167" i="1"/>
  <c r="AF205" i="5"/>
  <c r="AD206" i="5"/>
  <c r="AE205" i="5"/>
  <c r="AC14" i="5"/>
  <c r="AC194" i="5"/>
  <c r="AB194" i="5"/>
  <c r="AC201" i="5"/>
  <c r="AB191" i="5"/>
  <c r="AC191" i="5"/>
  <c r="AD56" i="5"/>
  <c r="AC81" i="3"/>
  <c r="AB56" i="5"/>
  <c r="AC161" i="1"/>
  <c r="AD161" i="1"/>
  <c r="AB14" i="5"/>
  <c r="AE196" i="5"/>
  <c r="AF196" i="5"/>
  <c r="AG88" i="3"/>
  <c r="AG55" i="5"/>
  <c r="AG80" i="3"/>
  <c r="AG166" i="1"/>
  <c r="AG159" i="1"/>
  <c r="AG13" i="5"/>
  <c r="AG26" i="5"/>
  <c r="AG184" i="5"/>
  <c r="AF184" i="5"/>
  <c r="AE184" i="5"/>
  <c r="AF178" i="5"/>
  <c r="AE178" i="5"/>
  <c r="AG177" i="5"/>
  <c r="AF177" i="5"/>
  <c r="AE177" i="5"/>
  <c r="AG170" i="5"/>
  <c r="AF170" i="5"/>
  <c r="AE170" i="5"/>
  <c r="AG165" i="5"/>
  <c r="AF165" i="5"/>
  <c r="AE165" i="5"/>
  <c r="AG152" i="5"/>
  <c r="AF152" i="5"/>
  <c r="AE152" i="5"/>
  <c r="AG147" i="5"/>
  <c r="AF147" i="5"/>
  <c r="AE147" i="5"/>
  <c r="AG141" i="5"/>
  <c r="AF141" i="5"/>
  <c r="AE141" i="5"/>
  <c r="AG134" i="5"/>
  <c r="AF134" i="5"/>
  <c r="AE134" i="5"/>
  <c r="AG128" i="5"/>
  <c r="AF128" i="5"/>
  <c r="AE128" i="5"/>
  <c r="AG122" i="5"/>
  <c r="AF122" i="5"/>
  <c r="AE122" i="5"/>
  <c r="AF116" i="5"/>
  <c r="AE116" i="5"/>
  <c r="AG115" i="5"/>
  <c r="AG107" i="5"/>
  <c r="AF107" i="5"/>
  <c r="AE107" i="5"/>
  <c r="AF100" i="5"/>
  <c r="AE100" i="5"/>
  <c r="AG99" i="5"/>
  <c r="AG202" i="5" s="1"/>
  <c r="AG94" i="5"/>
  <c r="AG95" i="5" s="1"/>
  <c r="AF94" i="5"/>
  <c r="AF95" i="5" s="1"/>
  <c r="AE94" i="5"/>
  <c r="AE95" i="5" s="1"/>
  <c r="AG85" i="5"/>
  <c r="AF85" i="5"/>
  <c r="AE85" i="5"/>
  <c r="AG78" i="5"/>
  <c r="AF78" i="5"/>
  <c r="AE78" i="5"/>
  <c r="AG72" i="5"/>
  <c r="AF72" i="5"/>
  <c r="AE72" i="5"/>
  <c r="AH72" i="5"/>
  <c r="AG66" i="5"/>
  <c r="AF66" i="5"/>
  <c r="AE66" i="5"/>
  <c r="AG61" i="5"/>
  <c r="AF61" i="5"/>
  <c r="AE61" i="5"/>
  <c r="AG45" i="5"/>
  <c r="AF45" i="5"/>
  <c r="AE45" i="5"/>
  <c r="AG39" i="5"/>
  <c r="AF39" i="5"/>
  <c r="AE39" i="5"/>
  <c r="AG32" i="5"/>
  <c r="AF32" i="5"/>
  <c r="AE32" i="5"/>
  <c r="AG18" i="5"/>
  <c r="AF18" i="5"/>
  <c r="AE18" i="5"/>
  <c r="AE96" i="4"/>
  <c r="AE125" i="4" s="1"/>
  <c r="AE21" i="3"/>
  <c r="AE87" i="3" s="1"/>
  <c r="AE101" i="2"/>
  <c r="AE112" i="2"/>
  <c r="AE125" i="1"/>
  <c r="AE12" i="1"/>
  <c r="AE165" i="1" s="1"/>
  <c r="AF96" i="4"/>
  <c r="AF125" i="4" s="1"/>
  <c r="AF21" i="3"/>
  <c r="AF87" i="3" s="1"/>
  <c r="AF112" i="2"/>
  <c r="AF101" i="2"/>
  <c r="AF125" i="1"/>
  <c r="AF12" i="1"/>
  <c r="AF165" i="1" s="1"/>
  <c r="AG65" i="4"/>
  <c r="AG96" i="4"/>
  <c r="AG111" i="4"/>
  <c r="AG113" i="4" s="1"/>
  <c r="AG50" i="4"/>
  <c r="AG134" i="4" s="1"/>
  <c r="AG13" i="4"/>
  <c r="AG14" i="4" s="1"/>
  <c r="AG21" i="3"/>
  <c r="AG87" i="3" s="1"/>
  <c r="AG112" i="2"/>
  <c r="AH112" i="2"/>
  <c r="AG101" i="2"/>
  <c r="AH101" i="2"/>
  <c r="AG125" i="1"/>
  <c r="AG12" i="1"/>
  <c r="AG165" i="1" s="1"/>
  <c r="AF131" i="2" l="1"/>
  <c r="AG131" i="2"/>
  <c r="AE159" i="5"/>
  <c r="AB206" i="5"/>
  <c r="AD198" i="5"/>
  <c r="AG115" i="2"/>
  <c r="AF115" i="2"/>
  <c r="AG136" i="4"/>
  <c r="AE115" i="2"/>
  <c r="AC206" i="5"/>
  <c r="AG159" i="5"/>
  <c r="AB198" i="5"/>
  <c r="AC198" i="5"/>
  <c r="AG79" i="3"/>
  <c r="AE131" i="2"/>
  <c r="AE192" i="5"/>
  <c r="AF192" i="5"/>
  <c r="AG52" i="4"/>
  <c r="AG100" i="5"/>
  <c r="AG125" i="4"/>
  <c r="AG66" i="4"/>
  <c r="AG116" i="5"/>
  <c r="AG178" i="5"/>
  <c r="AF79" i="3"/>
  <c r="AE79" i="3"/>
  <c r="AF54" i="5"/>
  <c r="AE54" i="5"/>
  <c r="AG54" i="5"/>
  <c r="AE171" i="5"/>
  <c r="AG171" i="5"/>
  <c r="AF159" i="5"/>
  <c r="AF171" i="5"/>
  <c r="AF157" i="1"/>
  <c r="AE157" i="1"/>
  <c r="AF12" i="5"/>
  <c r="AG157" i="1"/>
  <c r="AE12" i="5"/>
  <c r="AG12" i="5"/>
  <c r="AG196" i="5"/>
  <c r="AG205" i="5"/>
  <c r="AG192" i="5"/>
  <c r="AH124" i="4"/>
  <c r="AM124" i="4"/>
  <c r="AM125" i="4"/>
  <c r="AN124" i="4"/>
  <c r="AI124" i="4"/>
  <c r="AG130" i="2"/>
  <c r="AF130" i="2"/>
  <c r="AH130" i="2"/>
  <c r="AG173" i="5"/>
  <c r="AF173" i="5"/>
  <c r="AE173" i="5"/>
  <c r="AG79" i="5"/>
  <c r="AG80" i="5" s="1"/>
  <c r="AF79" i="5"/>
  <c r="AF80" i="5" s="1"/>
  <c r="AE79" i="5"/>
  <c r="AE80" i="5" s="1"/>
  <c r="AG46" i="5"/>
  <c r="AG195" i="5" s="1"/>
  <c r="AF46" i="5"/>
  <c r="AF195" i="5" s="1"/>
  <c r="AE46" i="5"/>
  <c r="AE195" i="5" s="1"/>
  <c r="AG128" i="4"/>
  <c r="AF128" i="4"/>
  <c r="AE128" i="4"/>
  <c r="AG134" i="2"/>
  <c r="AF134" i="2"/>
  <c r="AE134" i="2"/>
  <c r="AG132" i="2"/>
  <c r="AF132" i="2"/>
  <c r="AE132" i="2"/>
  <c r="AG160" i="1"/>
  <c r="AF160" i="1"/>
  <c r="AE160" i="1"/>
  <c r="AG158" i="1"/>
  <c r="AF158" i="1"/>
  <c r="AE158" i="1"/>
  <c r="AG182" i="5"/>
  <c r="AG186" i="5" s="1"/>
  <c r="AF182" i="5"/>
  <c r="AF186" i="5" s="1"/>
  <c r="AE182" i="5"/>
  <c r="AE186" i="5" s="1"/>
  <c r="AG176" i="5"/>
  <c r="AF176" i="5"/>
  <c r="AF180" i="5" s="1"/>
  <c r="AE176" i="5"/>
  <c r="AE180" i="5" s="1"/>
  <c r="AG169" i="5"/>
  <c r="AF169" i="5"/>
  <c r="AE169" i="5"/>
  <c r="AG163" i="5"/>
  <c r="AG167" i="5" s="1"/>
  <c r="AF163" i="5"/>
  <c r="AF167" i="5" s="1"/>
  <c r="AE163" i="5"/>
  <c r="AE167" i="5" s="1"/>
  <c r="AG150" i="5"/>
  <c r="AG154" i="5" s="1"/>
  <c r="AF150" i="5"/>
  <c r="AF154" i="5" s="1"/>
  <c r="AE150" i="5"/>
  <c r="AE154" i="5" s="1"/>
  <c r="AG146" i="5"/>
  <c r="AG148" i="5" s="1"/>
  <c r="AF146" i="5"/>
  <c r="AF148" i="5" s="1"/>
  <c r="AE146" i="5"/>
  <c r="AE148" i="5" s="1"/>
  <c r="AG139" i="5"/>
  <c r="AG144" i="5" s="1"/>
  <c r="AF139" i="5"/>
  <c r="AF144" i="5" s="1"/>
  <c r="AE139" i="5"/>
  <c r="AE144" i="5" s="1"/>
  <c r="AG132" i="5"/>
  <c r="AG136" i="5" s="1"/>
  <c r="AF132" i="5"/>
  <c r="AF136" i="5" s="1"/>
  <c r="AE132" i="5"/>
  <c r="AE136" i="5" s="1"/>
  <c r="AG126" i="5"/>
  <c r="AG130" i="5" s="1"/>
  <c r="AF126" i="5"/>
  <c r="AF130" i="5" s="1"/>
  <c r="AE126" i="5"/>
  <c r="AE130" i="5" s="1"/>
  <c r="AG121" i="5"/>
  <c r="AG124" i="5" s="1"/>
  <c r="AF121" i="5"/>
  <c r="AF124" i="5" s="1"/>
  <c r="AE121" i="5"/>
  <c r="AE124" i="5" s="1"/>
  <c r="AG114" i="5"/>
  <c r="AF114" i="5"/>
  <c r="AF119" i="5" s="1"/>
  <c r="AE114" i="5"/>
  <c r="AE119" i="5" s="1"/>
  <c r="AG105" i="5"/>
  <c r="AG109" i="5" s="1"/>
  <c r="AF105" i="5"/>
  <c r="AF109" i="5" s="1"/>
  <c r="AE105" i="5"/>
  <c r="AE109" i="5" s="1"/>
  <c r="AG98" i="5"/>
  <c r="AF98" i="5"/>
  <c r="AF102" i="5" s="1"/>
  <c r="AE98" i="5"/>
  <c r="AE102" i="5" s="1"/>
  <c r="AG89" i="5"/>
  <c r="AG91" i="5" s="1"/>
  <c r="AF89" i="5"/>
  <c r="AF91" i="5" s="1"/>
  <c r="AE89" i="5"/>
  <c r="AE91" i="5" s="1"/>
  <c r="AG83" i="5"/>
  <c r="AG87" i="5" s="1"/>
  <c r="AF83" i="5"/>
  <c r="AF87" i="5" s="1"/>
  <c r="AE83" i="5"/>
  <c r="AE87" i="5" s="1"/>
  <c r="AG70" i="5"/>
  <c r="AG74" i="5" s="1"/>
  <c r="AF70" i="5"/>
  <c r="AF74" i="5" s="1"/>
  <c r="AE70" i="5"/>
  <c r="AE74" i="5" s="1"/>
  <c r="AG65" i="5"/>
  <c r="AG68" i="5" s="1"/>
  <c r="AF65" i="5"/>
  <c r="AF68" i="5" s="1"/>
  <c r="AE65" i="5"/>
  <c r="AE68" i="5" s="1"/>
  <c r="AG58" i="5"/>
  <c r="AG63" i="5" s="1"/>
  <c r="AF58" i="5"/>
  <c r="AF63" i="5" s="1"/>
  <c r="AE58" i="5"/>
  <c r="AE63" i="5" s="1"/>
  <c r="AG43" i="5"/>
  <c r="AG48" i="5" s="1"/>
  <c r="AF43" i="5"/>
  <c r="AF48" i="5" s="1"/>
  <c r="AE43" i="5"/>
  <c r="AE48" i="5" s="1"/>
  <c r="AG37" i="5"/>
  <c r="AG41" i="5" s="1"/>
  <c r="AF37" i="5"/>
  <c r="AF41" i="5" s="1"/>
  <c r="AE37" i="5"/>
  <c r="AE41" i="5" s="1"/>
  <c r="AG30" i="5"/>
  <c r="AG34" i="5" s="1"/>
  <c r="AF30" i="5"/>
  <c r="AF34" i="5" s="1"/>
  <c r="AE30" i="5"/>
  <c r="AE34" i="5" s="1"/>
  <c r="AG25" i="5"/>
  <c r="AG27" i="5" s="1"/>
  <c r="AF25" i="5"/>
  <c r="AF27" i="5" s="1"/>
  <c r="AE25" i="5"/>
  <c r="AE27" i="5" s="1"/>
  <c r="AG16" i="5"/>
  <c r="AG20" i="5" s="1"/>
  <c r="AF16" i="5"/>
  <c r="AF20" i="5" s="1"/>
  <c r="AE16" i="5"/>
  <c r="AE20" i="5" s="1"/>
  <c r="AE94" i="4"/>
  <c r="AE98" i="4" s="1"/>
  <c r="AE64" i="3"/>
  <c r="AE18" i="3"/>
  <c r="AE51" i="5" s="1"/>
  <c r="AE99" i="2"/>
  <c r="AE102" i="2" s="1"/>
  <c r="AE123" i="1"/>
  <c r="AE127" i="1" s="1"/>
  <c r="AE11" i="1"/>
  <c r="AF94" i="4"/>
  <c r="AF18" i="3"/>
  <c r="AF64" i="3"/>
  <c r="AF99" i="2"/>
  <c r="AF123" i="1"/>
  <c r="AF127" i="1" s="1"/>
  <c r="AF11" i="1"/>
  <c r="AF11" i="5" s="1"/>
  <c r="AE204" i="5" l="1"/>
  <c r="AE174" i="5"/>
  <c r="AG119" i="5"/>
  <c r="AG174" i="5"/>
  <c r="AG180" i="5"/>
  <c r="AF194" i="5"/>
  <c r="AE194" i="5"/>
  <c r="AE56" i="5"/>
  <c r="AG204" i="5"/>
  <c r="AG102" i="5"/>
  <c r="AG194" i="5"/>
  <c r="AE123" i="4"/>
  <c r="AE129" i="4" s="1"/>
  <c r="AF174" i="5"/>
  <c r="AF204" i="5"/>
  <c r="AE155" i="1"/>
  <c r="AE161" i="1" s="1"/>
  <c r="AF123" i="4"/>
  <c r="AF129" i="4" s="1"/>
  <c r="AF98" i="4"/>
  <c r="AE76" i="3"/>
  <c r="AE81" i="3" s="1"/>
  <c r="AE84" i="3"/>
  <c r="AE89" i="3" s="1"/>
  <c r="AE23" i="3"/>
  <c r="AF76" i="3"/>
  <c r="AF81" i="3" s="1"/>
  <c r="AF23" i="3"/>
  <c r="AF84" i="3"/>
  <c r="AF89" i="3" s="1"/>
  <c r="AF51" i="5"/>
  <c r="AF56" i="5" s="1"/>
  <c r="AE197" i="5"/>
  <c r="AG197" i="5"/>
  <c r="AF129" i="2"/>
  <c r="AF135" i="2" s="1"/>
  <c r="AF102" i="2"/>
  <c r="AE129" i="2"/>
  <c r="AE135" i="2" s="1"/>
  <c r="AE157" i="5"/>
  <c r="AE161" i="5" s="1"/>
  <c r="AF155" i="1"/>
  <c r="AF161" i="1" s="1"/>
  <c r="AF14" i="1"/>
  <c r="AF163" i="1"/>
  <c r="AE163" i="1"/>
  <c r="AE14" i="1"/>
  <c r="AE11" i="5"/>
  <c r="AE14" i="5" s="1"/>
  <c r="AF157" i="5"/>
  <c r="AF161" i="5" s="1"/>
  <c r="AF197" i="5"/>
  <c r="AF14" i="5"/>
  <c r="AG94" i="4"/>
  <c r="AG64" i="3"/>
  <c r="AG18" i="3"/>
  <c r="AG99" i="2"/>
  <c r="AG123" i="1"/>
  <c r="AG11" i="1"/>
  <c r="AF167" i="1" l="1"/>
  <c r="AE167" i="1"/>
  <c r="AE191" i="5"/>
  <c r="AE198" i="5" s="1"/>
  <c r="AF191" i="5"/>
  <c r="AF198" i="5" s="1"/>
  <c r="AF201" i="5"/>
  <c r="AG123" i="4"/>
  <c r="AG129" i="4" s="1"/>
  <c r="AG98" i="4"/>
  <c r="AG76" i="3"/>
  <c r="AG81" i="3" s="1"/>
  <c r="AG84" i="3"/>
  <c r="AG89" i="3" s="1"/>
  <c r="AG23" i="3"/>
  <c r="AG51" i="5"/>
  <c r="AG56" i="5" s="1"/>
  <c r="AG129" i="2"/>
  <c r="AG135" i="2" s="1"/>
  <c r="AG102" i="2"/>
  <c r="AE201" i="5"/>
  <c r="AG155" i="1"/>
  <c r="AG161" i="1" s="1"/>
  <c r="AG163" i="1"/>
  <c r="AG14" i="1"/>
  <c r="AG11" i="5"/>
  <c r="AG127" i="1"/>
  <c r="AG157" i="5"/>
  <c r="AG161" i="5" s="1"/>
  <c r="AQ166" i="1"/>
  <c r="AR166" i="1"/>
  <c r="AR165" i="1"/>
  <c r="AS166" i="1"/>
  <c r="AS165" i="1"/>
  <c r="AT166" i="1"/>
  <c r="AU166" i="1"/>
  <c r="AV165" i="1"/>
  <c r="AW165" i="1"/>
  <c r="AE206" i="5" l="1"/>
  <c r="AF206" i="5"/>
  <c r="AG167" i="1"/>
  <c r="AG201" i="5"/>
  <c r="AG191" i="5"/>
  <c r="AG198" i="5" s="1"/>
  <c r="AG14" i="5"/>
  <c r="AM62" i="1"/>
  <c r="AG206" i="5" l="1"/>
  <c r="AH13" i="4"/>
  <c r="AH14" i="4" s="1"/>
  <c r="AV114" i="5" l="1"/>
  <c r="AU114" i="5"/>
  <c r="AT114" i="5"/>
  <c r="AS114" i="5"/>
  <c r="AR114" i="5"/>
  <c r="AQ114" i="5"/>
  <c r="AW114" i="5"/>
  <c r="AW185" i="5"/>
  <c r="AV185" i="5"/>
  <c r="AU185" i="5"/>
  <c r="AT185" i="5"/>
  <c r="AS185" i="5"/>
  <c r="AR185" i="5"/>
  <c r="AQ185" i="5"/>
  <c r="AP185" i="5"/>
  <c r="AO185" i="5"/>
  <c r="AN185" i="5"/>
  <c r="AM185" i="5"/>
  <c r="AL185" i="5"/>
  <c r="AK185" i="5"/>
  <c r="AJ185" i="5"/>
  <c r="AI185" i="5"/>
  <c r="AH185" i="5"/>
  <c r="AW184" i="5"/>
  <c r="AV184" i="5"/>
  <c r="AU184" i="5"/>
  <c r="AT184" i="5"/>
  <c r="AS184" i="5"/>
  <c r="AR184" i="5"/>
  <c r="AQ184" i="5"/>
  <c r="AP184" i="5"/>
  <c r="AO184" i="5"/>
  <c r="AN184" i="5"/>
  <c r="AM184" i="5"/>
  <c r="AL184" i="5"/>
  <c r="AK184" i="5"/>
  <c r="AJ184" i="5"/>
  <c r="AI184" i="5"/>
  <c r="AH184" i="5"/>
  <c r="AS183" i="5"/>
  <c r="AR183" i="5"/>
  <c r="AQ183" i="5"/>
  <c r="AP183" i="5"/>
  <c r="AO183" i="5"/>
  <c r="AN183" i="5"/>
  <c r="AM183" i="5"/>
  <c r="AL183" i="5"/>
  <c r="AK183" i="5"/>
  <c r="AJ183" i="5"/>
  <c r="AW182" i="5"/>
  <c r="AV182" i="5"/>
  <c r="AU182" i="5"/>
  <c r="AT182" i="5"/>
  <c r="AS182" i="5"/>
  <c r="AR182" i="5"/>
  <c r="AQ182" i="5"/>
  <c r="AP182" i="5"/>
  <c r="AO182" i="5"/>
  <c r="AN182" i="5"/>
  <c r="AM182" i="5"/>
  <c r="AL182" i="5"/>
  <c r="AK182" i="5"/>
  <c r="AJ182" i="5"/>
  <c r="AI182" i="5"/>
  <c r="AH182" i="5"/>
  <c r="AW179" i="5"/>
  <c r="AV179" i="5"/>
  <c r="AU179" i="5"/>
  <c r="AT179" i="5"/>
  <c r="AS179" i="5"/>
  <c r="AR179" i="5"/>
  <c r="AQ179" i="5"/>
  <c r="AP179" i="5"/>
  <c r="AO179" i="5"/>
  <c r="AN179" i="5"/>
  <c r="AM179" i="5"/>
  <c r="AL179" i="5"/>
  <c r="AK179" i="5"/>
  <c r="AJ179" i="5"/>
  <c r="AI179" i="5"/>
  <c r="AH179" i="5"/>
  <c r="AW178" i="5"/>
  <c r="AV178" i="5"/>
  <c r="AU178" i="5"/>
  <c r="AT178" i="5"/>
  <c r="AS178" i="5"/>
  <c r="AR178" i="5"/>
  <c r="AQ178" i="5"/>
  <c r="AP178" i="5"/>
  <c r="AO178" i="5"/>
  <c r="AN178" i="5"/>
  <c r="AM178" i="5"/>
  <c r="AL178" i="5"/>
  <c r="AK178" i="5"/>
  <c r="AJ178" i="5"/>
  <c r="AW177" i="5"/>
  <c r="AV177" i="5"/>
  <c r="AU177" i="5"/>
  <c r="AT177" i="5"/>
  <c r="AS177" i="5"/>
  <c r="AR177" i="5"/>
  <c r="AQ177" i="5"/>
  <c r="AP177" i="5"/>
  <c r="AO177" i="5"/>
  <c r="AN177" i="5"/>
  <c r="AM177" i="5"/>
  <c r="AL177" i="5"/>
  <c r="AK177" i="5"/>
  <c r="AJ177" i="5"/>
  <c r="AI177" i="5"/>
  <c r="AH177" i="5"/>
  <c r="AV176" i="5"/>
  <c r="AU176" i="5"/>
  <c r="AT176" i="5"/>
  <c r="AS176" i="5"/>
  <c r="AR176" i="5"/>
  <c r="AQ176" i="5"/>
  <c r="AP176" i="5"/>
  <c r="AO176" i="5"/>
  <c r="AN176" i="5"/>
  <c r="AM176" i="5"/>
  <c r="AL176" i="5"/>
  <c r="AK176" i="5"/>
  <c r="AJ176" i="5"/>
  <c r="AI176" i="5"/>
  <c r="AH176" i="5"/>
  <c r="AW173" i="5"/>
  <c r="AV173" i="5"/>
  <c r="AU173" i="5"/>
  <c r="AT173" i="5"/>
  <c r="AS173" i="5"/>
  <c r="AR173" i="5"/>
  <c r="AQ173" i="5"/>
  <c r="AP173" i="5"/>
  <c r="AO173" i="5"/>
  <c r="AN173" i="5"/>
  <c r="AM173" i="5"/>
  <c r="AL173" i="5"/>
  <c r="AK173" i="5"/>
  <c r="AJ173" i="5"/>
  <c r="AI173" i="5"/>
  <c r="AW172" i="5"/>
  <c r="AV172" i="5"/>
  <c r="AU172" i="5"/>
  <c r="AT172" i="5"/>
  <c r="AS172" i="5"/>
  <c r="AR172" i="5"/>
  <c r="AQ172" i="5"/>
  <c r="AP172" i="5"/>
  <c r="AO172" i="5"/>
  <c r="AN172" i="5"/>
  <c r="AM172" i="5"/>
  <c r="AL172" i="5"/>
  <c r="AK172" i="5"/>
  <c r="AJ172" i="5"/>
  <c r="AI172" i="5"/>
  <c r="AH173" i="5"/>
  <c r="AH172" i="5"/>
  <c r="AW171" i="5"/>
  <c r="AV171" i="5"/>
  <c r="AU171" i="5"/>
  <c r="AT171" i="5"/>
  <c r="AS171" i="5"/>
  <c r="AR171" i="5"/>
  <c r="AQ171" i="5"/>
  <c r="AP171" i="5"/>
  <c r="AO171" i="5"/>
  <c r="AN171" i="5"/>
  <c r="AM171" i="5"/>
  <c r="AL171" i="5"/>
  <c r="AK171" i="5"/>
  <c r="AJ171" i="5"/>
  <c r="AW170" i="5"/>
  <c r="AV170" i="5"/>
  <c r="AU170" i="5"/>
  <c r="AT170" i="5"/>
  <c r="AS170" i="5"/>
  <c r="AR170" i="5"/>
  <c r="AQ170" i="5"/>
  <c r="AP170" i="5"/>
  <c r="AO170" i="5"/>
  <c r="AN170" i="5"/>
  <c r="AM170" i="5"/>
  <c r="AL170" i="5"/>
  <c r="AK170" i="5"/>
  <c r="AJ170" i="5"/>
  <c r="AI170" i="5"/>
  <c r="AH170" i="5"/>
  <c r="AW169" i="5"/>
  <c r="AV169" i="5"/>
  <c r="AU169" i="5"/>
  <c r="AT169" i="5"/>
  <c r="AS169" i="5"/>
  <c r="AR169" i="5"/>
  <c r="AQ169" i="5"/>
  <c r="AP169" i="5"/>
  <c r="AO169" i="5"/>
  <c r="AN169" i="5"/>
  <c r="AM169" i="5"/>
  <c r="AL169" i="5"/>
  <c r="AK169" i="5"/>
  <c r="AJ169" i="5"/>
  <c r="AI169" i="5"/>
  <c r="AH169" i="5"/>
  <c r="AH186" i="5" l="1"/>
  <c r="AL186" i="5"/>
  <c r="AP186" i="5"/>
  <c r="AT186" i="5"/>
  <c r="AK186" i="5"/>
  <c r="AO186" i="5"/>
  <c r="AS186" i="5"/>
  <c r="AW186" i="5"/>
  <c r="AJ186" i="5"/>
  <c r="AN186" i="5"/>
  <c r="AR186" i="5"/>
  <c r="AV186" i="5"/>
  <c r="AI186" i="5"/>
  <c r="AM186" i="5"/>
  <c r="AQ186" i="5"/>
  <c r="AU186" i="5"/>
  <c r="AJ180" i="5"/>
  <c r="AL180" i="5"/>
  <c r="AN180" i="5"/>
  <c r="AP180" i="5"/>
  <c r="AR180" i="5"/>
  <c r="AT180" i="5"/>
  <c r="AV180" i="5"/>
  <c r="AK174" i="5"/>
  <c r="AM174" i="5"/>
  <c r="AO174" i="5"/>
  <c r="AQ174" i="5"/>
  <c r="AS174" i="5"/>
  <c r="AU174" i="5"/>
  <c r="AW174" i="5"/>
  <c r="AK180" i="5"/>
  <c r="AM180" i="5"/>
  <c r="AO180" i="5"/>
  <c r="AQ180" i="5"/>
  <c r="AS180" i="5"/>
  <c r="AU180" i="5"/>
  <c r="AJ174" i="5"/>
  <c r="AL174" i="5"/>
  <c r="AN174" i="5"/>
  <c r="AP174" i="5"/>
  <c r="AR174" i="5"/>
  <c r="AT174" i="5"/>
  <c r="AV174" i="5"/>
  <c r="AW166" i="5"/>
  <c r="AV166" i="5"/>
  <c r="AU166" i="5"/>
  <c r="AT166" i="5"/>
  <c r="AS166" i="5"/>
  <c r="AR166" i="5"/>
  <c r="AQ166" i="5"/>
  <c r="AP166" i="5"/>
  <c r="AO166" i="5"/>
  <c r="AN166" i="5"/>
  <c r="AM166" i="5"/>
  <c r="AL166" i="5"/>
  <c r="AK166" i="5"/>
  <c r="AJ166" i="5"/>
  <c r="AI166" i="5"/>
  <c r="AH166" i="5"/>
  <c r="AV165" i="5"/>
  <c r="AU165" i="5"/>
  <c r="AT165" i="5"/>
  <c r="AS165" i="5"/>
  <c r="AR165" i="5"/>
  <c r="AQ165" i="5"/>
  <c r="AP165" i="5"/>
  <c r="AO165" i="5"/>
  <c r="AN165" i="5"/>
  <c r="AM165" i="5"/>
  <c r="AL165" i="5"/>
  <c r="AK165" i="5"/>
  <c r="AJ165" i="5"/>
  <c r="AI165" i="5"/>
  <c r="AH165" i="5"/>
  <c r="AT164" i="5"/>
  <c r="AS164" i="5"/>
  <c r="AR164" i="5"/>
  <c r="AQ164" i="5"/>
  <c r="AP164" i="5"/>
  <c r="AO164" i="5"/>
  <c r="AN164" i="5"/>
  <c r="AM164" i="5"/>
  <c r="AW163" i="5"/>
  <c r="AV163" i="5"/>
  <c r="AU163" i="5"/>
  <c r="AT163" i="5"/>
  <c r="AS163" i="5"/>
  <c r="AR163" i="5"/>
  <c r="AQ163" i="5"/>
  <c r="AP163" i="5"/>
  <c r="AO163" i="5"/>
  <c r="AN163" i="5"/>
  <c r="AM163" i="5"/>
  <c r="AL163" i="5"/>
  <c r="AK163" i="5"/>
  <c r="AJ163" i="5"/>
  <c r="AI163" i="5"/>
  <c r="AH163" i="5"/>
  <c r="AW160" i="5"/>
  <c r="AV160" i="5"/>
  <c r="AU160" i="5"/>
  <c r="AT160" i="5"/>
  <c r="AS160" i="5"/>
  <c r="AR160" i="5"/>
  <c r="AQ160" i="5"/>
  <c r="AP160" i="5"/>
  <c r="AO160" i="5"/>
  <c r="AN160" i="5"/>
  <c r="AM160" i="5"/>
  <c r="AW159" i="5"/>
  <c r="AV159" i="5"/>
  <c r="AU159" i="5"/>
  <c r="AT159" i="5"/>
  <c r="AS159" i="5"/>
  <c r="AR159" i="5"/>
  <c r="AQ159" i="5"/>
  <c r="AP159" i="5"/>
  <c r="AO159" i="5"/>
  <c r="AN159" i="5"/>
  <c r="AM159" i="5"/>
  <c r="AW158" i="5"/>
  <c r="AV158" i="5"/>
  <c r="AU158" i="5"/>
  <c r="AT158" i="5"/>
  <c r="AS158" i="5"/>
  <c r="AR158" i="5"/>
  <c r="AQ158" i="5"/>
  <c r="AP158" i="5"/>
  <c r="AO158" i="5"/>
  <c r="AN158" i="5"/>
  <c r="AM158" i="5"/>
  <c r="AW157" i="5"/>
  <c r="AV157" i="5"/>
  <c r="AU157" i="5"/>
  <c r="AT157" i="5"/>
  <c r="AS157" i="5"/>
  <c r="AR157" i="5"/>
  <c r="AQ157" i="5"/>
  <c r="AP157" i="5"/>
  <c r="AO157" i="5"/>
  <c r="AN157" i="5"/>
  <c r="AM157" i="5"/>
  <c r="AW153" i="5"/>
  <c r="AV153" i="5"/>
  <c r="AU153" i="5"/>
  <c r="AT153" i="5"/>
  <c r="AS153" i="5"/>
  <c r="AR153" i="5"/>
  <c r="AQ153" i="5"/>
  <c r="AP153" i="5"/>
  <c r="AO153" i="5"/>
  <c r="AN153" i="5"/>
  <c r="AM153" i="5"/>
  <c r="AL153" i="5"/>
  <c r="AK153" i="5"/>
  <c r="AJ153" i="5"/>
  <c r="AW152" i="5"/>
  <c r="AV152" i="5"/>
  <c r="AU152" i="5"/>
  <c r="AT152" i="5"/>
  <c r="AS152" i="5"/>
  <c r="AR152" i="5"/>
  <c r="AQ152" i="5"/>
  <c r="AP152" i="5"/>
  <c r="AO152" i="5"/>
  <c r="AN152" i="5"/>
  <c r="AM152" i="5"/>
  <c r="AL152" i="5"/>
  <c r="AK152" i="5"/>
  <c r="AJ152" i="5"/>
  <c r="AV151" i="5"/>
  <c r="AU151" i="5"/>
  <c r="AT151" i="5"/>
  <c r="AS151" i="5"/>
  <c r="AR151" i="5"/>
  <c r="AQ151" i="5"/>
  <c r="AP151" i="5"/>
  <c r="AO151" i="5"/>
  <c r="AN151" i="5"/>
  <c r="AM151" i="5"/>
  <c r="AL151" i="5"/>
  <c r="AK151" i="5"/>
  <c r="AJ151" i="5"/>
  <c r="AI151" i="5"/>
  <c r="AH151" i="5"/>
  <c r="AW150" i="5"/>
  <c r="AV150" i="5"/>
  <c r="AU150" i="5"/>
  <c r="AT150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W147" i="5"/>
  <c r="AV147" i="5"/>
  <c r="AU147" i="5"/>
  <c r="AT147" i="5"/>
  <c r="AS147" i="5"/>
  <c r="AR147" i="5"/>
  <c r="AQ147" i="5"/>
  <c r="AP147" i="5"/>
  <c r="AO147" i="5"/>
  <c r="AN147" i="5"/>
  <c r="AM147" i="5"/>
  <c r="AL147" i="5"/>
  <c r="AK147" i="5"/>
  <c r="AJ147" i="5"/>
  <c r="AI147" i="5"/>
  <c r="AW146" i="5"/>
  <c r="AV146" i="5"/>
  <c r="AU146" i="5"/>
  <c r="AT146" i="5"/>
  <c r="AS146" i="5"/>
  <c r="AR146" i="5"/>
  <c r="AQ146" i="5"/>
  <c r="AP146" i="5"/>
  <c r="AO146" i="5"/>
  <c r="AN146" i="5"/>
  <c r="AM146" i="5"/>
  <c r="AL146" i="5"/>
  <c r="AK146" i="5"/>
  <c r="AJ146" i="5"/>
  <c r="AI146" i="5"/>
  <c r="AH146" i="5"/>
  <c r="AH147" i="5"/>
  <c r="AW143" i="5"/>
  <c r="AV143" i="5"/>
  <c r="AU143" i="5"/>
  <c r="AT143" i="5"/>
  <c r="AS143" i="5"/>
  <c r="AR143" i="5"/>
  <c r="AQ143" i="5"/>
  <c r="AP143" i="5"/>
  <c r="AO143" i="5"/>
  <c r="AN143" i="5"/>
  <c r="AM143" i="5"/>
  <c r="AL143" i="5"/>
  <c r="AK143" i="5"/>
  <c r="AJ143" i="5"/>
  <c r="AI143" i="5"/>
  <c r="AH143" i="5"/>
  <c r="AW142" i="5"/>
  <c r="AV142" i="5"/>
  <c r="AU142" i="5"/>
  <c r="AT142" i="5"/>
  <c r="AS142" i="5"/>
  <c r="AR142" i="5"/>
  <c r="AQ142" i="5"/>
  <c r="AP142" i="5"/>
  <c r="AO142" i="5"/>
  <c r="AW141" i="5"/>
  <c r="AV141" i="5"/>
  <c r="AU141" i="5"/>
  <c r="AT141" i="5"/>
  <c r="AS141" i="5"/>
  <c r="AR141" i="5"/>
  <c r="AQ141" i="5"/>
  <c r="AP141" i="5"/>
  <c r="AO141" i="5"/>
  <c r="AN141" i="5"/>
  <c r="AM141" i="5"/>
  <c r="AL141" i="5"/>
  <c r="AK141" i="5"/>
  <c r="AJ141" i="5"/>
  <c r="AI141" i="5"/>
  <c r="AH141" i="5"/>
  <c r="AU140" i="5"/>
  <c r="AT140" i="5"/>
  <c r="AS140" i="5"/>
  <c r="AR140" i="5"/>
  <c r="AQ140" i="5"/>
  <c r="AP140" i="5"/>
  <c r="AO140" i="5"/>
  <c r="AN140" i="5"/>
  <c r="AM140" i="5"/>
  <c r="AL140" i="5"/>
  <c r="AK140" i="5"/>
  <c r="AJ140" i="5"/>
  <c r="AI140" i="5"/>
  <c r="AH140" i="5"/>
  <c r="AV139" i="5"/>
  <c r="AU139" i="5"/>
  <c r="AT139" i="5"/>
  <c r="AS139" i="5"/>
  <c r="AR139" i="5"/>
  <c r="AQ139" i="5"/>
  <c r="AP139" i="5"/>
  <c r="AO139" i="5"/>
  <c r="AN139" i="5"/>
  <c r="AM139" i="5"/>
  <c r="AL139" i="5"/>
  <c r="AK139" i="5"/>
  <c r="AJ139" i="5"/>
  <c r="AI139" i="5"/>
  <c r="AH139" i="5"/>
  <c r="AW135" i="5"/>
  <c r="AV135" i="5"/>
  <c r="AU135" i="5"/>
  <c r="AT135" i="5"/>
  <c r="AS135" i="5"/>
  <c r="AR135" i="5"/>
  <c r="AQ135" i="5"/>
  <c r="AP135" i="5"/>
  <c r="AO135" i="5"/>
  <c r="AN135" i="5"/>
  <c r="AM135" i="5"/>
  <c r="AL135" i="5"/>
  <c r="AK135" i="5"/>
  <c r="AJ135" i="5"/>
  <c r="AI135" i="5"/>
  <c r="AW134" i="5"/>
  <c r="AV134" i="5"/>
  <c r="AU134" i="5"/>
  <c r="AT134" i="5"/>
  <c r="AS134" i="5"/>
  <c r="AR134" i="5"/>
  <c r="AQ134" i="5"/>
  <c r="AP134" i="5"/>
  <c r="AO134" i="5"/>
  <c r="AN134" i="5"/>
  <c r="AM134" i="5"/>
  <c r="AL134" i="5"/>
  <c r="AK134" i="5"/>
  <c r="AJ134" i="5"/>
  <c r="AI134" i="5"/>
  <c r="AH135" i="5"/>
  <c r="AH134" i="5"/>
  <c r="AW132" i="5"/>
  <c r="AV132" i="5"/>
  <c r="AU132" i="5"/>
  <c r="AT132" i="5"/>
  <c r="AS132" i="5"/>
  <c r="AR132" i="5"/>
  <c r="AQ132" i="5"/>
  <c r="AP132" i="5"/>
  <c r="AO132" i="5"/>
  <c r="AN132" i="5"/>
  <c r="AM132" i="5"/>
  <c r="AL132" i="5"/>
  <c r="AK132" i="5"/>
  <c r="AJ132" i="5"/>
  <c r="AI132" i="5"/>
  <c r="AH132" i="5"/>
  <c r="AW129" i="5"/>
  <c r="AV129" i="5"/>
  <c r="AU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W128" i="5"/>
  <c r="AV128" i="5"/>
  <c r="AU128" i="5"/>
  <c r="AT128" i="5"/>
  <c r="AS128" i="5"/>
  <c r="AR128" i="5"/>
  <c r="AQ128" i="5"/>
  <c r="AP128" i="5"/>
  <c r="AO128" i="5"/>
  <c r="AN128" i="5"/>
  <c r="AM128" i="5"/>
  <c r="AL128" i="5"/>
  <c r="AK128" i="5"/>
  <c r="AJ128" i="5"/>
  <c r="AI128" i="5"/>
  <c r="AH129" i="5"/>
  <c r="AH128" i="5"/>
  <c r="AW126" i="5"/>
  <c r="AV126" i="5"/>
  <c r="AU126" i="5"/>
  <c r="AT126" i="5"/>
  <c r="AS126" i="5"/>
  <c r="AR126" i="5"/>
  <c r="AQ126" i="5"/>
  <c r="AP126" i="5"/>
  <c r="AO126" i="5"/>
  <c r="AN126" i="5"/>
  <c r="AM126" i="5"/>
  <c r="AL126" i="5"/>
  <c r="AK126" i="5"/>
  <c r="AJ126" i="5"/>
  <c r="AI126" i="5"/>
  <c r="AH126" i="5"/>
  <c r="AH98" i="1"/>
  <c r="AQ123" i="5"/>
  <c r="AP123" i="5"/>
  <c r="AO123" i="5"/>
  <c r="AN123" i="5"/>
  <c r="AM123" i="5"/>
  <c r="AL123" i="5"/>
  <c r="AK123" i="5"/>
  <c r="AJ123" i="5"/>
  <c r="AI123" i="5"/>
  <c r="AW122" i="5"/>
  <c r="AV122" i="5"/>
  <c r="AU122" i="5"/>
  <c r="AT122" i="5"/>
  <c r="AS122" i="5"/>
  <c r="AR122" i="5"/>
  <c r="AQ122" i="5"/>
  <c r="AP122" i="5"/>
  <c r="AO122" i="5"/>
  <c r="AN122" i="5"/>
  <c r="AM122" i="5"/>
  <c r="AL122" i="5"/>
  <c r="AK122" i="5"/>
  <c r="AJ122" i="5"/>
  <c r="AI122" i="5"/>
  <c r="AH123" i="5"/>
  <c r="AH122" i="5"/>
  <c r="AW121" i="5"/>
  <c r="AV121" i="5"/>
  <c r="AU121" i="5"/>
  <c r="AT121" i="5"/>
  <c r="AS121" i="5"/>
  <c r="AR121" i="5"/>
  <c r="AQ121" i="5"/>
  <c r="AP121" i="5"/>
  <c r="AO121" i="5"/>
  <c r="AN121" i="5"/>
  <c r="AM121" i="5"/>
  <c r="AL121" i="5"/>
  <c r="AK121" i="5"/>
  <c r="AJ121" i="5"/>
  <c r="AI121" i="5"/>
  <c r="AH121" i="5"/>
  <c r="AW118" i="5"/>
  <c r="AV118" i="5"/>
  <c r="AU118" i="5"/>
  <c r="AT118" i="5"/>
  <c r="AS118" i="5"/>
  <c r="AR118" i="5"/>
  <c r="AQ118" i="5"/>
  <c r="AP118" i="5"/>
  <c r="AO118" i="5"/>
  <c r="AN118" i="5"/>
  <c r="AM118" i="5"/>
  <c r="AL118" i="5"/>
  <c r="AK118" i="5"/>
  <c r="AJ118" i="5"/>
  <c r="AI118" i="5"/>
  <c r="AH118" i="5"/>
  <c r="AW116" i="5"/>
  <c r="AV116" i="5"/>
  <c r="AU116" i="5"/>
  <c r="AT116" i="5"/>
  <c r="AS116" i="5"/>
  <c r="AR116" i="5"/>
  <c r="AQ116" i="5"/>
  <c r="AP116" i="5"/>
  <c r="AO116" i="5"/>
  <c r="AN116" i="5"/>
  <c r="AM116" i="5"/>
  <c r="AL116" i="5"/>
  <c r="AK116" i="5"/>
  <c r="AJ116" i="5"/>
  <c r="AW115" i="5"/>
  <c r="AV115" i="5"/>
  <c r="AU115" i="5"/>
  <c r="AT115" i="5"/>
  <c r="AS115" i="5"/>
  <c r="AR115" i="5"/>
  <c r="AQ115" i="5"/>
  <c r="AP115" i="5"/>
  <c r="AO115" i="5"/>
  <c r="AN115" i="5"/>
  <c r="AM115" i="5"/>
  <c r="AL115" i="5"/>
  <c r="AK115" i="5"/>
  <c r="AJ115" i="5"/>
  <c r="AI115" i="5"/>
  <c r="AH115" i="5"/>
  <c r="AH65" i="4"/>
  <c r="AH116" i="5" s="1"/>
  <c r="AI16" i="5"/>
  <c r="AI20" i="4"/>
  <c r="AJ114" i="5"/>
  <c r="AI114" i="5"/>
  <c r="AH114" i="5"/>
  <c r="AW119" i="5" l="1"/>
  <c r="AR119" i="5"/>
  <c r="AV119" i="5"/>
  <c r="AK154" i="5"/>
  <c r="AO154" i="5"/>
  <c r="AS154" i="5"/>
  <c r="AW154" i="5"/>
  <c r="AL154" i="5"/>
  <c r="AP154" i="5"/>
  <c r="AT154" i="5"/>
  <c r="AM154" i="5"/>
  <c r="AQ154" i="5"/>
  <c r="AU154" i="5"/>
  <c r="AJ154" i="5"/>
  <c r="AN154" i="5"/>
  <c r="AR154" i="5"/>
  <c r="AV154" i="5"/>
  <c r="AT119" i="5"/>
  <c r="AR124" i="5"/>
  <c r="AI148" i="5"/>
  <c r="AK148" i="5"/>
  <c r="AM148" i="5"/>
  <c r="AO148" i="5"/>
  <c r="AQ148" i="5"/>
  <c r="AS148" i="5"/>
  <c r="AU148" i="5"/>
  <c r="AW148" i="5"/>
  <c r="AJ148" i="5"/>
  <c r="AL148" i="5"/>
  <c r="AN148" i="5"/>
  <c r="AP148" i="5"/>
  <c r="AR148" i="5"/>
  <c r="AT148" i="5"/>
  <c r="AV148" i="5"/>
  <c r="AH148" i="5"/>
  <c r="AI130" i="5"/>
  <c r="AK130" i="5"/>
  <c r="AM130" i="5"/>
  <c r="AO130" i="5"/>
  <c r="AQ130" i="5"/>
  <c r="AS130" i="5"/>
  <c r="AU130" i="5"/>
  <c r="AI144" i="5"/>
  <c r="AK144" i="5"/>
  <c r="AM144" i="5"/>
  <c r="AO144" i="5"/>
  <c r="AQ144" i="5"/>
  <c r="AS144" i="5"/>
  <c r="AU144" i="5"/>
  <c r="AN161" i="5"/>
  <c r="AP161" i="5"/>
  <c r="AR161" i="5"/>
  <c r="AT161" i="5"/>
  <c r="AV161" i="5"/>
  <c r="AI167" i="5"/>
  <c r="AK167" i="5"/>
  <c r="AM167" i="5"/>
  <c r="AO167" i="5"/>
  <c r="AQ167" i="5"/>
  <c r="AS167" i="5"/>
  <c r="AU167" i="5"/>
  <c r="AH119" i="5"/>
  <c r="AJ119" i="5"/>
  <c r="AI124" i="5"/>
  <c r="AK124" i="5"/>
  <c r="AM124" i="5"/>
  <c r="AO124" i="5"/>
  <c r="AQ124" i="5"/>
  <c r="AS124" i="5"/>
  <c r="AU124" i="5"/>
  <c r="AW124" i="5"/>
  <c r="AH124" i="5"/>
  <c r="AJ124" i="5"/>
  <c r="AL124" i="5"/>
  <c r="AN124" i="5"/>
  <c r="AH130" i="5"/>
  <c r="AJ130" i="5"/>
  <c r="AL130" i="5"/>
  <c r="AN130" i="5"/>
  <c r="AP130" i="5"/>
  <c r="AR130" i="5"/>
  <c r="AT130" i="5"/>
  <c r="AV130" i="5"/>
  <c r="AH136" i="5"/>
  <c r="AJ136" i="5"/>
  <c r="AL136" i="5"/>
  <c r="AN136" i="5"/>
  <c r="AP136" i="5"/>
  <c r="AR136" i="5"/>
  <c r="AT136" i="5"/>
  <c r="AV136" i="5"/>
  <c r="AH144" i="5"/>
  <c r="AJ144" i="5"/>
  <c r="AL144" i="5"/>
  <c r="AN144" i="5"/>
  <c r="AP144" i="5"/>
  <c r="AR144" i="5"/>
  <c r="AT144" i="5"/>
  <c r="AV144" i="5"/>
  <c r="AM161" i="5"/>
  <c r="AO161" i="5"/>
  <c r="AQ161" i="5"/>
  <c r="AS161" i="5"/>
  <c r="AU161" i="5"/>
  <c r="AW161" i="5"/>
  <c r="AH167" i="5"/>
  <c r="AJ167" i="5"/>
  <c r="AL167" i="5"/>
  <c r="AN167" i="5"/>
  <c r="AP167" i="5"/>
  <c r="AR167" i="5"/>
  <c r="AT167" i="5"/>
  <c r="AV167" i="5"/>
  <c r="AP124" i="5"/>
  <c r="AI136" i="5"/>
  <c r="AK136" i="5"/>
  <c r="AM136" i="5"/>
  <c r="AO136" i="5"/>
  <c r="AQ136" i="5"/>
  <c r="AS136" i="5"/>
  <c r="AU136" i="5"/>
  <c r="AW136" i="5"/>
  <c r="AT124" i="5"/>
  <c r="AV124" i="5"/>
  <c r="AW130" i="5"/>
  <c r="AQ119" i="5"/>
  <c r="AS119" i="5"/>
  <c r="AU119" i="5"/>
  <c r="AM108" i="5"/>
  <c r="AL108" i="5"/>
  <c r="AK108" i="5"/>
  <c r="AW108" i="5"/>
  <c r="AV108" i="5"/>
  <c r="AU108" i="5"/>
  <c r="AT108" i="5"/>
  <c r="AS108" i="5"/>
  <c r="AR108" i="5"/>
  <c r="AQ108" i="5"/>
  <c r="AP108" i="5"/>
  <c r="AO108" i="5"/>
  <c r="AN108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W106" i="5"/>
  <c r="AV106" i="5"/>
  <c r="AU106" i="5"/>
  <c r="AT106" i="5"/>
  <c r="AS106" i="5"/>
  <c r="AR106" i="5"/>
  <c r="AQ106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J202" i="5" s="1"/>
  <c r="AI99" i="5"/>
  <c r="AI202" i="5" s="1"/>
  <c r="AH99" i="5"/>
  <c r="AH202" i="5" s="1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W97" i="5"/>
  <c r="AN90" i="5"/>
  <c r="AM90" i="5"/>
  <c r="AL90" i="5"/>
  <c r="AK90" i="5"/>
  <c r="AJ90" i="5"/>
  <c r="AW89" i="5"/>
  <c r="AW91" i="5" s="1"/>
  <c r="AV89" i="5"/>
  <c r="AV91" i="5" s="1"/>
  <c r="AU89" i="5"/>
  <c r="AU91" i="5" s="1"/>
  <c r="AT89" i="5"/>
  <c r="AT91" i="5" s="1"/>
  <c r="AS89" i="5"/>
  <c r="AS91" i="5" s="1"/>
  <c r="AR89" i="5"/>
  <c r="AR91" i="5" s="1"/>
  <c r="AQ89" i="5"/>
  <c r="AQ91" i="5" s="1"/>
  <c r="AP89" i="5"/>
  <c r="AP91" i="5" s="1"/>
  <c r="AO89" i="5"/>
  <c r="AO91" i="5" s="1"/>
  <c r="AN89" i="5"/>
  <c r="AM89" i="5"/>
  <c r="AL89" i="5"/>
  <c r="AK89" i="5"/>
  <c r="AJ89" i="5"/>
  <c r="AI89" i="5"/>
  <c r="AI91" i="5" s="1"/>
  <c r="AH89" i="5"/>
  <c r="AH91" i="5" s="1"/>
  <c r="AN94" i="5"/>
  <c r="AN95" i="5" s="1"/>
  <c r="AM94" i="5"/>
  <c r="AM95" i="5" s="1"/>
  <c r="AL94" i="5"/>
  <c r="AL95" i="5" s="1"/>
  <c r="AK94" i="5"/>
  <c r="AK95" i="5" s="1"/>
  <c r="AJ94" i="5"/>
  <c r="AJ95" i="5" s="1"/>
  <c r="AI94" i="5"/>
  <c r="AI95" i="5" s="1"/>
  <c r="AH94" i="5"/>
  <c r="AH95" i="5" s="1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I85" i="5"/>
  <c r="AM85" i="5"/>
  <c r="AL85" i="5"/>
  <c r="AK85" i="5"/>
  <c r="AJ85" i="5"/>
  <c r="AH85" i="5"/>
  <c r="AV84" i="5"/>
  <c r="AU84" i="5"/>
  <c r="AT84" i="5"/>
  <c r="AS84" i="5"/>
  <c r="AR84" i="5"/>
  <c r="AQ84" i="5"/>
  <c r="AP84" i="5"/>
  <c r="AO84" i="5"/>
  <c r="AN84" i="5"/>
  <c r="AM84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W79" i="5"/>
  <c r="AW197" i="5" s="1"/>
  <c r="AV79" i="5"/>
  <c r="AV197" i="5" s="1"/>
  <c r="AU79" i="5"/>
  <c r="AU197" i="5" s="1"/>
  <c r="AT79" i="5"/>
  <c r="AT197" i="5" s="1"/>
  <c r="AS79" i="5"/>
  <c r="AS197" i="5" s="1"/>
  <c r="AR79" i="5"/>
  <c r="AR197" i="5" s="1"/>
  <c r="AQ79" i="5"/>
  <c r="AQ197" i="5" s="1"/>
  <c r="AP79" i="5"/>
  <c r="AP197" i="5" s="1"/>
  <c r="AO79" i="5"/>
  <c r="AO197" i="5" s="1"/>
  <c r="AN79" i="5"/>
  <c r="AN197" i="5" s="1"/>
  <c r="AM79" i="5"/>
  <c r="AM197" i="5" s="1"/>
  <c r="AL79" i="5"/>
  <c r="AL197" i="5" s="1"/>
  <c r="AK79" i="5"/>
  <c r="AK197" i="5" s="1"/>
  <c r="AJ79" i="5"/>
  <c r="AJ197" i="5" s="1"/>
  <c r="AI79" i="5"/>
  <c r="AI197" i="5" s="1"/>
  <c r="AH79" i="5"/>
  <c r="AH197" i="5" s="1"/>
  <c r="AW78" i="5"/>
  <c r="AV78" i="5"/>
  <c r="AU78" i="5"/>
  <c r="AT78" i="5"/>
  <c r="AS78" i="5"/>
  <c r="AR78" i="5"/>
  <c r="AQ78" i="5"/>
  <c r="AP78" i="5"/>
  <c r="AO78" i="5"/>
  <c r="AN78" i="5"/>
  <c r="AL78" i="5"/>
  <c r="AK78" i="5"/>
  <c r="AJ78" i="5"/>
  <c r="AI78" i="5"/>
  <c r="AH78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W76" i="5"/>
  <c r="AV76" i="5"/>
  <c r="AU76" i="5"/>
  <c r="AT76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W71" i="5"/>
  <c r="AV71" i="5"/>
  <c r="AU71" i="5"/>
  <c r="AT71" i="5"/>
  <c r="AS71" i="5"/>
  <c r="AR71" i="5"/>
  <c r="AQ71" i="5"/>
  <c r="AP71" i="5"/>
  <c r="AO71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W65" i="5"/>
  <c r="AW68" i="5" s="1"/>
  <c r="AV65" i="5"/>
  <c r="AV68" i="5" s="1"/>
  <c r="AU65" i="5"/>
  <c r="AU68" i="5" s="1"/>
  <c r="AT65" i="5"/>
  <c r="AT68" i="5" s="1"/>
  <c r="AS65" i="5"/>
  <c r="AS68" i="5" s="1"/>
  <c r="AR65" i="5"/>
  <c r="AR68" i="5" s="1"/>
  <c r="AQ65" i="5"/>
  <c r="AQ68" i="5" s="1"/>
  <c r="AP65" i="5"/>
  <c r="AP68" i="5" s="1"/>
  <c r="AO65" i="5"/>
  <c r="AO68" i="5" s="1"/>
  <c r="AN65" i="5"/>
  <c r="AN68" i="5" s="1"/>
  <c r="AM65" i="5"/>
  <c r="AM68" i="5" s="1"/>
  <c r="AL65" i="5"/>
  <c r="AL68" i="5" s="1"/>
  <c r="AK65" i="5"/>
  <c r="AK68" i="5" s="1"/>
  <c r="AJ65" i="5"/>
  <c r="AI65" i="5"/>
  <c r="AH65" i="5"/>
  <c r="AH68" i="5" s="1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W55" i="5"/>
  <c r="AV55" i="5"/>
  <c r="AU55" i="5"/>
  <c r="AT55" i="5"/>
  <c r="AM55" i="5"/>
  <c r="AW54" i="5"/>
  <c r="AV54" i="5"/>
  <c r="AU54" i="5"/>
  <c r="AT54" i="5"/>
  <c r="AM54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W51" i="5"/>
  <c r="AV51" i="5"/>
  <c r="AU51" i="5"/>
  <c r="AT51" i="5"/>
  <c r="AM51" i="5"/>
  <c r="AW50" i="5"/>
  <c r="AV50" i="5"/>
  <c r="AU50" i="5"/>
  <c r="AT50" i="5"/>
  <c r="AS50" i="5"/>
  <c r="AR50" i="5"/>
  <c r="AQ50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W46" i="5"/>
  <c r="AW195" i="5" s="1"/>
  <c r="AV46" i="5"/>
  <c r="AV195" i="5" s="1"/>
  <c r="AU46" i="5"/>
  <c r="AU195" i="5" s="1"/>
  <c r="AT46" i="5"/>
  <c r="AT195" i="5" s="1"/>
  <c r="AS46" i="5"/>
  <c r="AS195" i="5" s="1"/>
  <c r="AR46" i="5"/>
  <c r="AR195" i="5" s="1"/>
  <c r="AQ46" i="5"/>
  <c r="AQ195" i="5" s="1"/>
  <c r="AP46" i="5"/>
  <c r="AP195" i="5" s="1"/>
  <c r="AO46" i="5"/>
  <c r="AO195" i="5" s="1"/>
  <c r="AN46" i="5"/>
  <c r="AN195" i="5" s="1"/>
  <c r="AM46" i="5"/>
  <c r="AM195" i="5" s="1"/>
  <c r="AL46" i="5"/>
  <c r="AL195" i="5" s="1"/>
  <c r="AK46" i="5"/>
  <c r="AK195" i="5" s="1"/>
  <c r="AJ46" i="5"/>
  <c r="AJ195" i="5" s="1"/>
  <c r="AI46" i="5"/>
  <c r="AI195" i="5" s="1"/>
  <c r="AH46" i="5"/>
  <c r="AH195" i="5" s="1"/>
  <c r="AV45" i="5"/>
  <c r="AW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W44" i="5"/>
  <c r="AV44" i="5"/>
  <c r="AU44" i="5"/>
  <c r="AT44" i="5"/>
  <c r="AS44" i="5"/>
  <c r="AR44" i="5"/>
  <c r="AQ44" i="5"/>
  <c r="AP44" i="5"/>
  <c r="AO44" i="5"/>
  <c r="AN44" i="5"/>
  <c r="AJ68" i="5" l="1"/>
  <c r="AW190" i="5"/>
  <c r="AK91" i="5"/>
  <c r="AL91" i="5"/>
  <c r="AM91" i="5"/>
  <c r="AK102" i="5"/>
  <c r="AO102" i="5"/>
  <c r="AS102" i="5"/>
  <c r="AJ91" i="5"/>
  <c r="AN91" i="5"/>
  <c r="AL102" i="5"/>
  <c r="AP102" i="5"/>
  <c r="AT102" i="5"/>
  <c r="AM102" i="5"/>
  <c r="AQ102" i="5"/>
  <c r="AU102" i="5"/>
  <c r="AJ102" i="5"/>
  <c r="AN102" i="5"/>
  <c r="AR102" i="5"/>
  <c r="AV102" i="5"/>
  <c r="AW102" i="5"/>
  <c r="AI68" i="5"/>
  <c r="AK202" i="5"/>
  <c r="AQ190" i="5"/>
  <c r="AR190" i="5"/>
  <c r="AT80" i="5"/>
  <c r="AV80" i="5"/>
  <c r="AL80" i="5"/>
  <c r="AN80" i="5"/>
  <c r="AP80" i="5"/>
  <c r="AR80" i="5"/>
  <c r="AH80" i="5"/>
  <c r="AJ80" i="5"/>
  <c r="AU80" i="5"/>
  <c r="AW80" i="5"/>
  <c r="AO80" i="5"/>
  <c r="AQ80" i="5"/>
  <c r="AS80" i="5"/>
  <c r="AI80" i="5"/>
  <c r="AK80" i="5"/>
  <c r="AT190" i="5"/>
  <c r="AV190" i="5"/>
  <c r="AS190" i="5"/>
  <c r="AU190" i="5"/>
  <c r="AW56" i="5"/>
  <c r="AL202" i="5"/>
  <c r="AH63" i="5"/>
  <c r="AJ63" i="5"/>
  <c r="AL63" i="5"/>
  <c r="AN63" i="5"/>
  <c r="AP63" i="5"/>
  <c r="AR63" i="5"/>
  <c r="AT63" i="5"/>
  <c r="AV63" i="5"/>
  <c r="AI74" i="5"/>
  <c r="AK74" i="5"/>
  <c r="AM74" i="5"/>
  <c r="AO74" i="5"/>
  <c r="AQ74" i="5"/>
  <c r="AS74" i="5"/>
  <c r="AU74" i="5"/>
  <c r="AW74" i="5"/>
  <c r="AH87" i="5"/>
  <c r="AJ87" i="5"/>
  <c r="AL87" i="5"/>
  <c r="AN87" i="5"/>
  <c r="AP87" i="5"/>
  <c r="AR87" i="5"/>
  <c r="AT87" i="5"/>
  <c r="AV87" i="5"/>
  <c r="AI109" i="5"/>
  <c r="AK109" i="5"/>
  <c r="AM109" i="5"/>
  <c r="AO109" i="5"/>
  <c r="AQ109" i="5"/>
  <c r="AS109" i="5"/>
  <c r="AU109" i="5"/>
  <c r="AW109" i="5"/>
  <c r="AT56" i="5"/>
  <c r="AV56" i="5"/>
  <c r="AI63" i="5"/>
  <c r="AK63" i="5"/>
  <c r="AM63" i="5"/>
  <c r="AO63" i="5"/>
  <c r="AQ63" i="5"/>
  <c r="AS63" i="5"/>
  <c r="AU63" i="5"/>
  <c r="AW63" i="5"/>
  <c r="AH74" i="5"/>
  <c r="AJ74" i="5"/>
  <c r="AL74" i="5"/>
  <c r="AN74" i="5"/>
  <c r="AP74" i="5"/>
  <c r="AR74" i="5"/>
  <c r="AT74" i="5"/>
  <c r="AV74" i="5"/>
  <c r="AI87" i="5"/>
  <c r="AK87" i="5"/>
  <c r="AM87" i="5"/>
  <c r="AO87" i="5"/>
  <c r="AQ87" i="5"/>
  <c r="AS87" i="5"/>
  <c r="AU87" i="5"/>
  <c r="AW87" i="5"/>
  <c r="AH109" i="5"/>
  <c r="AJ109" i="5"/>
  <c r="AL109" i="5"/>
  <c r="AN109" i="5"/>
  <c r="AP109" i="5"/>
  <c r="AR109" i="5"/>
  <c r="AT109" i="5"/>
  <c r="AV109" i="5"/>
  <c r="AM56" i="5"/>
  <c r="AU56" i="5"/>
  <c r="AW43" i="5"/>
  <c r="AW48" i="5" s="1"/>
  <c r="AV43" i="5"/>
  <c r="AV48" i="5" s="1"/>
  <c r="AU43" i="5"/>
  <c r="AU48" i="5" s="1"/>
  <c r="AT43" i="5"/>
  <c r="AT48" i="5" s="1"/>
  <c r="AS43" i="5"/>
  <c r="AS48" i="5" s="1"/>
  <c r="AR43" i="5"/>
  <c r="AR48" i="5" s="1"/>
  <c r="AQ43" i="5"/>
  <c r="AQ48" i="5" s="1"/>
  <c r="AP43" i="5"/>
  <c r="AP48" i="5" s="1"/>
  <c r="AO43" i="5"/>
  <c r="AO48" i="5" s="1"/>
  <c r="AN43" i="5"/>
  <c r="AN48" i="5" s="1"/>
  <c r="AM43" i="5"/>
  <c r="AM48" i="5" s="1"/>
  <c r="AL43" i="5"/>
  <c r="AL48" i="5" s="1"/>
  <c r="AK43" i="5"/>
  <c r="AK48" i="5" s="1"/>
  <c r="AJ43" i="5"/>
  <c r="AJ48" i="5" s="1"/>
  <c r="AI43" i="5"/>
  <c r="AI48" i="5" s="1"/>
  <c r="AH43" i="5"/>
  <c r="AH48" i="5" s="1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W38" i="5"/>
  <c r="AV38" i="5"/>
  <c r="AU38" i="5"/>
  <c r="AT38" i="5"/>
  <c r="AS38" i="5"/>
  <c r="AR38" i="5"/>
  <c r="AQ38" i="5"/>
  <c r="AP38" i="5"/>
  <c r="AO38" i="5"/>
  <c r="AN38" i="5"/>
  <c r="AM38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W30" i="5"/>
  <c r="AW34" i="5" s="1"/>
  <c r="AV30" i="5"/>
  <c r="AV34" i="5" s="1"/>
  <c r="AU30" i="5"/>
  <c r="AU34" i="5" s="1"/>
  <c r="AT30" i="5"/>
  <c r="AS30" i="5"/>
  <c r="AS34" i="5" s="1"/>
  <c r="AR30" i="5"/>
  <c r="AQ30" i="5"/>
  <c r="AQ34" i="5" s="1"/>
  <c r="AP30" i="5"/>
  <c r="AO30" i="5"/>
  <c r="AO34" i="5" s="1"/>
  <c r="AN30" i="5"/>
  <c r="AN34" i="5" s="1"/>
  <c r="AM30" i="5"/>
  <c r="AM34" i="5" s="1"/>
  <c r="AL30" i="5"/>
  <c r="AL34" i="5" s="1"/>
  <c r="AK30" i="5"/>
  <c r="AK34" i="5" s="1"/>
  <c r="AJ30" i="5"/>
  <c r="AJ34" i="5" s="1"/>
  <c r="AI30" i="5"/>
  <c r="AI34" i="5" s="1"/>
  <c r="AH30" i="5"/>
  <c r="AH34" i="5" s="1"/>
  <c r="AW26" i="5"/>
  <c r="AV26" i="5"/>
  <c r="AU26" i="5"/>
  <c r="AT26" i="5"/>
  <c r="AS26" i="5"/>
  <c r="AR26" i="5"/>
  <c r="AQ26" i="5"/>
  <c r="AP26" i="5"/>
  <c r="AO26" i="5"/>
  <c r="AN26" i="5"/>
  <c r="AM26" i="5"/>
  <c r="AL26" i="5"/>
  <c r="AL192" i="5" s="1"/>
  <c r="AK26" i="5"/>
  <c r="AK192" i="5" s="1"/>
  <c r="AJ26" i="5"/>
  <c r="AJ192" i="5" s="1"/>
  <c r="AI26" i="5"/>
  <c r="AI192" i="5" s="1"/>
  <c r="AH26" i="5"/>
  <c r="AH192" i="5" s="1"/>
  <c r="AL25" i="5"/>
  <c r="AW25" i="5"/>
  <c r="AV25" i="5"/>
  <c r="AU25" i="5"/>
  <c r="AT25" i="5"/>
  <c r="AS25" i="5"/>
  <c r="AR25" i="5"/>
  <c r="AQ25" i="5"/>
  <c r="AP25" i="5"/>
  <c r="AO25" i="5"/>
  <c r="AN25" i="5"/>
  <c r="AM25" i="5"/>
  <c r="AK25" i="5"/>
  <c r="AJ25" i="5"/>
  <c r="AJ27" i="5" s="1"/>
  <c r="AI25" i="5"/>
  <c r="AI27" i="5" s="1"/>
  <c r="AH25" i="5"/>
  <c r="AH27" i="5" s="1"/>
  <c r="AW22" i="5"/>
  <c r="AV22" i="5"/>
  <c r="AU22" i="5"/>
  <c r="AT22" i="5"/>
  <c r="AS22" i="5"/>
  <c r="AR22" i="5"/>
  <c r="AQ22" i="5"/>
  <c r="AP22" i="5"/>
  <c r="AO22" i="5"/>
  <c r="AN22" i="5"/>
  <c r="AM22" i="5"/>
  <c r="AL22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9" i="5"/>
  <c r="AH18" i="5"/>
  <c r="AV17" i="5"/>
  <c r="AU17" i="5"/>
  <c r="AT17" i="5"/>
  <c r="AS17" i="5"/>
  <c r="AR17" i="5"/>
  <c r="AQ17" i="5"/>
  <c r="AP17" i="5"/>
  <c r="AO17" i="5"/>
  <c r="AN17" i="5"/>
  <c r="AM17" i="5"/>
  <c r="AK16" i="5"/>
  <c r="AH16" i="5"/>
  <c r="AJ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W13" i="5"/>
  <c r="AV13" i="5"/>
  <c r="AU13" i="5"/>
  <c r="AT13" i="5"/>
  <c r="AS13" i="5"/>
  <c r="AR13" i="5"/>
  <c r="AQ13" i="5"/>
  <c r="AP13" i="5"/>
  <c r="AO13" i="5"/>
  <c r="AN13" i="5"/>
  <c r="AM13" i="5"/>
  <c r="AW12" i="5"/>
  <c r="AV12" i="5"/>
  <c r="AU12" i="5"/>
  <c r="AT12" i="5"/>
  <c r="AS12" i="5"/>
  <c r="AR12" i="5"/>
  <c r="AQ12" i="5"/>
  <c r="AP12" i="5"/>
  <c r="AO12" i="5"/>
  <c r="AN12" i="5"/>
  <c r="AM12" i="5"/>
  <c r="AW11" i="5"/>
  <c r="AV11" i="5"/>
  <c r="AU11" i="5"/>
  <c r="AT11" i="5"/>
  <c r="AS11" i="5"/>
  <c r="AR11" i="5"/>
  <c r="AQ11" i="5"/>
  <c r="AP11" i="5"/>
  <c r="AO11" i="5"/>
  <c r="AN11" i="5"/>
  <c r="AM11" i="5"/>
  <c r="AM140" i="2"/>
  <c r="AL140" i="2"/>
  <c r="AH139" i="2"/>
  <c r="AH137" i="2"/>
  <c r="AI139" i="2"/>
  <c r="AI137" i="2"/>
  <c r="AJ137" i="2"/>
  <c r="AJ139" i="2"/>
  <c r="AK139" i="2"/>
  <c r="AK137" i="2"/>
  <c r="AM139" i="2"/>
  <c r="AL139" i="2"/>
  <c r="AM138" i="2"/>
  <c r="AM137" i="2"/>
  <c r="AL137" i="2"/>
  <c r="AM159" i="1"/>
  <c r="AK70" i="2"/>
  <c r="AK114" i="5" s="1"/>
  <c r="AK119" i="5" s="1"/>
  <c r="AL70" i="2"/>
  <c r="AL114" i="5" s="1"/>
  <c r="AL119" i="5" s="1"/>
  <c r="AM70" i="2"/>
  <c r="AM114" i="5" s="1"/>
  <c r="AM119" i="5" s="1"/>
  <c r="AN70" i="2"/>
  <c r="AN114" i="5" s="1"/>
  <c r="AN119" i="5" s="1"/>
  <c r="AO70" i="2"/>
  <c r="AO114" i="5" s="1"/>
  <c r="AO119" i="5" s="1"/>
  <c r="AP70" i="2"/>
  <c r="AP114" i="5" s="1"/>
  <c r="AP119" i="5" s="1"/>
  <c r="AN21" i="3"/>
  <c r="AN54" i="5" s="1"/>
  <c r="AS21" i="3"/>
  <c r="AS54" i="5" s="1"/>
  <c r="AL11" i="1"/>
  <c r="AL11" i="5" s="1"/>
  <c r="AH11" i="1"/>
  <c r="AH11" i="5" s="1"/>
  <c r="AH82" i="2"/>
  <c r="AJ82" i="2"/>
  <c r="AI82" i="2"/>
  <c r="AK82" i="2"/>
  <c r="AJ73" i="2"/>
  <c r="AI73" i="2"/>
  <c r="AH73" i="2"/>
  <c r="AJ62" i="2"/>
  <c r="AI62" i="2"/>
  <c r="AH62" i="2"/>
  <c r="AH57" i="2"/>
  <c r="AI57" i="2"/>
  <c r="AJ57" i="2"/>
  <c r="AJ53" i="2"/>
  <c r="AI53" i="2"/>
  <c r="AH53" i="2"/>
  <c r="AJ48" i="2"/>
  <c r="AI48" i="2"/>
  <c r="AJ43" i="2"/>
  <c r="AI43" i="2"/>
  <c r="AH43" i="2"/>
  <c r="AH34" i="2"/>
  <c r="AJ34" i="2"/>
  <c r="AI34" i="2"/>
  <c r="AJ27" i="2"/>
  <c r="AI27" i="2"/>
  <c r="AH27" i="2"/>
  <c r="AK27" i="2"/>
  <c r="AJ23" i="2"/>
  <c r="AI23" i="2"/>
  <c r="AH23" i="2"/>
  <c r="AJ88" i="2"/>
  <c r="AI88" i="2"/>
  <c r="AH88" i="2"/>
  <c r="AJ92" i="2"/>
  <c r="AI92" i="2"/>
  <c r="AH92" i="2"/>
  <c r="AJ108" i="2"/>
  <c r="AI108" i="2"/>
  <c r="AH108" i="2"/>
  <c r="AJ115" i="2"/>
  <c r="AJ120" i="2"/>
  <c r="AI120" i="2"/>
  <c r="AH120" i="2"/>
  <c r="AJ124" i="2"/>
  <c r="AI124" i="2"/>
  <c r="AH124" i="2"/>
  <c r="AK120" i="2"/>
  <c r="AJ101" i="2"/>
  <c r="AI101" i="2"/>
  <c r="AH99" i="2"/>
  <c r="AH129" i="2" s="1"/>
  <c r="AI99" i="2"/>
  <c r="AI129" i="2" s="1"/>
  <c r="AJ99" i="2"/>
  <c r="AI130" i="2"/>
  <c r="AI112" i="2"/>
  <c r="AJ130" i="2"/>
  <c r="AR34" i="5" l="1"/>
  <c r="AW192" i="5"/>
  <c r="AT34" i="5"/>
  <c r="AP34" i="5"/>
  <c r="AK27" i="5"/>
  <c r="AV192" i="5"/>
  <c r="AU192" i="5"/>
  <c r="AW27" i="5"/>
  <c r="AJ102" i="2"/>
  <c r="AJ141" i="2"/>
  <c r="AL141" i="2"/>
  <c r="AH141" i="2"/>
  <c r="AH131" i="2"/>
  <c r="AM141" i="2"/>
  <c r="AK141" i="2"/>
  <c r="AH115" i="2"/>
  <c r="AH171" i="5"/>
  <c r="AH174" i="5" s="1"/>
  <c r="AI115" i="2"/>
  <c r="AI171" i="5"/>
  <c r="AI174" i="5" s="1"/>
  <c r="AI131" i="2"/>
  <c r="AM20" i="5"/>
  <c r="AO20" i="5"/>
  <c r="AQ20" i="5"/>
  <c r="AS20" i="5"/>
  <c r="AU20" i="5"/>
  <c r="AW20" i="5"/>
  <c r="AI41" i="5"/>
  <c r="AK41" i="5"/>
  <c r="AM204" i="5"/>
  <c r="AS194" i="5"/>
  <c r="AU194" i="5"/>
  <c r="AT196" i="5"/>
  <c r="AV196" i="5"/>
  <c r="AN202" i="5"/>
  <c r="AN192" i="5"/>
  <c r="AP202" i="5"/>
  <c r="AP192" i="5"/>
  <c r="AR192" i="5"/>
  <c r="AT192" i="5"/>
  <c r="AM201" i="5"/>
  <c r="AM191" i="5"/>
  <c r="AN204" i="5"/>
  <c r="AN194" i="5"/>
  <c r="AT194" i="5"/>
  <c r="AV194" i="5"/>
  <c r="AM205" i="5"/>
  <c r="AM196" i="5"/>
  <c r="AU196" i="5"/>
  <c r="AW196" i="5"/>
  <c r="AM202" i="5"/>
  <c r="AM192" i="5"/>
  <c r="AO202" i="5"/>
  <c r="AO192" i="5"/>
  <c r="AQ192" i="5"/>
  <c r="AS192" i="5"/>
  <c r="AT191" i="5"/>
  <c r="AV191" i="5"/>
  <c r="AU191" i="5"/>
  <c r="AK20" i="5"/>
  <c r="AM27" i="5"/>
  <c r="AO27" i="5"/>
  <c r="AQ27" i="5"/>
  <c r="AS27" i="5"/>
  <c r="AU27" i="5"/>
  <c r="AH41" i="5"/>
  <c r="AJ41" i="5"/>
  <c r="AL41" i="5"/>
  <c r="AN41" i="5"/>
  <c r="AP41" i="5"/>
  <c r="AR41" i="5"/>
  <c r="AT41" i="5"/>
  <c r="AV41" i="5"/>
  <c r="AI141" i="2"/>
  <c r="AM41" i="5"/>
  <c r="AO41" i="5"/>
  <c r="AQ41" i="5"/>
  <c r="AS41" i="5"/>
  <c r="AU41" i="5"/>
  <c r="AN27" i="5"/>
  <c r="AP27" i="5"/>
  <c r="AR27" i="5"/>
  <c r="AT27" i="5"/>
  <c r="AV27" i="5"/>
  <c r="AL27" i="5"/>
  <c r="AN14" i="5"/>
  <c r="AP14" i="5"/>
  <c r="AR14" i="5"/>
  <c r="AT14" i="5"/>
  <c r="AV14" i="5"/>
  <c r="AL20" i="5"/>
  <c r="AN20" i="5"/>
  <c r="AP20" i="5"/>
  <c r="AR20" i="5"/>
  <c r="AT20" i="5"/>
  <c r="AV20" i="5"/>
  <c r="AJ20" i="5"/>
  <c r="AI20" i="5"/>
  <c r="AH20" i="5"/>
  <c r="AM14" i="5"/>
  <c r="AO14" i="5"/>
  <c r="AQ14" i="5"/>
  <c r="AS14" i="5"/>
  <c r="AU14" i="5"/>
  <c r="AW14" i="5"/>
  <c r="AI102" i="2"/>
  <c r="AJ129" i="2"/>
  <c r="AH102" i="2"/>
  <c r="AK85" i="3"/>
  <c r="AL85" i="3"/>
  <c r="AM88" i="3"/>
  <c r="AM87" i="3"/>
  <c r="AM85" i="3"/>
  <c r="AM84" i="3"/>
  <c r="AN85" i="3"/>
  <c r="AH42" i="3"/>
  <c r="AM164" i="1"/>
  <c r="AM166" i="1"/>
  <c r="AM165" i="1"/>
  <c r="AM163" i="1"/>
  <c r="AQ139" i="2"/>
  <c r="AP139" i="2"/>
  <c r="AO139" i="2"/>
  <c r="AN139" i="2"/>
  <c r="AQ138" i="2"/>
  <c r="AP138" i="2"/>
  <c r="AO138" i="2"/>
  <c r="AN138" i="2"/>
  <c r="AQ137" i="2"/>
  <c r="AP137" i="2"/>
  <c r="AO137" i="2"/>
  <c r="AN137" i="2"/>
  <c r="AR138" i="2"/>
  <c r="AR139" i="2"/>
  <c r="AR137" i="2"/>
  <c r="AR135" i="4"/>
  <c r="AQ135" i="4"/>
  <c r="AP135" i="4"/>
  <c r="AO135" i="4"/>
  <c r="AR134" i="4"/>
  <c r="AQ134" i="4"/>
  <c r="AP134" i="4"/>
  <c r="AO134" i="4"/>
  <c r="AR133" i="4"/>
  <c r="AQ133" i="4"/>
  <c r="AP133" i="4"/>
  <c r="AR132" i="4"/>
  <c r="AQ132" i="4"/>
  <c r="AP132" i="4"/>
  <c r="AO132" i="4"/>
  <c r="AO85" i="3"/>
  <c r="AP85" i="3"/>
  <c r="AR85" i="3"/>
  <c r="AQ85" i="3"/>
  <c r="AR83" i="3"/>
  <c r="AR200" i="5" s="1"/>
  <c r="AQ83" i="3"/>
  <c r="AQ200" i="5" s="1"/>
  <c r="AO166" i="1"/>
  <c r="AN166" i="1"/>
  <c r="AO165" i="1"/>
  <c r="AN165" i="1"/>
  <c r="AO164" i="1"/>
  <c r="AN164" i="1"/>
  <c r="AO163" i="1"/>
  <c r="AN163" i="1"/>
  <c r="AP164" i="1"/>
  <c r="AP166" i="1"/>
  <c r="AP165" i="1"/>
  <c r="AP163" i="1"/>
  <c r="AQ164" i="1"/>
  <c r="AQ165" i="1"/>
  <c r="AR164" i="1"/>
  <c r="AR163" i="1"/>
  <c r="AQ163" i="1"/>
  <c r="AN141" i="2" l="1"/>
  <c r="AP141" i="2"/>
  <c r="AO141" i="2"/>
  <c r="AQ141" i="2"/>
  <c r="AN167" i="1"/>
  <c r="AR202" i="5"/>
  <c r="AQ202" i="5"/>
  <c r="AO167" i="1"/>
  <c r="AM206" i="5"/>
  <c r="AP136" i="4"/>
  <c r="AR136" i="4"/>
  <c r="AO136" i="4"/>
  <c r="AQ136" i="4"/>
  <c r="AR141" i="2"/>
  <c r="AQ167" i="1"/>
  <c r="AP167" i="1"/>
  <c r="AU198" i="5"/>
  <c r="AV198" i="5"/>
  <c r="AT198" i="5"/>
  <c r="AM89" i="3"/>
  <c r="AR167" i="1"/>
  <c r="AM167" i="1"/>
  <c r="AU139" i="2"/>
  <c r="AT139" i="2"/>
  <c r="AS139" i="2"/>
  <c r="AU138" i="2"/>
  <c r="AT138" i="2"/>
  <c r="AS138" i="2"/>
  <c r="AU137" i="2"/>
  <c r="AT137" i="2"/>
  <c r="AS137" i="2"/>
  <c r="AV137" i="2"/>
  <c r="AV138" i="2"/>
  <c r="AV139" i="2"/>
  <c r="AW139" i="2"/>
  <c r="AW138" i="2"/>
  <c r="AW137" i="2"/>
  <c r="AU135" i="4"/>
  <c r="AT135" i="4"/>
  <c r="AS135" i="4"/>
  <c r="AU134" i="4"/>
  <c r="AT134" i="4"/>
  <c r="AS134" i="4"/>
  <c r="AU133" i="4"/>
  <c r="AT133" i="4"/>
  <c r="AS133" i="4"/>
  <c r="AU132" i="4"/>
  <c r="AT132" i="4"/>
  <c r="AS132" i="4"/>
  <c r="AV135" i="4"/>
  <c r="AV134" i="4"/>
  <c r="AV133" i="4"/>
  <c r="AV132" i="4"/>
  <c r="AW135" i="4"/>
  <c r="AW134" i="4"/>
  <c r="AW133" i="4"/>
  <c r="AW132" i="4"/>
  <c r="AV88" i="3"/>
  <c r="AU88" i="3"/>
  <c r="AT88" i="3"/>
  <c r="AV87" i="3"/>
  <c r="AU87" i="3"/>
  <c r="AT87" i="3"/>
  <c r="AV85" i="3"/>
  <c r="AU85" i="3"/>
  <c r="AT85" i="3"/>
  <c r="AS85" i="3"/>
  <c r="AV84" i="3"/>
  <c r="AU84" i="3"/>
  <c r="AT84" i="3"/>
  <c r="AV83" i="3"/>
  <c r="AV200" i="5" s="1"/>
  <c r="AU83" i="3"/>
  <c r="AU200" i="5" s="1"/>
  <c r="AT83" i="3"/>
  <c r="AT200" i="5" s="1"/>
  <c r="AS83" i="3"/>
  <c r="AS200" i="5" s="1"/>
  <c r="AW88" i="3"/>
  <c r="AW85" i="3"/>
  <c r="AW83" i="3"/>
  <c r="AW200" i="5" s="1"/>
  <c r="AW84" i="3"/>
  <c r="AU205" i="5" l="1"/>
  <c r="AT205" i="5"/>
  <c r="AV204" i="5"/>
  <c r="AV136" i="4"/>
  <c r="AS136" i="4"/>
  <c r="AW136" i="4"/>
  <c r="AU136" i="4"/>
  <c r="AT89" i="3"/>
  <c r="AV89" i="3"/>
  <c r="AU89" i="3"/>
  <c r="AW141" i="2"/>
  <c r="AV141" i="2"/>
  <c r="AT141" i="2"/>
  <c r="AT136" i="4"/>
  <c r="AS141" i="2"/>
  <c r="AU141" i="2"/>
  <c r="AV166" i="1"/>
  <c r="AW166" i="1"/>
  <c r="AU165" i="1"/>
  <c r="AT165" i="1"/>
  <c r="AT164" i="1"/>
  <c r="AS164" i="1"/>
  <c r="AW163" i="1"/>
  <c r="AV163" i="1"/>
  <c r="AU163" i="1"/>
  <c r="AT163" i="1"/>
  <c r="AS163" i="1"/>
  <c r="AH22" i="3"/>
  <c r="AI22" i="3"/>
  <c r="AJ22" i="3"/>
  <c r="AH21" i="3"/>
  <c r="AI21" i="3"/>
  <c r="AJ21" i="3"/>
  <c r="AH18" i="3"/>
  <c r="AI18" i="3"/>
  <c r="AJ18" i="3"/>
  <c r="AJ30" i="3"/>
  <c r="AI30" i="3"/>
  <c r="AH30" i="3"/>
  <c r="AJ62" i="3"/>
  <c r="AI62" i="3"/>
  <c r="AH62" i="3"/>
  <c r="AJ57" i="3"/>
  <c r="AI57" i="3"/>
  <c r="AH57" i="3"/>
  <c r="AH48" i="3"/>
  <c r="AJ48" i="3"/>
  <c r="AI48" i="3"/>
  <c r="AJ42" i="3"/>
  <c r="AI42" i="3"/>
  <c r="AJ36" i="3"/>
  <c r="AI36" i="3"/>
  <c r="AH36" i="3"/>
  <c r="AK36" i="3"/>
  <c r="AJ15" i="3"/>
  <c r="AI15" i="3"/>
  <c r="AH15" i="3"/>
  <c r="AH64" i="3"/>
  <c r="AI64" i="3"/>
  <c r="AJ64" i="3"/>
  <c r="AJ76" i="3" s="1"/>
  <c r="AH20" i="4"/>
  <c r="AJ20" i="4"/>
  <c r="AH26" i="4"/>
  <c r="AI26" i="4"/>
  <c r="AJ26" i="4"/>
  <c r="AJ33" i="4"/>
  <c r="AI33" i="4"/>
  <c r="AH33" i="4"/>
  <c r="AJ43" i="4"/>
  <c r="AI43" i="4"/>
  <c r="AH43" i="4"/>
  <c r="AJ52" i="4"/>
  <c r="AJ58" i="4"/>
  <c r="AI58" i="4"/>
  <c r="AH58" i="4"/>
  <c r="AJ66" i="4"/>
  <c r="AI70" i="4"/>
  <c r="AH70" i="4"/>
  <c r="AJ70" i="4"/>
  <c r="AK70" i="4"/>
  <c r="AJ75" i="4"/>
  <c r="AI75" i="4"/>
  <c r="AH75" i="4"/>
  <c r="AH83" i="4"/>
  <c r="AJ83" i="4"/>
  <c r="AI83" i="4"/>
  <c r="AJ92" i="4"/>
  <c r="AH107" i="4"/>
  <c r="AJ107" i="4"/>
  <c r="AI107" i="4"/>
  <c r="AJ113" i="4"/>
  <c r="AK113" i="4"/>
  <c r="AJ118" i="4"/>
  <c r="AI118" i="4"/>
  <c r="AH118" i="4"/>
  <c r="AH96" i="4"/>
  <c r="AI96" i="4"/>
  <c r="AJ96" i="4"/>
  <c r="AJ125" i="4" s="1"/>
  <c r="AH94" i="4"/>
  <c r="AI94" i="4"/>
  <c r="AJ94" i="4"/>
  <c r="AI13" i="4"/>
  <c r="AI14" i="4" s="1"/>
  <c r="AH50" i="4"/>
  <c r="AH134" i="4" s="1"/>
  <c r="AI50" i="4"/>
  <c r="AI134" i="4" s="1"/>
  <c r="AH66" i="4"/>
  <c r="AI65" i="4"/>
  <c r="AH91" i="4"/>
  <c r="AH152" i="5" s="1"/>
  <c r="AH154" i="5" s="1"/>
  <c r="AI91" i="4"/>
  <c r="AH111" i="4"/>
  <c r="AI111" i="4"/>
  <c r="AH127" i="4"/>
  <c r="AJ95" i="4"/>
  <c r="AJ124" i="4" s="1"/>
  <c r="AJ121" i="1"/>
  <c r="AI64" i="1"/>
  <c r="AJ151" i="1"/>
  <c r="AI151" i="1"/>
  <c r="AH151" i="1"/>
  <c r="AJ146" i="1"/>
  <c r="AI146" i="1"/>
  <c r="AH146" i="1"/>
  <c r="AP120" i="2"/>
  <c r="AW120" i="2"/>
  <c r="AK124" i="2"/>
  <c r="AJ140" i="1"/>
  <c r="AI140" i="1"/>
  <c r="AH140" i="1"/>
  <c r="AJ133" i="1"/>
  <c r="AI133" i="1"/>
  <c r="AH133" i="1"/>
  <c r="AI121" i="1"/>
  <c r="AH121" i="1"/>
  <c r="AH109" i="1"/>
  <c r="AJ115" i="1"/>
  <c r="AI115" i="1"/>
  <c r="AH115" i="1"/>
  <c r="AJ109" i="1"/>
  <c r="AI109" i="1"/>
  <c r="AK109" i="1"/>
  <c r="AJ103" i="1"/>
  <c r="AI103" i="1"/>
  <c r="AH103" i="1"/>
  <c r="AJ98" i="1"/>
  <c r="AI98" i="1"/>
  <c r="AI93" i="1"/>
  <c r="AH93" i="1"/>
  <c r="AJ93" i="1"/>
  <c r="AJ86" i="1"/>
  <c r="AI86" i="1"/>
  <c r="AH86" i="1"/>
  <c r="AJ81" i="1"/>
  <c r="AI81" i="1"/>
  <c r="AH81" i="1"/>
  <c r="AJ69" i="1"/>
  <c r="AI69" i="1"/>
  <c r="AH69" i="1"/>
  <c r="AH64" i="1"/>
  <c r="AJ64" i="1"/>
  <c r="AJ58" i="1"/>
  <c r="AI58" i="1"/>
  <c r="AH58" i="1"/>
  <c r="AJ52" i="1"/>
  <c r="AI52" i="1"/>
  <c r="AH52" i="1"/>
  <c r="AJ47" i="1"/>
  <c r="AI47" i="1"/>
  <c r="AH47" i="1"/>
  <c r="AH41" i="1"/>
  <c r="AJ41" i="1"/>
  <c r="AI41" i="1"/>
  <c r="AJ34" i="1"/>
  <c r="AI34" i="1"/>
  <c r="AH34" i="1"/>
  <c r="AJ29" i="1"/>
  <c r="AI29" i="1"/>
  <c r="AH29" i="1"/>
  <c r="AJ24" i="1"/>
  <c r="AI24" i="1"/>
  <c r="AH24" i="1"/>
  <c r="AK24" i="1"/>
  <c r="AJ20" i="1"/>
  <c r="AI20" i="1"/>
  <c r="AH20" i="1"/>
  <c r="AH126" i="1"/>
  <c r="AH160" i="5" s="1"/>
  <c r="AI126" i="1"/>
  <c r="AI160" i="5" s="1"/>
  <c r="AJ126" i="1"/>
  <c r="AJ160" i="5" s="1"/>
  <c r="AH125" i="1"/>
  <c r="AI125" i="1"/>
  <c r="AJ125" i="1"/>
  <c r="AH123" i="1"/>
  <c r="AI123" i="1"/>
  <c r="AJ123" i="1"/>
  <c r="AH79" i="3"/>
  <c r="AJ159" i="5" l="1"/>
  <c r="AI157" i="5"/>
  <c r="AH159" i="5"/>
  <c r="AH136" i="4"/>
  <c r="AI136" i="4"/>
  <c r="AT201" i="5"/>
  <c r="AV201" i="5"/>
  <c r="AW202" i="5"/>
  <c r="AT202" i="5"/>
  <c r="AV202" i="5"/>
  <c r="AU204" i="5"/>
  <c r="AV205" i="5"/>
  <c r="AU201" i="5"/>
  <c r="AW201" i="5"/>
  <c r="AS202" i="5"/>
  <c r="AU202" i="5"/>
  <c r="AT204" i="5"/>
  <c r="AW205" i="5"/>
  <c r="AJ157" i="5"/>
  <c r="AH157" i="5"/>
  <c r="AI159" i="5"/>
  <c r="AI98" i="4"/>
  <c r="AI113" i="4"/>
  <c r="AI178" i="5"/>
  <c r="AI180" i="5" s="1"/>
  <c r="AI92" i="4"/>
  <c r="AI152" i="5"/>
  <c r="AI154" i="5" s="1"/>
  <c r="AI66" i="4"/>
  <c r="AI116" i="5"/>
  <c r="AI119" i="5" s="1"/>
  <c r="AI100" i="5"/>
  <c r="AI102" i="5" s="1"/>
  <c r="AI125" i="4"/>
  <c r="AH113" i="4"/>
  <c r="AH178" i="5"/>
  <c r="AH180" i="5" s="1"/>
  <c r="AH100" i="5"/>
  <c r="AH102" i="5" s="1"/>
  <c r="AH125" i="4"/>
  <c r="AH98" i="4"/>
  <c r="AH92" i="4"/>
  <c r="AH76" i="3"/>
  <c r="AI84" i="3"/>
  <c r="AI51" i="5"/>
  <c r="AJ87" i="3"/>
  <c r="AJ54" i="5"/>
  <c r="AH87" i="3"/>
  <c r="AH54" i="5"/>
  <c r="AI88" i="3"/>
  <c r="AI55" i="5"/>
  <c r="AJ84" i="3"/>
  <c r="AJ51" i="5"/>
  <c r="AH84" i="3"/>
  <c r="AH51" i="5"/>
  <c r="AI87" i="3"/>
  <c r="AI54" i="5"/>
  <c r="AJ88" i="3"/>
  <c r="AJ55" i="5"/>
  <c r="AH88" i="3"/>
  <c r="AH89" i="3" s="1"/>
  <c r="AH55" i="5"/>
  <c r="AS167" i="1"/>
  <c r="AU167" i="1"/>
  <c r="AW167" i="1"/>
  <c r="AJ98" i="4"/>
  <c r="AI52" i="4"/>
  <c r="AH52" i="4"/>
  <c r="AH80" i="3"/>
  <c r="AH81" i="3" s="1"/>
  <c r="AH23" i="3"/>
  <c r="AJ89" i="3"/>
  <c r="AI23" i="3"/>
  <c r="AJ127" i="1"/>
  <c r="AH127" i="1"/>
  <c r="AT167" i="1"/>
  <c r="AV167" i="1"/>
  <c r="AI127" i="1"/>
  <c r="AJ23" i="3"/>
  <c r="AK11" i="1"/>
  <c r="AL13" i="1"/>
  <c r="AL12" i="1"/>
  <c r="AL163" i="1"/>
  <c r="AK13" i="1"/>
  <c r="AK12" i="1"/>
  <c r="AJ12" i="1"/>
  <c r="AJ12" i="5" s="1"/>
  <c r="AI11" i="1"/>
  <c r="AH163" i="1"/>
  <c r="AJ161" i="5" l="1"/>
  <c r="AI161" i="5"/>
  <c r="AH161" i="5"/>
  <c r="AU206" i="5"/>
  <c r="AV206" i="5"/>
  <c r="AT206" i="5"/>
  <c r="AJ194" i="5"/>
  <c r="AH191" i="5"/>
  <c r="AH56" i="5"/>
  <c r="AH201" i="5"/>
  <c r="AJ56" i="5"/>
  <c r="AI56" i="5"/>
  <c r="AI89" i="3"/>
  <c r="AJ204" i="5"/>
  <c r="AK166" i="1"/>
  <c r="AK13" i="5"/>
  <c r="AL165" i="1"/>
  <c r="AL12" i="5"/>
  <c r="AK163" i="1"/>
  <c r="AK11" i="5"/>
  <c r="AI163" i="1"/>
  <c r="AI11" i="5"/>
  <c r="AK165" i="1"/>
  <c r="AK12" i="5"/>
  <c r="AL166" i="1"/>
  <c r="AL13" i="5"/>
  <c r="AJ157" i="1"/>
  <c r="AJ165" i="1"/>
  <c r="AK77" i="3"/>
  <c r="AL77" i="3"/>
  <c r="AL167" i="1" l="1"/>
  <c r="AK167" i="1"/>
  <c r="AK14" i="5"/>
  <c r="AL14" i="5"/>
  <c r="AI201" i="5"/>
  <c r="AI191" i="5"/>
  <c r="AH13" i="1"/>
  <c r="AH12" i="1"/>
  <c r="AH128" i="4"/>
  <c r="AH123" i="4"/>
  <c r="AH134" i="2"/>
  <c r="AH132" i="2"/>
  <c r="AH160" i="1"/>
  <c r="AH158" i="1"/>
  <c r="AH155" i="1"/>
  <c r="AI13" i="1"/>
  <c r="AI13" i="5" s="1"/>
  <c r="AI12" i="1"/>
  <c r="AI128" i="4"/>
  <c r="AI127" i="4"/>
  <c r="AI123" i="4"/>
  <c r="AI80" i="3"/>
  <c r="AI79" i="3"/>
  <c r="AI76" i="3"/>
  <c r="AI134" i="2"/>
  <c r="AI132" i="2"/>
  <c r="AI160" i="1"/>
  <c r="AI158" i="1"/>
  <c r="AI155" i="1"/>
  <c r="AJ13" i="1"/>
  <c r="AJ13" i="5" s="1"/>
  <c r="AK158" i="1"/>
  <c r="AJ128" i="4"/>
  <c r="AJ127" i="4"/>
  <c r="AJ123" i="4"/>
  <c r="AJ80" i="3"/>
  <c r="AJ79" i="3"/>
  <c r="AJ134" i="2"/>
  <c r="AJ132" i="2"/>
  <c r="AJ131" i="2"/>
  <c r="AJ160" i="1"/>
  <c r="AJ158" i="1"/>
  <c r="AJ11" i="1"/>
  <c r="AH13" i="5" l="1"/>
  <c r="AH196" i="5" s="1"/>
  <c r="AH166" i="1"/>
  <c r="AJ163" i="1"/>
  <c r="AJ11" i="5"/>
  <c r="AJ205" i="5"/>
  <c r="AJ196" i="5"/>
  <c r="AI165" i="1"/>
  <c r="AI12" i="5"/>
  <c r="AI194" i="5" s="1"/>
  <c r="AH205" i="5"/>
  <c r="AI205" i="5"/>
  <c r="AI196" i="5"/>
  <c r="AH165" i="1"/>
  <c r="AH12" i="5"/>
  <c r="AH194" i="5" s="1"/>
  <c r="AI159" i="1"/>
  <c r="AI166" i="1"/>
  <c r="AJ159" i="1"/>
  <c r="AJ166" i="1"/>
  <c r="AH159" i="1"/>
  <c r="AJ155" i="1"/>
  <c r="AJ14" i="1"/>
  <c r="AI157" i="1"/>
  <c r="AI14" i="1"/>
  <c r="AH157" i="1"/>
  <c r="AH14" i="1"/>
  <c r="AH129" i="4"/>
  <c r="AH135" i="2"/>
  <c r="AI129" i="4"/>
  <c r="AI81" i="3"/>
  <c r="AI135" i="2"/>
  <c r="AJ81" i="3"/>
  <c r="AJ129" i="4"/>
  <c r="AJ135" i="2"/>
  <c r="AW159" i="1"/>
  <c r="AV159" i="1"/>
  <c r="AU159" i="1"/>
  <c r="AT159" i="1"/>
  <c r="AS159" i="1"/>
  <c r="AR159" i="1"/>
  <c r="AQ159" i="1"/>
  <c r="AP159" i="1"/>
  <c r="AO159" i="1"/>
  <c r="AN159" i="1"/>
  <c r="AI161" i="1" l="1"/>
  <c r="AH161" i="1"/>
  <c r="AJ161" i="1"/>
  <c r="AJ167" i="1"/>
  <c r="AI167" i="1"/>
  <c r="AH167" i="1"/>
  <c r="AI204" i="5"/>
  <c r="AI198" i="5"/>
  <c r="AI14" i="5"/>
  <c r="AJ201" i="5"/>
  <c r="AJ14" i="5"/>
  <c r="AJ191" i="5"/>
  <c r="AJ198" i="5" s="1"/>
  <c r="AH204" i="5"/>
  <c r="AH14" i="5"/>
  <c r="AH198" i="5"/>
  <c r="AM61" i="1"/>
  <c r="AM78" i="5" s="1"/>
  <c r="AJ206" i="5" l="1"/>
  <c r="AH206" i="5"/>
  <c r="AI206" i="5"/>
  <c r="AM80" i="5"/>
  <c r="AM194" i="5"/>
  <c r="AM198" i="5" s="1"/>
  <c r="AK160" i="1"/>
  <c r="AL156" i="1"/>
  <c r="AM156" i="1"/>
  <c r="AN156" i="1"/>
  <c r="AL160" i="1"/>
  <c r="AL158" i="1"/>
  <c r="AM160" i="1"/>
  <c r="AM158" i="1"/>
  <c r="AM157" i="1"/>
  <c r="AM155" i="1"/>
  <c r="AN157" i="1"/>
  <c r="AN160" i="1"/>
  <c r="AN158" i="1"/>
  <c r="AN155" i="1"/>
  <c r="AO160" i="1"/>
  <c r="AO158" i="1"/>
  <c r="AO157" i="1"/>
  <c r="AO156" i="1"/>
  <c r="AO155" i="1"/>
  <c r="AP156" i="1"/>
  <c r="AP160" i="1"/>
  <c r="AP158" i="1"/>
  <c r="AP157" i="1"/>
  <c r="AP155" i="1"/>
  <c r="AQ156" i="1"/>
  <c r="AQ160" i="1"/>
  <c r="AQ158" i="1"/>
  <c r="AQ157" i="1"/>
  <c r="AQ155" i="1"/>
  <c r="AR156" i="1"/>
  <c r="AU160" i="1"/>
  <c r="AT160" i="1"/>
  <c r="AS160" i="1"/>
  <c r="AR160" i="1"/>
  <c r="AU158" i="1"/>
  <c r="AT158" i="1"/>
  <c r="AS158" i="1"/>
  <c r="AR158" i="1"/>
  <c r="AU157" i="1"/>
  <c r="AT157" i="1"/>
  <c r="AS157" i="1"/>
  <c r="AR157" i="1"/>
  <c r="AT156" i="1"/>
  <c r="AS156" i="1"/>
  <c r="AU155" i="1"/>
  <c r="AT155" i="1"/>
  <c r="AS155" i="1"/>
  <c r="AR155" i="1"/>
  <c r="AV160" i="1"/>
  <c r="AV158" i="1"/>
  <c r="AV157" i="1"/>
  <c r="AV155" i="1"/>
  <c r="AW157" i="1"/>
  <c r="AR161" i="1" l="1"/>
  <c r="AT161" i="1"/>
  <c r="AO161" i="1"/>
  <c r="AS161" i="1"/>
  <c r="AU161" i="1"/>
  <c r="AV161" i="1"/>
  <c r="AM161" i="1"/>
  <c r="AN161" i="1"/>
  <c r="AP161" i="1"/>
  <c r="AQ161" i="1"/>
  <c r="AL126" i="1"/>
  <c r="AK126" i="1"/>
  <c r="AL125" i="1"/>
  <c r="AK125" i="1"/>
  <c r="AL123" i="1"/>
  <c r="AK123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W151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W140" i="1"/>
  <c r="AK133" i="1"/>
  <c r="AV133" i="1"/>
  <c r="AU133" i="1"/>
  <c r="AT133" i="1"/>
  <c r="AS133" i="1"/>
  <c r="AR133" i="1"/>
  <c r="AQ133" i="1"/>
  <c r="AP133" i="1"/>
  <c r="AO133" i="1"/>
  <c r="AN133" i="1"/>
  <c r="AM133" i="1"/>
  <c r="AL133" i="1"/>
  <c r="AW133" i="1"/>
  <c r="AV127" i="1"/>
  <c r="AU127" i="1"/>
  <c r="AT127" i="1"/>
  <c r="AS127" i="1"/>
  <c r="AR127" i="1"/>
  <c r="AQ127" i="1"/>
  <c r="AP127" i="1"/>
  <c r="AO127" i="1"/>
  <c r="AN127" i="1"/>
  <c r="AM127" i="1"/>
  <c r="AW127" i="1"/>
  <c r="AK121" i="1"/>
  <c r="AV121" i="1"/>
  <c r="AU121" i="1"/>
  <c r="AT121" i="1"/>
  <c r="AS121" i="1"/>
  <c r="AR121" i="1"/>
  <c r="AQ121" i="1"/>
  <c r="AP121" i="1"/>
  <c r="AO121" i="1"/>
  <c r="AN121" i="1"/>
  <c r="AM121" i="1"/>
  <c r="AL121" i="1"/>
  <c r="AW121" i="1"/>
  <c r="AK115" i="1"/>
  <c r="AV115" i="1"/>
  <c r="AU115" i="1"/>
  <c r="AT115" i="1"/>
  <c r="AS115" i="1"/>
  <c r="AR115" i="1"/>
  <c r="AQ115" i="1"/>
  <c r="AP115" i="1"/>
  <c r="AO115" i="1"/>
  <c r="AN115" i="1"/>
  <c r="AM115" i="1"/>
  <c r="AL115" i="1"/>
  <c r="AW115" i="1"/>
  <c r="AW158" i="1"/>
  <c r="AV109" i="1"/>
  <c r="AU109" i="1"/>
  <c r="AT109" i="1"/>
  <c r="AS109" i="1"/>
  <c r="AR109" i="1"/>
  <c r="AQ109" i="1"/>
  <c r="AP109" i="1"/>
  <c r="AO109" i="1"/>
  <c r="AN109" i="1"/>
  <c r="AM109" i="1"/>
  <c r="AL109" i="1"/>
  <c r="AW109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W103" i="1"/>
  <c r="AP98" i="1"/>
  <c r="AO98" i="1"/>
  <c r="AN98" i="1"/>
  <c r="AM98" i="1"/>
  <c r="AL98" i="1"/>
  <c r="AK98" i="1"/>
  <c r="AQ98" i="1"/>
  <c r="AV98" i="1"/>
  <c r="AU98" i="1"/>
  <c r="AT98" i="1"/>
  <c r="AS98" i="1"/>
  <c r="AR98" i="1"/>
  <c r="AW98" i="1"/>
  <c r="AK93" i="1"/>
  <c r="AV93" i="1"/>
  <c r="AU93" i="1"/>
  <c r="AT93" i="1"/>
  <c r="AS93" i="1"/>
  <c r="AR93" i="1"/>
  <c r="AQ93" i="1"/>
  <c r="AP93" i="1"/>
  <c r="AO93" i="1"/>
  <c r="AN93" i="1"/>
  <c r="AM93" i="1"/>
  <c r="AL93" i="1"/>
  <c r="AW93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W86" i="1"/>
  <c r="AK81" i="1"/>
  <c r="AV81" i="1"/>
  <c r="AU81" i="1"/>
  <c r="AT81" i="1"/>
  <c r="AS81" i="1"/>
  <c r="AR81" i="1"/>
  <c r="AQ81" i="1"/>
  <c r="AP81" i="1"/>
  <c r="AO81" i="1"/>
  <c r="AN81" i="1"/>
  <c r="AM81" i="1"/>
  <c r="AL81" i="1"/>
  <c r="AW81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W69" i="1"/>
  <c r="AK64" i="1"/>
  <c r="AV64" i="1"/>
  <c r="AU64" i="1"/>
  <c r="AT64" i="1"/>
  <c r="AS64" i="1"/>
  <c r="AR64" i="1"/>
  <c r="AQ64" i="1"/>
  <c r="AP64" i="1"/>
  <c r="AO64" i="1"/>
  <c r="AN64" i="1"/>
  <c r="AM64" i="1"/>
  <c r="AL64" i="1"/>
  <c r="AW64" i="1"/>
  <c r="AK58" i="1"/>
  <c r="AV58" i="1"/>
  <c r="AU58" i="1"/>
  <c r="AT58" i="1"/>
  <c r="AS58" i="1"/>
  <c r="AR58" i="1"/>
  <c r="AQ58" i="1"/>
  <c r="AP58" i="1"/>
  <c r="AO58" i="1"/>
  <c r="AN58" i="1"/>
  <c r="AM58" i="1"/>
  <c r="AL58" i="1"/>
  <c r="AW58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W52" i="1"/>
  <c r="AK47" i="1"/>
  <c r="AV47" i="1"/>
  <c r="AU47" i="1"/>
  <c r="AT47" i="1"/>
  <c r="AS47" i="1"/>
  <c r="AR47" i="1"/>
  <c r="AQ47" i="1"/>
  <c r="AP47" i="1"/>
  <c r="AO47" i="1"/>
  <c r="AN47" i="1"/>
  <c r="AM47" i="1"/>
  <c r="AL47" i="1"/>
  <c r="AW47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W41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W29" i="1"/>
  <c r="AW34" i="1"/>
  <c r="AV24" i="1"/>
  <c r="AU24" i="1"/>
  <c r="AT24" i="1"/>
  <c r="AS24" i="1"/>
  <c r="AR24" i="1"/>
  <c r="AQ24" i="1"/>
  <c r="AP24" i="1"/>
  <c r="AO24" i="1"/>
  <c r="AN24" i="1"/>
  <c r="AM24" i="1"/>
  <c r="AL24" i="1"/>
  <c r="AK20" i="1"/>
  <c r="AV20" i="1"/>
  <c r="AU20" i="1"/>
  <c r="AT20" i="1"/>
  <c r="AS20" i="1"/>
  <c r="AR20" i="1"/>
  <c r="AQ20" i="1"/>
  <c r="AP20" i="1"/>
  <c r="AO20" i="1"/>
  <c r="AN20" i="1"/>
  <c r="AM20" i="1"/>
  <c r="AL20" i="1"/>
  <c r="AW20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W14" i="1"/>
  <c r="AK134" i="2"/>
  <c r="AK132" i="2"/>
  <c r="AK130" i="2"/>
  <c r="AL130" i="2"/>
  <c r="AL134" i="2"/>
  <c r="AL133" i="2"/>
  <c r="AL132" i="2"/>
  <c r="AM133" i="2"/>
  <c r="AM134" i="2"/>
  <c r="AM132" i="2"/>
  <c r="AM131" i="2"/>
  <c r="AM130" i="2"/>
  <c r="AM129" i="2"/>
  <c r="AN134" i="2"/>
  <c r="AN133" i="2"/>
  <c r="AN132" i="2"/>
  <c r="AN131" i="2"/>
  <c r="AN130" i="2"/>
  <c r="AN129" i="2"/>
  <c r="AO130" i="2"/>
  <c r="AO134" i="2"/>
  <c r="AO133" i="2"/>
  <c r="AO132" i="2"/>
  <c r="AO131" i="2"/>
  <c r="AO129" i="2"/>
  <c r="AP134" i="2"/>
  <c r="AP133" i="2"/>
  <c r="AP132" i="2"/>
  <c r="AP131" i="2"/>
  <c r="AP130" i="2"/>
  <c r="AP129" i="2"/>
  <c r="AQ134" i="2"/>
  <c r="AQ133" i="2"/>
  <c r="AQ132" i="2"/>
  <c r="AQ131" i="2"/>
  <c r="AQ130" i="2"/>
  <c r="AQ129" i="2"/>
  <c r="AR130" i="2"/>
  <c r="AR134" i="2"/>
  <c r="AR133" i="2"/>
  <c r="AR132" i="2"/>
  <c r="AR131" i="2"/>
  <c r="AR129" i="2"/>
  <c r="AS129" i="2"/>
  <c r="AS134" i="2"/>
  <c r="AS133" i="2"/>
  <c r="AS132" i="2"/>
  <c r="AS131" i="2"/>
  <c r="AS130" i="2"/>
  <c r="AT130" i="2"/>
  <c r="AT134" i="2"/>
  <c r="AT133" i="2"/>
  <c r="AT132" i="2"/>
  <c r="AT131" i="2"/>
  <c r="AT129" i="2"/>
  <c r="AU133" i="2"/>
  <c r="AU129" i="2"/>
  <c r="AU134" i="2"/>
  <c r="AU132" i="2"/>
  <c r="AU131" i="2"/>
  <c r="AU130" i="2"/>
  <c r="AV134" i="2"/>
  <c r="AV133" i="2"/>
  <c r="AV132" i="2"/>
  <c r="AV131" i="2"/>
  <c r="AV129" i="2"/>
  <c r="AW133" i="2"/>
  <c r="AW132" i="2"/>
  <c r="AW129" i="2"/>
  <c r="AV124" i="2"/>
  <c r="AU124" i="2"/>
  <c r="AT124" i="2"/>
  <c r="AS124" i="2"/>
  <c r="AR124" i="2"/>
  <c r="AQ124" i="2"/>
  <c r="AP124" i="2"/>
  <c r="AO124" i="2"/>
  <c r="AN124" i="2"/>
  <c r="AM124" i="2"/>
  <c r="AL124" i="2"/>
  <c r="AW124" i="2"/>
  <c r="AL101" i="2"/>
  <c r="AL131" i="2" s="1"/>
  <c r="AK101" i="2"/>
  <c r="AK131" i="2" s="1"/>
  <c r="AL99" i="2"/>
  <c r="AL129" i="2" s="1"/>
  <c r="AK99" i="2"/>
  <c r="AK129" i="2" s="1"/>
  <c r="AT120" i="2"/>
  <c r="AS120" i="2"/>
  <c r="AR120" i="2"/>
  <c r="AQ120" i="2"/>
  <c r="AO120" i="2"/>
  <c r="AN120" i="2"/>
  <c r="AM120" i="2"/>
  <c r="AL120" i="2"/>
  <c r="AU120" i="2"/>
  <c r="AV120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W115" i="2"/>
  <c r="AK108" i="2"/>
  <c r="AV108" i="2"/>
  <c r="AU108" i="2"/>
  <c r="AT108" i="2"/>
  <c r="AS108" i="2"/>
  <c r="AR108" i="2"/>
  <c r="AQ108" i="2"/>
  <c r="AP108" i="2"/>
  <c r="AO108" i="2"/>
  <c r="AN108" i="2"/>
  <c r="AM108" i="2"/>
  <c r="AL108" i="2"/>
  <c r="AV102" i="2"/>
  <c r="AU102" i="2"/>
  <c r="AT102" i="2"/>
  <c r="AS102" i="2"/>
  <c r="AR102" i="2"/>
  <c r="AQ102" i="2"/>
  <c r="AP102" i="2"/>
  <c r="AO102" i="2"/>
  <c r="AN102" i="2"/>
  <c r="AM102" i="2"/>
  <c r="AW10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W92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W88" i="2"/>
  <c r="AV82" i="2"/>
  <c r="AU82" i="2"/>
  <c r="AT82" i="2"/>
  <c r="AS82" i="2"/>
  <c r="AR82" i="2"/>
  <c r="AQ82" i="2"/>
  <c r="AP82" i="2"/>
  <c r="AO82" i="2"/>
  <c r="AN82" i="2"/>
  <c r="AM82" i="2"/>
  <c r="AL82" i="2"/>
  <c r="AW82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W73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W62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W57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R48" i="2"/>
  <c r="AQ48" i="2"/>
  <c r="AP48" i="2"/>
  <c r="AO48" i="2"/>
  <c r="AN48" i="2"/>
  <c r="AM48" i="2"/>
  <c r="AL48" i="2"/>
  <c r="AK48" i="2"/>
  <c r="AS48" i="2"/>
  <c r="AV48" i="2"/>
  <c r="AU48" i="2"/>
  <c r="AT48" i="2"/>
  <c r="AW48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W43" i="2"/>
  <c r="AV39" i="2"/>
  <c r="AU39" i="2"/>
  <c r="AT39" i="2"/>
  <c r="AS39" i="2"/>
  <c r="AR39" i="2"/>
  <c r="AQ39" i="2"/>
  <c r="AP39" i="2"/>
  <c r="AO39" i="2"/>
  <c r="AN39" i="2"/>
  <c r="AM39" i="2"/>
  <c r="AL39" i="2"/>
  <c r="AW39" i="2"/>
  <c r="AK34" i="2"/>
  <c r="AV34" i="2"/>
  <c r="AU34" i="2"/>
  <c r="AT34" i="2"/>
  <c r="AS34" i="2"/>
  <c r="AR34" i="2"/>
  <c r="AQ34" i="2"/>
  <c r="AP34" i="2"/>
  <c r="AO34" i="2"/>
  <c r="AN34" i="2"/>
  <c r="AM34" i="2"/>
  <c r="AL34" i="2"/>
  <c r="AW34" i="2"/>
  <c r="AV27" i="2"/>
  <c r="AU27" i="2"/>
  <c r="AT27" i="2"/>
  <c r="AS27" i="2"/>
  <c r="AR27" i="2"/>
  <c r="AQ27" i="2"/>
  <c r="AP27" i="2"/>
  <c r="AO27" i="2"/>
  <c r="AN27" i="2"/>
  <c r="AM27" i="2"/>
  <c r="AL27" i="2"/>
  <c r="AW27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W23" i="2"/>
  <c r="AK13" i="2"/>
  <c r="AL13" i="2"/>
  <c r="AV13" i="2"/>
  <c r="AU13" i="2"/>
  <c r="AT13" i="2"/>
  <c r="AS13" i="2"/>
  <c r="AR13" i="2"/>
  <c r="AQ13" i="2"/>
  <c r="AP13" i="2"/>
  <c r="AO13" i="2"/>
  <c r="AN13" i="2"/>
  <c r="AM13" i="2"/>
  <c r="AW13" i="2"/>
  <c r="AL127" i="1" l="1"/>
  <c r="AK102" i="2"/>
  <c r="AK127" i="1"/>
  <c r="AL135" i="2"/>
  <c r="AL155" i="1"/>
  <c r="AL157" i="1"/>
  <c r="AL159" i="1"/>
  <c r="AL160" i="5"/>
  <c r="AK155" i="1"/>
  <c r="AK157" i="1"/>
  <c r="AK159" i="1"/>
  <c r="AK160" i="5"/>
  <c r="AL102" i="2"/>
  <c r="AK135" i="2"/>
  <c r="AS135" i="2"/>
  <c r="AQ135" i="2"/>
  <c r="AP135" i="2"/>
  <c r="AO135" i="2"/>
  <c r="AN135" i="2"/>
  <c r="AM135" i="2"/>
  <c r="AU135" i="2"/>
  <c r="AV135" i="2"/>
  <c r="AR135" i="2"/>
  <c r="AT135" i="2"/>
  <c r="AS124" i="4"/>
  <c r="AV124" i="4"/>
  <c r="AU124" i="4"/>
  <c r="AK161" i="1" l="1"/>
  <c r="AL161" i="1"/>
  <c r="AL96" i="4"/>
  <c r="AK96" i="4"/>
  <c r="AK159" i="5" s="1"/>
  <c r="AL94" i="4"/>
  <c r="AK94" i="4"/>
  <c r="AK123" i="4" s="1"/>
  <c r="AL95" i="4"/>
  <c r="AL124" i="4" s="1"/>
  <c r="AK95" i="4"/>
  <c r="AK124" i="4" s="1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W118" i="4"/>
  <c r="AK127" i="4"/>
  <c r="AK128" i="4"/>
  <c r="AK125" i="4"/>
  <c r="AL128" i="4"/>
  <c r="AL127" i="4"/>
  <c r="AL123" i="4"/>
  <c r="AM123" i="4"/>
  <c r="AM128" i="4"/>
  <c r="AM127" i="4"/>
  <c r="AN128" i="4"/>
  <c r="AN127" i="4"/>
  <c r="AN125" i="4"/>
  <c r="AN123" i="4"/>
  <c r="AO128" i="4"/>
  <c r="AO127" i="4"/>
  <c r="AO126" i="4"/>
  <c r="AO125" i="4"/>
  <c r="AO124" i="4"/>
  <c r="AO123" i="4"/>
  <c r="AP123" i="4"/>
  <c r="AU128" i="4"/>
  <c r="AT128" i="4"/>
  <c r="AS128" i="4"/>
  <c r="AR128" i="4"/>
  <c r="AQ128" i="4"/>
  <c r="AP128" i="4"/>
  <c r="AU127" i="4"/>
  <c r="AT127" i="4"/>
  <c r="AS127" i="4"/>
  <c r="AR127" i="4"/>
  <c r="AQ127" i="4"/>
  <c r="AP127" i="4"/>
  <c r="AU126" i="4"/>
  <c r="AT126" i="4"/>
  <c r="AS126" i="4"/>
  <c r="AR126" i="4"/>
  <c r="AQ126" i="4"/>
  <c r="AP126" i="4"/>
  <c r="AU125" i="4"/>
  <c r="AT125" i="4"/>
  <c r="AS125" i="4"/>
  <c r="AR125" i="4"/>
  <c r="AQ125" i="4"/>
  <c r="AP125" i="4"/>
  <c r="AR124" i="4"/>
  <c r="AQ124" i="4"/>
  <c r="AP124" i="4"/>
  <c r="AU123" i="4"/>
  <c r="AT123" i="4"/>
  <c r="AS123" i="4"/>
  <c r="AR123" i="4"/>
  <c r="AQ123" i="4"/>
  <c r="AV128" i="4"/>
  <c r="AV127" i="4"/>
  <c r="AV126" i="4"/>
  <c r="AV125" i="4"/>
  <c r="AV123" i="4"/>
  <c r="AW128" i="4"/>
  <c r="AW127" i="4"/>
  <c r="AW125" i="4"/>
  <c r="AV113" i="4"/>
  <c r="AU113" i="4"/>
  <c r="AT113" i="4"/>
  <c r="AS113" i="4"/>
  <c r="AR113" i="4"/>
  <c r="AQ113" i="4"/>
  <c r="AP113" i="4"/>
  <c r="AO113" i="4"/>
  <c r="AN113" i="4"/>
  <c r="AM113" i="4"/>
  <c r="AL113" i="4"/>
  <c r="AK107" i="4"/>
  <c r="AV107" i="4"/>
  <c r="AU107" i="4"/>
  <c r="AT107" i="4"/>
  <c r="AS107" i="4"/>
  <c r="AR107" i="4"/>
  <c r="AQ107" i="4"/>
  <c r="AP107" i="4"/>
  <c r="AO107" i="4"/>
  <c r="AN107" i="4"/>
  <c r="AM107" i="4"/>
  <c r="AL107" i="4"/>
  <c r="AW107" i="4"/>
  <c r="AV98" i="4"/>
  <c r="AU98" i="4"/>
  <c r="AT98" i="4"/>
  <c r="AS98" i="4"/>
  <c r="AR98" i="4"/>
  <c r="AQ98" i="4"/>
  <c r="AP98" i="4"/>
  <c r="AO98" i="4"/>
  <c r="AN98" i="4"/>
  <c r="AM98" i="4"/>
  <c r="AW98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W92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W75" i="4"/>
  <c r="AV70" i="4"/>
  <c r="AU70" i="4"/>
  <c r="AT70" i="4"/>
  <c r="AS70" i="4"/>
  <c r="AR70" i="4"/>
  <c r="AQ70" i="4"/>
  <c r="AP70" i="4"/>
  <c r="AO70" i="4"/>
  <c r="AN70" i="4"/>
  <c r="AM70" i="4"/>
  <c r="AL70" i="4"/>
  <c r="AW70" i="4"/>
  <c r="AO66" i="4"/>
  <c r="AN66" i="4"/>
  <c r="AM66" i="4"/>
  <c r="AL66" i="4"/>
  <c r="AK66" i="4"/>
  <c r="AP66" i="4"/>
  <c r="AV66" i="4"/>
  <c r="AU66" i="4"/>
  <c r="AS66" i="4"/>
  <c r="AR66" i="4"/>
  <c r="AQ66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U52" i="4"/>
  <c r="AT52" i="4"/>
  <c r="AS52" i="4"/>
  <c r="AR52" i="4"/>
  <c r="AQ52" i="4"/>
  <c r="AP52" i="4"/>
  <c r="AO52" i="4"/>
  <c r="AN52" i="4"/>
  <c r="AM52" i="4"/>
  <c r="AL52" i="4"/>
  <c r="AK52" i="4"/>
  <c r="AV52" i="4"/>
  <c r="AW52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W4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W33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W26" i="4"/>
  <c r="AU20" i="4"/>
  <c r="AS20" i="4"/>
  <c r="AR20" i="4"/>
  <c r="AQ20" i="4"/>
  <c r="AP20" i="4"/>
  <c r="AO20" i="4"/>
  <c r="AN20" i="4"/>
  <c r="AM20" i="4"/>
  <c r="AL20" i="4"/>
  <c r="AK20" i="4"/>
  <c r="AS22" i="3"/>
  <c r="AS55" i="5" s="1"/>
  <c r="AS87" i="3"/>
  <c r="AS204" i="5" s="1"/>
  <c r="AR21" i="3"/>
  <c r="AR54" i="5" s="1"/>
  <c r="AQ21" i="3"/>
  <c r="AP21" i="3"/>
  <c r="AP54" i="5" s="1"/>
  <c r="AO21" i="3"/>
  <c r="AL21" i="3"/>
  <c r="AL54" i="5" s="1"/>
  <c r="AL204" i="5" s="1"/>
  <c r="AK21" i="3"/>
  <c r="AK54" i="5" s="1"/>
  <c r="AK204" i="5" s="1"/>
  <c r="AR22" i="3"/>
  <c r="AR55" i="5" s="1"/>
  <c r="AQ22" i="3"/>
  <c r="AP22" i="3"/>
  <c r="AO22" i="3"/>
  <c r="AO55" i="5" s="1"/>
  <c r="AN22" i="3"/>
  <c r="AN55" i="5" s="1"/>
  <c r="AL22" i="3"/>
  <c r="AL55" i="5" s="1"/>
  <c r="AL205" i="5" s="1"/>
  <c r="AK22" i="3"/>
  <c r="AK55" i="5" s="1"/>
  <c r="AK205" i="5" s="1"/>
  <c r="AS18" i="3"/>
  <c r="AR18" i="3"/>
  <c r="AR76" i="3" s="1"/>
  <c r="AQ18" i="3"/>
  <c r="AQ51" i="5" s="1"/>
  <c r="AO18" i="3"/>
  <c r="AP18" i="3"/>
  <c r="AP51" i="5" s="1"/>
  <c r="AO76" i="3"/>
  <c r="AN18" i="3"/>
  <c r="AN51" i="5" s="1"/>
  <c r="AL18" i="3"/>
  <c r="AK18" i="3"/>
  <c r="AK51" i="5" s="1"/>
  <c r="AM80" i="3"/>
  <c r="AM79" i="3"/>
  <c r="AM77" i="3"/>
  <c r="AM76" i="3"/>
  <c r="AN77" i="3"/>
  <c r="AO79" i="3"/>
  <c r="AO77" i="3"/>
  <c r="AP77" i="3"/>
  <c r="AP80" i="3"/>
  <c r="AV80" i="3"/>
  <c r="AU80" i="3"/>
  <c r="AT80" i="3"/>
  <c r="AV79" i="3"/>
  <c r="AU79" i="3"/>
  <c r="AT79" i="3"/>
  <c r="AS79" i="3"/>
  <c r="AQ79" i="3"/>
  <c r="AV77" i="3"/>
  <c r="AU77" i="3"/>
  <c r="AT77" i="3"/>
  <c r="AS77" i="3"/>
  <c r="AR77" i="3"/>
  <c r="AQ77" i="3"/>
  <c r="AV76" i="3"/>
  <c r="AU76" i="3"/>
  <c r="AT76" i="3"/>
  <c r="AS76" i="3"/>
  <c r="AW80" i="3"/>
  <c r="AW76" i="3"/>
  <c r="AL64" i="3"/>
  <c r="AK64" i="3"/>
  <c r="AO69" i="3"/>
  <c r="AN69" i="3"/>
  <c r="AM69" i="3"/>
  <c r="AL69" i="3"/>
  <c r="AP69" i="3"/>
  <c r="AV69" i="3"/>
  <c r="AU69" i="3"/>
  <c r="AT69" i="3"/>
  <c r="AS69" i="3"/>
  <c r="AR69" i="3"/>
  <c r="AQ69" i="3"/>
  <c r="AW69" i="3"/>
  <c r="AO62" i="3"/>
  <c r="AN62" i="3"/>
  <c r="AM62" i="3"/>
  <c r="AL62" i="3"/>
  <c r="AK62" i="3"/>
  <c r="AP62" i="3"/>
  <c r="AV62" i="3"/>
  <c r="AT62" i="3"/>
  <c r="AS62" i="3"/>
  <c r="AR62" i="3"/>
  <c r="AQ62" i="3"/>
  <c r="AW62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W57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W48" i="3"/>
  <c r="AM42" i="3"/>
  <c r="AL42" i="3"/>
  <c r="AK42" i="3"/>
  <c r="AN42" i="3"/>
  <c r="AW42" i="3"/>
  <c r="AV42" i="3"/>
  <c r="AU42" i="3"/>
  <c r="AT42" i="3"/>
  <c r="AS42" i="3"/>
  <c r="AR42" i="3"/>
  <c r="AQ42" i="3"/>
  <c r="AP42" i="3"/>
  <c r="AO42" i="3"/>
  <c r="AM36" i="3"/>
  <c r="AL36" i="3"/>
  <c r="AN36" i="3"/>
  <c r="AV36" i="3"/>
  <c r="AU36" i="3"/>
  <c r="AT36" i="3"/>
  <c r="AS36" i="3"/>
  <c r="AR36" i="3"/>
  <c r="AQ36" i="3"/>
  <c r="AP36" i="3"/>
  <c r="AO36" i="3"/>
  <c r="AW36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W30" i="3"/>
  <c r="AM23" i="3"/>
  <c r="AV23" i="3"/>
  <c r="AU23" i="3"/>
  <c r="AT23" i="3"/>
  <c r="AW23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V129" i="4" l="1"/>
  <c r="AL157" i="5"/>
  <c r="AK157" i="5"/>
  <c r="AK161" i="5" s="1"/>
  <c r="AL125" i="4"/>
  <c r="AL129" i="4" s="1"/>
  <c r="AL159" i="5"/>
  <c r="AS23" i="3"/>
  <c r="AP23" i="3"/>
  <c r="AL84" i="3"/>
  <c r="AL51" i="5"/>
  <c r="AO84" i="3"/>
  <c r="AO51" i="5"/>
  <c r="AR84" i="3"/>
  <c r="AR201" i="5" s="1"/>
  <c r="AR51" i="5"/>
  <c r="AN196" i="5"/>
  <c r="AN205" i="5"/>
  <c r="AP88" i="3"/>
  <c r="AP55" i="5"/>
  <c r="AP56" i="5" s="1"/>
  <c r="AR196" i="5"/>
  <c r="AP194" i="5"/>
  <c r="AP204" i="5"/>
  <c r="AR194" i="5"/>
  <c r="AS196" i="5"/>
  <c r="AL196" i="5"/>
  <c r="AM81" i="3"/>
  <c r="AK56" i="5"/>
  <c r="AK201" i="5"/>
  <c r="AN56" i="5"/>
  <c r="AN191" i="5"/>
  <c r="AN201" i="5"/>
  <c r="AP191" i="5"/>
  <c r="AP201" i="5"/>
  <c r="AQ191" i="5"/>
  <c r="AS84" i="3"/>
  <c r="AS201" i="5" s="1"/>
  <c r="AS51" i="5"/>
  <c r="AO196" i="5"/>
  <c r="AO205" i="5"/>
  <c r="AQ88" i="3"/>
  <c r="AQ205" i="5" s="1"/>
  <c r="AQ55" i="5"/>
  <c r="AO87" i="3"/>
  <c r="AO54" i="5"/>
  <c r="AQ87" i="3"/>
  <c r="AQ204" i="5" s="1"/>
  <c r="AQ54" i="5"/>
  <c r="AK194" i="5"/>
  <c r="AK196" i="5"/>
  <c r="AK98" i="4"/>
  <c r="AR129" i="4"/>
  <c r="AT129" i="4"/>
  <c r="AO129" i="4"/>
  <c r="AN129" i="4"/>
  <c r="AK23" i="3"/>
  <c r="AK84" i="3"/>
  <c r="AN76" i="3"/>
  <c r="AN84" i="3"/>
  <c r="AP76" i="3"/>
  <c r="AP84" i="3"/>
  <c r="AQ76" i="3"/>
  <c r="AQ84" i="3"/>
  <c r="AQ201" i="5" s="1"/>
  <c r="AL80" i="3"/>
  <c r="AL88" i="3"/>
  <c r="AO80" i="3"/>
  <c r="AO81" i="3" s="1"/>
  <c r="AO88" i="3"/>
  <c r="AK79" i="3"/>
  <c r="AK87" i="3"/>
  <c r="AN79" i="3"/>
  <c r="AN87" i="3"/>
  <c r="AP79" i="3"/>
  <c r="AP87" i="3"/>
  <c r="AR79" i="3"/>
  <c r="AR87" i="3"/>
  <c r="AR204" i="5" s="1"/>
  <c r="AS80" i="3"/>
  <c r="AS88" i="3"/>
  <c r="AS205" i="5" s="1"/>
  <c r="AQ23" i="3"/>
  <c r="AL23" i="3"/>
  <c r="AQ80" i="3"/>
  <c r="AK80" i="3"/>
  <c r="AK88" i="3"/>
  <c r="AN80" i="3"/>
  <c r="AN88" i="3"/>
  <c r="AR80" i="3"/>
  <c r="AR88" i="3"/>
  <c r="AR205" i="5" s="1"/>
  <c r="AL79" i="3"/>
  <c r="AL87" i="3"/>
  <c r="AR23" i="3"/>
  <c r="AM129" i="4"/>
  <c r="AL98" i="4"/>
  <c r="AQ129" i="4"/>
  <c r="AS129" i="4"/>
  <c r="AU129" i="4"/>
  <c r="AP129" i="4"/>
  <c r="AK129" i="4"/>
  <c r="AL76" i="3"/>
  <c r="AO23" i="3"/>
  <c r="AK76" i="3"/>
  <c r="AN23" i="3"/>
  <c r="AN198" i="5" l="1"/>
  <c r="AN206" i="5"/>
  <c r="AK206" i="5"/>
  <c r="AL161" i="5"/>
  <c r="AO89" i="3"/>
  <c r="AL89" i="3"/>
  <c r="AR89" i="3"/>
  <c r="AS89" i="3"/>
  <c r="AP81" i="3"/>
  <c r="AP89" i="3"/>
  <c r="AL194" i="5"/>
  <c r="AK191" i="5"/>
  <c r="AK198" i="5" s="1"/>
  <c r="AN81" i="3"/>
  <c r="AK81" i="3"/>
  <c r="AQ89" i="3"/>
  <c r="AN89" i="3"/>
  <c r="AK89" i="3"/>
  <c r="AQ194" i="5"/>
  <c r="AO204" i="5"/>
  <c r="AO194" i="5"/>
  <c r="AQ196" i="5"/>
  <c r="AS56" i="5"/>
  <c r="AS191" i="5"/>
  <c r="AS198" i="5" s="1"/>
  <c r="AS206" i="5"/>
  <c r="AQ56" i="5"/>
  <c r="AP196" i="5"/>
  <c r="AP198" i="5" s="1"/>
  <c r="AP205" i="5"/>
  <c r="AR56" i="5"/>
  <c r="AR191" i="5"/>
  <c r="AR198" i="5" s="1"/>
  <c r="AR206" i="5"/>
  <c r="AO56" i="5"/>
  <c r="AO191" i="5"/>
  <c r="AO201" i="5"/>
  <c r="AL56" i="5"/>
  <c r="AL201" i="5"/>
  <c r="AL191" i="5"/>
  <c r="AL81" i="3"/>
  <c r="AQ75" i="3"/>
  <c r="AQ81" i="3" s="1"/>
  <c r="AL206" i="5" l="1"/>
  <c r="AO206" i="5"/>
  <c r="AP206" i="5"/>
  <c r="AO198" i="5"/>
  <c r="AL198" i="5"/>
  <c r="AQ206" i="5"/>
  <c r="AQ198" i="5"/>
  <c r="AW75" i="3"/>
  <c r="AV75" i="3"/>
  <c r="AV81" i="3" s="1"/>
  <c r="AU75" i="3"/>
  <c r="AU81" i="3" s="1"/>
  <c r="AT75" i="3"/>
  <c r="AT81" i="3" s="1"/>
  <c r="AS75" i="3"/>
  <c r="AS81" i="3" s="1"/>
  <c r="AR75" i="3"/>
  <c r="AR81" i="3" s="1"/>
  <c r="AW160" i="1" l="1"/>
  <c r="AW134" i="2"/>
  <c r="AW126" i="4" l="1"/>
  <c r="AW106" i="2" l="1"/>
  <c r="AW165" i="5" s="1"/>
  <c r="AW167" i="5" l="1"/>
  <c r="AW108" i="2"/>
  <c r="AW131" i="2"/>
  <c r="AW135" i="2" s="1"/>
  <c r="AW13" i="3"/>
  <c r="AW39" i="5" l="1"/>
  <c r="AW87" i="3"/>
  <c r="AW15" i="3"/>
  <c r="AW79" i="3"/>
  <c r="AW81" i="3" s="1"/>
  <c r="AW89" i="3" l="1"/>
  <c r="AW204" i="5"/>
  <c r="AW41" i="5"/>
  <c r="AW194" i="5"/>
  <c r="AW142" i="1"/>
  <c r="AW206" i="5" l="1"/>
  <c r="AW146" i="1"/>
  <c r="AW155" i="1"/>
  <c r="AW161" i="1" s="1"/>
  <c r="AW109" i="4"/>
  <c r="AW113" i="4" s="1"/>
  <c r="AW78" i="4"/>
  <c r="AW139" i="5" s="1"/>
  <c r="AW144" i="5" s="1"/>
  <c r="AW176" i="5" l="1"/>
  <c r="AW180" i="5" s="1"/>
  <c r="AW83" i="4"/>
  <c r="AW123" i="4"/>
  <c r="AW129" i="4" s="1"/>
  <c r="AW191" i="5" l="1"/>
  <c r="AW198" i="5" s="1"/>
</calcChain>
</file>

<file path=xl/sharedStrings.xml><?xml version="1.0" encoding="utf-8"?>
<sst xmlns="http://schemas.openxmlformats.org/spreadsheetml/2006/main" count="898" uniqueCount="118">
  <si>
    <t>Bachelor's</t>
  </si>
  <si>
    <t>FY 2011</t>
  </si>
  <si>
    <t>FY 2012</t>
  </si>
  <si>
    <t>FY 2010</t>
  </si>
  <si>
    <t>FY 2013</t>
  </si>
  <si>
    <t>Master's</t>
  </si>
  <si>
    <t>FY 2009</t>
  </si>
  <si>
    <t>Doctor's-research/scholarship</t>
  </si>
  <si>
    <t>FY 2008</t>
  </si>
  <si>
    <t>Graduate Certificate</t>
  </si>
  <si>
    <t>Undergraduate Certificate</t>
  </si>
  <si>
    <t>Educational Specialist</t>
  </si>
  <si>
    <t>FY 2007</t>
  </si>
  <si>
    <t>FY 2006</t>
  </si>
  <si>
    <t>FY 2005</t>
  </si>
  <si>
    <t>FY 2004</t>
  </si>
  <si>
    <t>FY 2003</t>
  </si>
  <si>
    <t>FY 2002</t>
  </si>
  <si>
    <t>FY 2001</t>
  </si>
  <si>
    <t>FY 2000</t>
  </si>
  <si>
    <t>FY 1999</t>
  </si>
  <si>
    <t>FY 1998</t>
  </si>
  <si>
    <t>FY 1997</t>
  </si>
  <si>
    <t>TABLE 2.10</t>
  </si>
  <si>
    <t>UNIVERSITY OF MISSOURI-COLUMBIA</t>
  </si>
  <si>
    <t>UNIVERSITY OF MISSOURI SYSTEM</t>
  </si>
  <si>
    <t>UNIVERSITY OF MISSOURI-KANSAS CITY</t>
  </si>
  <si>
    <t>UNIVERSITY OF MISSOURI-ST. LOUIS</t>
  </si>
  <si>
    <t>MISSOURI UNIVERSITY OF SCIENCE AND TECHNOLOGY</t>
  </si>
  <si>
    <t>SUMMARY</t>
  </si>
  <si>
    <t>MAJOR CIP GROUP</t>
  </si>
  <si>
    <t>Source: IPEDS C, Completions Survey</t>
  </si>
  <si>
    <t>Doctor's-professional practice</t>
  </si>
  <si>
    <t>STEM Programs*</t>
  </si>
  <si>
    <t>FY 1996</t>
  </si>
  <si>
    <t>FY 1995</t>
  </si>
  <si>
    <t>FY 1994</t>
  </si>
  <si>
    <t>FY 1993</t>
  </si>
  <si>
    <t>FY 1992</t>
  </si>
  <si>
    <t>FY 1989</t>
  </si>
  <si>
    <t>FY 1990</t>
  </si>
  <si>
    <t>FY 1991</t>
  </si>
  <si>
    <t>FY 1987</t>
  </si>
  <si>
    <t>FY 1988</t>
  </si>
  <si>
    <t>Professional Development</t>
  </si>
  <si>
    <t>FY 1986</t>
  </si>
  <si>
    <t>FY 1985</t>
  </si>
  <si>
    <t>FY 1984</t>
  </si>
  <si>
    <t>FY 1983</t>
  </si>
  <si>
    <t>FY 1982</t>
  </si>
  <si>
    <t>FY 1981</t>
  </si>
  <si>
    <t>FY 1980</t>
  </si>
  <si>
    <t>FY 1979</t>
  </si>
  <si>
    <t>FY 1978</t>
  </si>
  <si>
    <t>FY 1977</t>
  </si>
  <si>
    <t>FY 1976</t>
  </si>
  <si>
    <t>FY 1975</t>
  </si>
  <si>
    <t>FY 1974</t>
  </si>
  <si>
    <t>FY 1973</t>
  </si>
  <si>
    <t>FY 1972</t>
  </si>
  <si>
    <t>FY 1971</t>
  </si>
  <si>
    <t>FY 1970</t>
  </si>
  <si>
    <t>FY 1969</t>
  </si>
  <si>
    <t>FY 1968</t>
  </si>
  <si>
    <t>01 - Agriculture &amp; Agriculture Operations*</t>
  </si>
  <si>
    <t>03 - Natural Resources &amp; Conservation*</t>
  </si>
  <si>
    <t>04 - Architecture</t>
  </si>
  <si>
    <t>05 - Area,  Ethnic,  Cultural,  Gender, &amp; Group Studies</t>
  </si>
  <si>
    <t>09 - Communication &amp; Journalism</t>
  </si>
  <si>
    <t>11 - Computer &amp; Information Sciences*</t>
  </si>
  <si>
    <t>13 - Education</t>
  </si>
  <si>
    <t>14 - Engineering*</t>
  </si>
  <si>
    <t>99 - Grand Totals</t>
  </si>
  <si>
    <t>54 - History</t>
  </si>
  <si>
    <t>52 - Business  Management  &amp; Marketing</t>
  </si>
  <si>
    <t>51 - Health Professions</t>
  </si>
  <si>
    <t>50 - Visual &amp; Performing Arts</t>
  </si>
  <si>
    <t>45 - Social Sciences</t>
  </si>
  <si>
    <t>44 - Public Administration &amp; Social Service</t>
  </si>
  <si>
    <t>43 - Homeland Security, Law Enforcement, &amp; Firefighting</t>
  </si>
  <si>
    <t>42 - Psychology</t>
  </si>
  <si>
    <t>40 - Physical Sciences*</t>
  </si>
  <si>
    <t>38 - Philosophy &amp; Religious Studies</t>
  </si>
  <si>
    <t>31 - Parks, Recreation, Leisure, &amp; Fitness Studies</t>
  </si>
  <si>
    <t>30 - Multi/Interdisciplinary Studies</t>
  </si>
  <si>
    <t>27 - Mathematics &amp; Statistics*</t>
  </si>
  <si>
    <t>19 - Family &amp; Consumer Sciences/Human Sciences</t>
  </si>
  <si>
    <t>22 - Legal Professions &amp; Studies</t>
  </si>
  <si>
    <t>23 - English Language &amp; Literature/Letters</t>
  </si>
  <si>
    <t>26 - Biological &amp; Biomedical Sciences*</t>
  </si>
  <si>
    <t>25 - Library Science</t>
  </si>
  <si>
    <t>24 - Liberal Arts &amp; Sciences/General Studies &amp; Humanities</t>
  </si>
  <si>
    <t>16 - Foreign Languages, Literatures, &amp; Linguistics</t>
  </si>
  <si>
    <t>15 - Engineering Technologies*</t>
  </si>
  <si>
    <t xml:space="preserve">            Prior year figures reflect current CIP classification.</t>
  </si>
  <si>
    <t xml:space="preserve">            17 &amp; 18 merged to create group 51.  Prior figures reflect current CIP classification.</t>
  </si>
  <si>
    <t>Notes: In FY 1992, Major CIP Groups 16 &amp; 17 merged to create group 52 and Major CIP Groups</t>
  </si>
  <si>
    <t xml:space="preserve">            figures reflect current CIP classification.</t>
  </si>
  <si>
    <t xml:space="preserve">            In FY 2003, Major CIP Group 02 merged with group 01 and Major CIP Group 54 separated</t>
  </si>
  <si>
    <t xml:space="preserve">            from group 45.  Prior year figures reflect current CIP classification.</t>
  </si>
  <si>
    <t xml:space="preserve">            current CIP classification.          </t>
  </si>
  <si>
    <t xml:space="preserve">            In FY 2003, Major CIP Group 54 separated from group 45.  Prior year figures reflect</t>
  </si>
  <si>
    <t xml:space="preserve">            Prior to FY 2007, Major CIP Group 03 was originally reported in group 30.  Prior year</t>
  </si>
  <si>
    <t>Notes: In FY 2003, Major CIP Group 54 separated from group 45.  Prior year figures reflect</t>
  </si>
  <si>
    <t xml:space="preserve">            Prior to FY 2010 (except FY 2003), Major CIP Group 15 was originally reported in group 14.</t>
  </si>
  <si>
    <t xml:space="preserve">            Prior to FY 2007, Major CIP Group 03 for UMKC was originally reported in group 30.</t>
  </si>
  <si>
    <t xml:space="preserve">            Prior to FY 2010 (except FY 2003), Major CIP Group 15 for S&amp;T was originally reported in</t>
  </si>
  <si>
    <t xml:space="preserve">            group 14.  Prior year figures reflect current CIP classification.</t>
  </si>
  <si>
    <t>FY 2014</t>
  </si>
  <si>
    <t>DEGREES AWARDED</t>
  </si>
  <si>
    <t>FY 2015</t>
  </si>
  <si>
    <t>29 - Military Technologies &amp; Applied Sciences*</t>
  </si>
  <si>
    <t>FY 2016</t>
  </si>
  <si>
    <t>FY 2017</t>
  </si>
  <si>
    <t>FY 2018</t>
  </si>
  <si>
    <t>*STEM programs are based on CIP codes listed in the Missouri Department of Higher Education's (MDHE) Performance Funding manual, located on page 5:</t>
  </si>
  <si>
    <t>https://dhe.mo.gov/documents/performancefunding2018.pdf</t>
  </si>
  <si>
    <t>UM-IR 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</si>
</sst>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Times New Roman"/>
      <family val="1"/>
    </font>
    <font>
      <u/>
      <sz val="7.85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37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7" xfId="0" applyNumberFormat="1" applyFont="1" applyBorder="1"/>
    <xf numFmtId="0" fontId="4" fillId="0" borderId="0" xfId="0" applyFont="1" applyBorder="1" applyProtection="1"/>
    <xf numFmtId="3" fontId="3" fillId="0" borderId="0" xfId="0" applyNumberFormat="1" applyFont="1" applyBorder="1"/>
    <xf numFmtId="3" fontId="2" fillId="0" borderId="4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2" borderId="0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/>
    </xf>
    <xf numFmtId="3" fontId="3" fillId="3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/>
    <xf numFmtId="3" fontId="8" fillId="0" borderId="0" xfId="0" applyNumberFormat="1" applyFont="1" applyFill="1" applyBorder="1"/>
    <xf numFmtId="3" fontId="2" fillId="0" borderId="0" xfId="0" applyNumberFormat="1" applyFont="1" applyFill="1"/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3" fontId="2" fillId="0" borderId="1" xfId="0" applyNumberFormat="1" applyFont="1" applyFill="1" applyBorder="1"/>
    <xf numFmtId="3" fontId="3" fillId="4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/>
    <xf numFmtId="3" fontId="3" fillId="5" borderId="0" xfId="0" applyNumberFormat="1" applyFont="1" applyFill="1" applyBorder="1" applyAlignment="1">
      <alignment vertical="center"/>
    </xf>
    <xf numFmtId="3" fontId="2" fillId="5" borderId="0" xfId="0" applyNumberFormat="1" applyFont="1" applyFill="1" applyBorder="1"/>
    <xf numFmtId="3" fontId="3" fillId="6" borderId="0" xfId="0" applyNumberFormat="1" applyFont="1" applyFill="1" applyBorder="1" applyAlignment="1">
      <alignment vertical="center"/>
    </xf>
    <xf numFmtId="3" fontId="2" fillId="6" borderId="0" xfId="0" applyNumberFormat="1" applyFont="1" applyFill="1" applyBorder="1"/>
    <xf numFmtId="3" fontId="2" fillId="0" borderId="0" xfId="0" quotePrefix="1" applyNumberFormat="1" applyFont="1" applyFill="1" applyBorder="1"/>
    <xf numFmtId="0" fontId="5" fillId="0" borderId="1" xfId="0" applyFont="1" applyBorder="1" applyAlignment="1"/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3" fontId="2" fillId="7" borderId="0" xfId="0" applyNumberFormat="1" applyFont="1" applyFill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7" fillId="0" borderId="1" xfId="1" applyNumberFormat="1" applyFont="1" applyBorder="1" applyAlignment="1"/>
    <xf numFmtId="0" fontId="7" fillId="0" borderId="1" xfId="1" applyFont="1" applyBorder="1" applyAlignment="1"/>
    <xf numFmtId="3" fontId="2" fillId="0" borderId="4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7" fillId="0" borderId="0" xfId="1" applyFont="1" applyAlignment="1"/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he.mo.gov/documents/performancefunding2018.pdf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://www.umsystem.edu/ums/fa/ir/ipedsc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he.mo.gov/documents/performancefunding2018.pdf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://www.umsystem.edu/ums/fa/ir/ipedsc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he.mo.gov/documents/performancefunding2018.pdf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://www.umsystem.edu/ums/fa/ir/ipedsc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he.mo.gov/documents/performancefunding2018.pdf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://www.umsystem.edu/ums/fa/ir/ipedsc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he.mo.gov/documents/performancefunding2018.pdf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://www.umsystem.edu/ums/fa/ir/ipedsc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24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2"/>
  <cols>
    <col min="1" max="2" width="2.7109375" style="1" customWidth="1"/>
    <col min="3" max="3" width="25.7109375" style="1" bestFit="1" customWidth="1"/>
    <col min="4" max="48" width="7.7109375" style="1" hidden="1" customWidth="1"/>
    <col min="49" max="54" width="7.7109375" style="1" customWidth="1"/>
    <col min="55" max="55" width="2.7109375" style="1" customWidth="1"/>
    <col min="56" max="16384" width="9.140625" style="1"/>
  </cols>
  <sheetData>
    <row r="2" spans="1:55" ht="15" customHeight="1" x14ac:dyDescent="0.25">
      <c r="A2" s="35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7"/>
    </row>
    <row r="3" spans="1:55" ht="13.5" customHeight="1" x14ac:dyDescent="0.2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8"/>
    </row>
    <row r="4" spans="1:55" ht="15" customHeight="1" x14ac:dyDescent="0.25">
      <c r="A4" s="7"/>
      <c r="B4" s="9" t="s">
        <v>109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8"/>
    </row>
    <row r="5" spans="1:55" ht="15" customHeight="1" x14ac:dyDescent="0.25">
      <c r="A5" s="7"/>
      <c r="B5" s="9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8"/>
    </row>
    <row r="6" spans="1:55" ht="13.5" customHeight="1" x14ac:dyDescent="0.2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8"/>
    </row>
    <row r="7" spans="1:55" ht="13.5" customHeight="1" thickBot="1" x14ac:dyDescent="0.25">
      <c r="A7" s="7"/>
      <c r="B7" s="5"/>
      <c r="C7" s="5"/>
      <c r="D7" s="6" t="s">
        <v>63</v>
      </c>
      <c r="E7" s="6" t="s">
        <v>62</v>
      </c>
      <c r="F7" s="6" t="s">
        <v>61</v>
      </c>
      <c r="G7" s="6" t="s">
        <v>60</v>
      </c>
      <c r="H7" s="6" t="s">
        <v>59</v>
      </c>
      <c r="I7" s="6" t="s">
        <v>58</v>
      </c>
      <c r="J7" s="6" t="s">
        <v>57</v>
      </c>
      <c r="K7" s="6" t="s">
        <v>56</v>
      </c>
      <c r="L7" s="6" t="s">
        <v>55</v>
      </c>
      <c r="M7" s="6" t="s">
        <v>54</v>
      </c>
      <c r="N7" s="6" t="s">
        <v>53</v>
      </c>
      <c r="O7" s="6" t="s">
        <v>52</v>
      </c>
      <c r="P7" s="6" t="s">
        <v>51</v>
      </c>
      <c r="Q7" s="6" t="s">
        <v>50</v>
      </c>
      <c r="R7" s="6" t="s">
        <v>49</v>
      </c>
      <c r="S7" s="6" t="s">
        <v>48</v>
      </c>
      <c r="T7" s="6" t="s">
        <v>47</v>
      </c>
      <c r="U7" s="6" t="s">
        <v>46</v>
      </c>
      <c r="V7" s="6" t="s">
        <v>45</v>
      </c>
      <c r="W7" s="6" t="s">
        <v>42</v>
      </c>
      <c r="X7" s="6" t="s">
        <v>43</v>
      </c>
      <c r="Y7" s="6" t="s">
        <v>39</v>
      </c>
      <c r="Z7" s="6" t="s">
        <v>40</v>
      </c>
      <c r="AA7" s="6" t="s">
        <v>41</v>
      </c>
      <c r="AB7" s="6" t="s">
        <v>38</v>
      </c>
      <c r="AC7" s="6" t="s">
        <v>37</v>
      </c>
      <c r="AD7" s="6" t="s">
        <v>36</v>
      </c>
      <c r="AE7" s="6" t="s">
        <v>35</v>
      </c>
      <c r="AF7" s="6" t="s">
        <v>34</v>
      </c>
      <c r="AG7" s="6" t="s">
        <v>22</v>
      </c>
      <c r="AH7" s="6" t="s">
        <v>21</v>
      </c>
      <c r="AI7" s="6" t="s">
        <v>20</v>
      </c>
      <c r="AJ7" s="6" t="s">
        <v>19</v>
      </c>
      <c r="AK7" s="6" t="s">
        <v>18</v>
      </c>
      <c r="AL7" s="6" t="s">
        <v>17</v>
      </c>
      <c r="AM7" s="6" t="s">
        <v>16</v>
      </c>
      <c r="AN7" s="6" t="s">
        <v>15</v>
      </c>
      <c r="AO7" s="6" t="s">
        <v>14</v>
      </c>
      <c r="AP7" s="6" t="s">
        <v>13</v>
      </c>
      <c r="AQ7" s="6" t="s">
        <v>12</v>
      </c>
      <c r="AR7" s="6" t="s">
        <v>8</v>
      </c>
      <c r="AS7" s="6" t="s">
        <v>6</v>
      </c>
      <c r="AT7" s="6" t="s">
        <v>3</v>
      </c>
      <c r="AU7" s="6" t="s">
        <v>1</v>
      </c>
      <c r="AV7" s="6" t="s">
        <v>2</v>
      </c>
      <c r="AW7" s="6" t="s">
        <v>4</v>
      </c>
      <c r="AX7" s="6" t="s">
        <v>108</v>
      </c>
      <c r="AY7" s="6" t="s">
        <v>110</v>
      </c>
      <c r="AZ7" s="21" t="s">
        <v>112</v>
      </c>
      <c r="BA7" s="21" t="s">
        <v>113</v>
      </c>
      <c r="BB7" s="21" t="s">
        <v>114</v>
      </c>
      <c r="BC7" s="8"/>
    </row>
    <row r="8" spans="1:55" ht="13.5" customHeight="1" thickTop="1" x14ac:dyDescent="0.2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8"/>
    </row>
    <row r="9" spans="1:55" ht="13.5" customHeight="1" x14ac:dyDescent="0.2">
      <c r="A9" s="7"/>
      <c r="B9" s="28" t="s">
        <v>30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8"/>
    </row>
    <row r="10" spans="1:55" ht="13.5" customHeight="1" x14ac:dyDescent="0.2">
      <c r="A10" s="7"/>
      <c r="B10" s="10" t="s">
        <v>64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8"/>
    </row>
    <row r="11" spans="1:55" ht="13.5" customHeight="1" x14ac:dyDescent="0.2">
      <c r="A11" s="7"/>
      <c r="B11" s="2"/>
      <c r="C11" s="3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f>MU!W11</f>
        <v>271</v>
      </c>
      <c r="X11" s="2">
        <f>MU!X11</f>
        <v>271</v>
      </c>
      <c r="Y11" s="2">
        <f>MU!Y11</f>
        <v>220</v>
      </c>
      <c r="Z11" s="2">
        <f>MU!Z11</f>
        <v>172</v>
      </c>
      <c r="AA11" s="2">
        <f>MU!AA11</f>
        <v>146</v>
      </c>
      <c r="AB11" s="2">
        <f>MU!AB11</f>
        <v>145</v>
      </c>
      <c r="AC11" s="2">
        <f>MU!AC11</f>
        <v>164</v>
      </c>
      <c r="AD11" s="2">
        <f>MU!AD11</f>
        <v>155</v>
      </c>
      <c r="AE11" s="2">
        <f>MU!AE11</f>
        <v>183</v>
      </c>
      <c r="AF11" s="2">
        <f>MU!AF11</f>
        <v>198</v>
      </c>
      <c r="AG11" s="2">
        <f>MU!AG11</f>
        <v>198</v>
      </c>
      <c r="AH11" s="2">
        <f>MU!AH11</f>
        <v>221</v>
      </c>
      <c r="AI11" s="2">
        <f>MU!AI11</f>
        <v>203</v>
      </c>
      <c r="AJ11" s="2">
        <f>MU!AJ11</f>
        <v>235</v>
      </c>
      <c r="AK11" s="2">
        <f>MU!AK11</f>
        <v>244</v>
      </c>
      <c r="AL11" s="2">
        <f>MU!AL11</f>
        <v>180</v>
      </c>
      <c r="AM11" s="2">
        <f>MU!AM11</f>
        <v>220</v>
      </c>
      <c r="AN11" s="2">
        <f>MU!AN11</f>
        <v>199</v>
      </c>
      <c r="AO11" s="2">
        <f>MU!AO11</f>
        <v>191</v>
      </c>
      <c r="AP11" s="2">
        <f>MU!AP11</f>
        <v>210</v>
      </c>
      <c r="AQ11" s="2">
        <f>MU!AQ11</f>
        <v>203</v>
      </c>
      <c r="AR11" s="2">
        <f>MU!AR11</f>
        <v>216</v>
      </c>
      <c r="AS11" s="2">
        <f>MU!AS11</f>
        <v>212</v>
      </c>
      <c r="AT11" s="2">
        <f>MU!AT11</f>
        <v>205</v>
      </c>
      <c r="AU11" s="2">
        <f>MU!AU11</f>
        <v>229</v>
      </c>
      <c r="AV11" s="2">
        <f>MU!AV11</f>
        <v>239</v>
      </c>
      <c r="AW11" s="2">
        <f>MU!AW11</f>
        <v>275</v>
      </c>
      <c r="AX11" s="2">
        <f>MU!AX11</f>
        <v>274</v>
      </c>
      <c r="AY11" s="2">
        <f>MU!AY11</f>
        <v>272</v>
      </c>
      <c r="AZ11" s="2">
        <f>MU!AZ11</f>
        <v>318</v>
      </c>
      <c r="BA11" s="2">
        <f>MU!BA11</f>
        <v>295</v>
      </c>
      <c r="BB11" s="2">
        <f>MU!BB11</f>
        <v>314</v>
      </c>
      <c r="BC11" s="8"/>
    </row>
    <row r="12" spans="1:55" ht="13.5" customHeight="1" x14ac:dyDescent="0.2">
      <c r="A12" s="7"/>
      <c r="B12" s="2"/>
      <c r="C12" s="3" t="s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f>MU!W12</f>
        <v>50</v>
      </c>
      <c r="X12" s="2">
        <f>MU!X12</f>
        <v>58</v>
      </c>
      <c r="Y12" s="2">
        <f>MU!Y12</f>
        <v>36</v>
      </c>
      <c r="Z12" s="2">
        <f>MU!Z12</f>
        <v>54</v>
      </c>
      <c r="AA12" s="2">
        <f>MU!AA12</f>
        <v>50</v>
      </c>
      <c r="AB12" s="2">
        <f>MU!AB12</f>
        <v>38</v>
      </c>
      <c r="AC12" s="2">
        <f>MU!AC12</f>
        <v>39</v>
      </c>
      <c r="AD12" s="2">
        <f>MU!AD12</f>
        <v>50</v>
      </c>
      <c r="AE12" s="2">
        <f>MU!AE12</f>
        <v>36</v>
      </c>
      <c r="AF12" s="2">
        <f>MU!AF12</f>
        <v>30</v>
      </c>
      <c r="AG12" s="2">
        <f>MU!AG12</f>
        <v>27</v>
      </c>
      <c r="AH12" s="2">
        <f>MU!AH12</f>
        <v>24</v>
      </c>
      <c r="AI12" s="2">
        <f>MU!AI12</f>
        <v>31</v>
      </c>
      <c r="AJ12" s="2">
        <f>MU!AJ12</f>
        <v>28</v>
      </c>
      <c r="AK12" s="2">
        <f>MU!AK12</f>
        <v>31</v>
      </c>
      <c r="AL12" s="2">
        <f>MU!AL12</f>
        <v>35</v>
      </c>
      <c r="AM12" s="2">
        <f>MU!AM12</f>
        <v>20</v>
      </c>
      <c r="AN12" s="2">
        <f>MU!AN12</f>
        <v>27</v>
      </c>
      <c r="AO12" s="2">
        <f>MU!AO12</f>
        <v>29</v>
      </c>
      <c r="AP12" s="2">
        <f>MU!AP12</f>
        <v>29</v>
      </c>
      <c r="AQ12" s="2">
        <f>MU!AQ12</f>
        <v>33</v>
      </c>
      <c r="AR12" s="2">
        <f>MU!AR12</f>
        <v>27</v>
      </c>
      <c r="AS12" s="2">
        <f>MU!AS12</f>
        <v>31</v>
      </c>
      <c r="AT12" s="2">
        <f>MU!AT12</f>
        <v>32</v>
      </c>
      <c r="AU12" s="2">
        <f>MU!AU12</f>
        <v>33</v>
      </c>
      <c r="AV12" s="2">
        <f>MU!AV12</f>
        <v>36</v>
      </c>
      <c r="AW12" s="2">
        <f>MU!AW12</f>
        <v>32</v>
      </c>
      <c r="AX12" s="2">
        <f>MU!AX12</f>
        <v>54</v>
      </c>
      <c r="AY12" s="2">
        <f>MU!AY12</f>
        <v>25</v>
      </c>
      <c r="AZ12" s="2">
        <f>MU!AZ12</f>
        <v>49</v>
      </c>
      <c r="BA12" s="2">
        <f>MU!BA12</f>
        <v>30</v>
      </c>
      <c r="BB12" s="2">
        <f>MU!BB12</f>
        <v>34</v>
      </c>
      <c r="BC12" s="8"/>
    </row>
    <row r="13" spans="1:55" ht="13.5" customHeight="1" x14ac:dyDescent="0.2">
      <c r="A13" s="7"/>
      <c r="B13" s="2"/>
      <c r="C13" s="3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f>MU!W13</f>
        <v>17</v>
      </c>
      <c r="X13" s="2">
        <f>MU!X13</f>
        <v>16</v>
      </c>
      <c r="Y13" s="2">
        <f>MU!Y13</f>
        <v>20</v>
      </c>
      <c r="Z13" s="2">
        <f>MU!Z13</f>
        <v>38</v>
      </c>
      <c r="AA13" s="2">
        <f>MU!AA13</f>
        <v>17</v>
      </c>
      <c r="AB13" s="2">
        <f>MU!AB13</f>
        <v>27</v>
      </c>
      <c r="AC13" s="2">
        <f>MU!AC13</f>
        <v>21</v>
      </c>
      <c r="AD13" s="2">
        <f>MU!AD13</f>
        <v>19</v>
      </c>
      <c r="AE13" s="2">
        <f>MU!AE13</f>
        <v>18</v>
      </c>
      <c r="AF13" s="2">
        <f>MU!AF13</f>
        <v>20</v>
      </c>
      <c r="AG13" s="2">
        <f>MU!AG13</f>
        <v>13</v>
      </c>
      <c r="AH13" s="2">
        <f>MU!AH13</f>
        <v>14</v>
      </c>
      <c r="AI13" s="2">
        <f>MU!AI13</f>
        <v>17</v>
      </c>
      <c r="AJ13" s="2">
        <f>MU!AJ13</f>
        <v>16</v>
      </c>
      <c r="AK13" s="2">
        <f>MU!AK13</f>
        <v>18</v>
      </c>
      <c r="AL13" s="2">
        <f>MU!AL13</f>
        <v>15</v>
      </c>
      <c r="AM13" s="2">
        <f>MU!AM13</f>
        <v>17</v>
      </c>
      <c r="AN13" s="2">
        <f>MU!AN13</f>
        <v>15</v>
      </c>
      <c r="AO13" s="2">
        <f>MU!AO13</f>
        <v>14</v>
      </c>
      <c r="AP13" s="2">
        <f>MU!AP13</f>
        <v>14</v>
      </c>
      <c r="AQ13" s="2">
        <f>MU!AQ13</f>
        <v>17</v>
      </c>
      <c r="AR13" s="2">
        <f>MU!AR13</f>
        <v>11</v>
      </c>
      <c r="AS13" s="2">
        <f>MU!AS13</f>
        <v>22</v>
      </c>
      <c r="AT13" s="2">
        <f>MU!AT13</f>
        <v>12</v>
      </c>
      <c r="AU13" s="2">
        <f>MU!AU13</f>
        <v>18</v>
      </c>
      <c r="AV13" s="2">
        <f>MU!AV13</f>
        <v>18</v>
      </c>
      <c r="AW13" s="2">
        <f>MU!AW13</f>
        <v>24</v>
      </c>
      <c r="AX13" s="2">
        <f>MU!AX13</f>
        <v>22</v>
      </c>
      <c r="AY13" s="2">
        <f>MU!AY13</f>
        <v>22</v>
      </c>
      <c r="AZ13" s="2">
        <f>MU!AZ13</f>
        <v>17</v>
      </c>
      <c r="BA13" s="2">
        <f>MU!BA13</f>
        <v>29</v>
      </c>
      <c r="BB13" s="2">
        <f>MU!BB13</f>
        <v>20</v>
      </c>
      <c r="BC13" s="8"/>
    </row>
    <row r="14" spans="1:55" ht="13.5" customHeight="1" x14ac:dyDescent="0.2">
      <c r="A14" s="7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1">
        <f t="shared" ref="W14:AA14" si="0">SUM(W11:W13)</f>
        <v>338</v>
      </c>
      <c r="X14" s="11">
        <f t="shared" si="0"/>
        <v>345</v>
      </c>
      <c r="Y14" s="11">
        <f t="shared" si="0"/>
        <v>276</v>
      </c>
      <c r="Z14" s="11">
        <f t="shared" si="0"/>
        <v>264</v>
      </c>
      <c r="AA14" s="11">
        <f t="shared" si="0"/>
        <v>213</v>
      </c>
      <c r="AB14" s="11">
        <f t="shared" ref="AB14:AD14" si="1">SUM(AB11:AB13)</f>
        <v>210</v>
      </c>
      <c r="AC14" s="11">
        <f t="shared" si="1"/>
        <v>224</v>
      </c>
      <c r="AD14" s="11">
        <f t="shared" si="1"/>
        <v>224</v>
      </c>
      <c r="AE14" s="11">
        <f t="shared" ref="AE14:AG14" si="2">SUM(AE11:AE13)</f>
        <v>237</v>
      </c>
      <c r="AF14" s="11">
        <f t="shared" si="2"/>
        <v>248</v>
      </c>
      <c r="AG14" s="11">
        <f t="shared" si="2"/>
        <v>238</v>
      </c>
      <c r="AH14" s="11">
        <f>SUM(AH11:AH13)</f>
        <v>259</v>
      </c>
      <c r="AI14" s="11">
        <f t="shared" ref="AI14:AW14" si="3">SUM(AI11:AI13)</f>
        <v>251</v>
      </c>
      <c r="AJ14" s="11">
        <f t="shared" si="3"/>
        <v>279</v>
      </c>
      <c r="AK14" s="11">
        <f t="shared" si="3"/>
        <v>293</v>
      </c>
      <c r="AL14" s="11">
        <f t="shared" si="3"/>
        <v>230</v>
      </c>
      <c r="AM14" s="11">
        <f t="shared" si="3"/>
        <v>257</v>
      </c>
      <c r="AN14" s="11">
        <f t="shared" si="3"/>
        <v>241</v>
      </c>
      <c r="AO14" s="11">
        <f t="shared" si="3"/>
        <v>234</v>
      </c>
      <c r="AP14" s="11">
        <f t="shared" si="3"/>
        <v>253</v>
      </c>
      <c r="AQ14" s="11">
        <f t="shared" si="3"/>
        <v>253</v>
      </c>
      <c r="AR14" s="11">
        <f t="shared" si="3"/>
        <v>254</v>
      </c>
      <c r="AS14" s="11">
        <f t="shared" si="3"/>
        <v>265</v>
      </c>
      <c r="AT14" s="11">
        <f t="shared" si="3"/>
        <v>249</v>
      </c>
      <c r="AU14" s="11">
        <f t="shared" si="3"/>
        <v>280</v>
      </c>
      <c r="AV14" s="11">
        <f t="shared" si="3"/>
        <v>293</v>
      </c>
      <c r="AW14" s="11">
        <f t="shared" si="3"/>
        <v>331</v>
      </c>
      <c r="AX14" s="11">
        <f t="shared" ref="AX14:AY14" si="4">SUM(AX11:AX13)</f>
        <v>350</v>
      </c>
      <c r="AY14" s="11">
        <f t="shared" si="4"/>
        <v>319</v>
      </c>
      <c r="AZ14" s="11">
        <f t="shared" ref="AZ14:BA14" si="5">SUM(AZ11:AZ13)</f>
        <v>384</v>
      </c>
      <c r="BA14" s="11">
        <f t="shared" si="5"/>
        <v>354</v>
      </c>
      <c r="BB14" s="11">
        <f t="shared" ref="BB14" si="6">SUM(BB11:BB13)</f>
        <v>368</v>
      </c>
      <c r="BC14" s="8"/>
    </row>
    <row r="15" spans="1:55" ht="13.5" customHeight="1" x14ac:dyDescent="0.2">
      <c r="A15" s="7"/>
      <c r="B15" s="10" t="s">
        <v>65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8"/>
    </row>
    <row r="16" spans="1:55" ht="13.5" customHeight="1" x14ac:dyDescent="0.2">
      <c r="A16" s="7"/>
      <c r="B16" s="2"/>
      <c r="C16" s="3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f>MU!W16</f>
        <v>56</v>
      </c>
      <c r="X16" s="2">
        <f>MU!X16</f>
        <v>55</v>
      </c>
      <c r="Y16" s="2">
        <f>MU!Y16</f>
        <v>46</v>
      </c>
      <c r="Z16" s="2">
        <f>MU!Z16</f>
        <v>41</v>
      </c>
      <c r="AA16" s="2">
        <f>MU!AA16</f>
        <v>30</v>
      </c>
      <c r="AB16" s="2">
        <f>MU!AB16</f>
        <v>47</v>
      </c>
      <c r="AC16" s="2">
        <f>MU!AC16</f>
        <v>49</v>
      </c>
      <c r="AD16" s="2">
        <f>MU!AD16</f>
        <v>42</v>
      </c>
      <c r="AE16" s="2">
        <f>MU!AE16</f>
        <v>34</v>
      </c>
      <c r="AF16" s="2">
        <f>MU!AF16</f>
        <v>49</v>
      </c>
      <c r="AG16" s="2">
        <f>MU!AG16</f>
        <v>45</v>
      </c>
      <c r="AH16" s="2">
        <f>MU!AH16</f>
        <v>43</v>
      </c>
      <c r="AI16" s="2">
        <f>MU!AI16</f>
        <v>61</v>
      </c>
      <c r="AJ16" s="2">
        <f>MU!AJ16</f>
        <v>41</v>
      </c>
      <c r="AK16" s="2">
        <f>MU!AK16+UMKC!AK11</f>
        <v>39</v>
      </c>
      <c r="AL16" s="2">
        <f>MU!AL16+UMKC!AL11</f>
        <v>47</v>
      </c>
      <c r="AM16" s="2">
        <f>MU!AM16+UMKC!AM11</f>
        <v>66</v>
      </c>
      <c r="AN16" s="2">
        <f>MU!AN16+UMKC!AN11</f>
        <v>58</v>
      </c>
      <c r="AO16" s="2">
        <f>MU!AO16+UMKC!AO11</f>
        <v>60</v>
      </c>
      <c r="AP16" s="2">
        <f>MU!AP16+UMKC!AP11</f>
        <v>59</v>
      </c>
      <c r="AQ16" s="2">
        <f>MU!AQ16+UMKC!AQ11</f>
        <v>84</v>
      </c>
      <c r="AR16" s="2">
        <f>MU!AR16+UMKC!AR11</f>
        <v>83</v>
      </c>
      <c r="AS16" s="2">
        <f>MU!AS16+UMKC!AS11</f>
        <v>68</v>
      </c>
      <c r="AT16" s="2">
        <f>MU!AT16+UMKC!AT11</f>
        <v>66</v>
      </c>
      <c r="AU16" s="2">
        <f>MU!AU16+UMKC!AU11</f>
        <v>78</v>
      </c>
      <c r="AV16" s="2">
        <f>MU!AV16+UMKC!AV11</f>
        <v>93</v>
      </c>
      <c r="AW16" s="2">
        <f>MU!AW16+UMKC!AW11</f>
        <v>75</v>
      </c>
      <c r="AX16" s="2">
        <f>MU!AX16+UMKC!AX11</f>
        <v>92</v>
      </c>
      <c r="AY16" s="2">
        <f>MU!AY16+UMKC!AY11</f>
        <v>83</v>
      </c>
      <c r="AZ16" s="2">
        <f>MU!AZ16+UMKC!AZ11</f>
        <v>94</v>
      </c>
      <c r="BA16" s="2">
        <f>MU!BA16+UMKC!BA11</f>
        <v>69</v>
      </c>
      <c r="BB16" s="2">
        <f>MU!BB16+UMKC!BB11</f>
        <v>68</v>
      </c>
      <c r="BC16" s="8"/>
    </row>
    <row r="17" spans="1:55" ht="13.5" customHeight="1" x14ac:dyDescent="0.2">
      <c r="A17" s="7"/>
      <c r="B17" s="2"/>
      <c r="C17" s="3" t="s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>
        <f>UMKC!AM12</f>
        <v>0</v>
      </c>
      <c r="AN17" s="2">
        <f>UMKC!AN12</f>
        <v>0</v>
      </c>
      <c r="AO17" s="2">
        <f>UMKC!AO12</f>
        <v>0</v>
      </c>
      <c r="AP17" s="2">
        <f>UMKC!AP12</f>
        <v>0</v>
      </c>
      <c r="AQ17" s="2">
        <f>UMKC!AQ12</f>
        <v>0</v>
      </c>
      <c r="AR17" s="2">
        <f>UMKC!AR12</f>
        <v>0</v>
      </c>
      <c r="AS17" s="2">
        <f>UMKC!AS12</f>
        <v>0</v>
      </c>
      <c r="AT17" s="2">
        <f>UMKC!AT12</f>
        <v>0</v>
      </c>
      <c r="AU17" s="2">
        <f>UMKC!AU12</f>
        <v>0</v>
      </c>
      <c r="AV17" s="2">
        <f>UMKC!AV12</f>
        <v>1</v>
      </c>
      <c r="AW17" s="2">
        <f>MU!AW17+UMKC!AW12</f>
        <v>1</v>
      </c>
      <c r="AX17" s="2">
        <f>MU!AX17+UMKC!AX12</f>
        <v>1</v>
      </c>
      <c r="AY17" s="2">
        <f>MU!AY17+UMKC!AY12</f>
        <v>3</v>
      </c>
      <c r="AZ17" s="2">
        <f>MU!AZ17+UMKC!AZ12</f>
        <v>1</v>
      </c>
      <c r="BA17" s="2">
        <f>MU!BA17+UMKC!BA12</f>
        <v>5</v>
      </c>
      <c r="BB17" s="2">
        <f>MU!BB17+UMKC!BB12</f>
        <v>11</v>
      </c>
      <c r="BC17" s="8"/>
    </row>
    <row r="18" spans="1:55" ht="13.5" customHeight="1" x14ac:dyDescent="0.2">
      <c r="A18" s="7"/>
      <c r="B18" s="2"/>
      <c r="C18" s="3" t="s">
        <v>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f>MU!W18</f>
        <v>10</v>
      </c>
      <c r="X18" s="2">
        <f>MU!X18</f>
        <v>13</v>
      </c>
      <c r="Y18" s="2">
        <f>MU!Y18</f>
        <v>12</v>
      </c>
      <c r="Z18" s="2">
        <f>MU!Z18</f>
        <v>9</v>
      </c>
      <c r="AA18" s="2">
        <f>MU!AA18</f>
        <v>12</v>
      </c>
      <c r="AB18" s="2">
        <f>MU!AB18</f>
        <v>13</v>
      </c>
      <c r="AC18" s="2">
        <f>MU!AC18</f>
        <v>14</v>
      </c>
      <c r="AD18" s="2">
        <f>MU!AD18</f>
        <v>14</v>
      </c>
      <c r="AE18" s="2">
        <f>MU!AE18</f>
        <v>11</v>
      </c>
      <c r="AF18" s="2">
        <f>MU!AF18</f>
        <v>13</v>
      </c>
      <c r="AG18" s="2">
        <f>MU!AG18</f>
        <v>17</v>
      </c>
      <c r="AH18" s="2">
        <f>MU!AH18</f>
        <v>12</v>
      </c>
      <c r="AI18" s="2">
        <f>MU!AI18</f>
        <v>13</v>
      </c>
      <c r="AJ18" s="2">
        <f>MU!AJ18</f>
        <v>12</v>
      </c>
      <c r="AK18" s="2">
        <f>MU!AK18</f>
        <v>12</v>
      </c>
      <c r="AL18" s="2">
        <f>MU!AL18</f>
        <v>8</v>
      </c>
      <c r="AM18" s="2">
        <f>MU!AM18</f>
        <v>11</v>
      </c>
      <c r="AN18" s="2">
        <f>MU!AN18</f>
        <v>12</v>
      </c>
      <c r="AO18" s="2">
        <f>MU!AO18</f>
        <v>13</v>
      </c>
      <c r="AP18" s="2">
        <f>MU!AP18</f>
        <v>12</v>
      </c>
      <c r="AQ18" s="2">
        <f>MU!AQ18</f>
        <v>14</v>
      </c>
      <c r="AR18" s="2">
        <f>MU!AR18</f>
        <v>8</v>
      </c>
      <c r="AS18" s="2">
        <f>MU!AS18</f>
        <v>14</v>
      </c>
      <c r="AT18" s="2">
        <f>MU!AT18</f>
        <v>5</v>
      </c>
      <c r="AU18" s="2">
        <f>MU!AU18</f>
        <v>17</v>
      </c>
      <c r="AV18" s="2">
        <f>MU!AV18</f>
        <v>13</v>
      </c>
      <c r="AW18" s="2">
        <f>MU!AW18</f>
        <v>14</v>
      </c>
      <c r="AX18" s="2">
        <f>MU!AX18</f>
        <v>9</v>
      </c>
      <c r="AY18" s="2">
        <f>MU!AY18</f>
        <v>16</v>
      </c>
      <c r="AZ18" s="2">
        <f>MU!AZ18</f>
        <v>34</v>
      </c>
      <c r="BA18" s="2">
        <f>MU!BA18</f>
        <v>39</v>
      </c>
      <c r="BB18" s="2">
        <f>MU!BB18</f>
        <v>21</v>
      </c>
      <c r="BC18" s="8"/>
    </row>
    <row r="19" spans="1:55" ht="13.5" customHeight="1" x14ac:dyDescent="0.2">
      <c r="A19" s="7"/>
      <c r="B19" s="2"/>
      <c r="C19" s="3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f>MU!W19</f>
        <v>4</v>
      </c>
      <c r="X19" s="2">
        <f>MU!X19</f>
        <v>3</v>
      </c>
      <c r="Y19" s="2">
        <f>MU!Y19</f>
        <v>7</v>
      </c>
      <c r="Z19" s="2">
        <f>MU!Z19</f>
        <v>4</v>
      </c>
      <c r="AA19" s="2">
        <f>MU!AA19</f>
        <v>1</v>
      </c>
      <c r="AB19" s="2">
        <f>MU!AB19</f>
        <v>5</v>
      </c>
      <c r="AC19" s="2">
        <f>MU!AC19</f>
        <v>1</v>
      </c>
      <c r="AD19" s="2">
        <f>MU!AD19</f>
        <v>3</v>
      </c>
      <c r="AE19" s="2">
        <f>MU!AE19</f>
        <v>2</v>
      </c>
      <c r="AF19" s="2">
        <f>MU!AF19</f>
        <v>5</v>
      </c>
      <c r="AG19" s="2">
        <f>MU!AG19</f>
        <v>6</v>
      </c>
      <c r="AH19" s="2">
        <f>MU!AH19</f>
        <v>2</v>
      </c>
      <c r="AI19" s="2">
        <f>MU!AI19</f>
        <v>1</v>
      </c>
      <c r="AJ19" s="2">
        <f>MU!AJ19</f>
        <v>3</v>
      </c>
      <c r="AK19" s="2">
        <f>MU!AK19</f>
        <v>7</v>
      </c>
      <c r="AL19" s="2">
        <f>MU!AL19</f>
        <v>5</v>
      </c>
      <c r="AM19" s="2">
        <f>MU!AM19</f>
        <v>1</v>
      </c>
      <c r="AN19" s="2">
        <f>MU!AN19</f>
        <v>2</v>
      </c>
      <c r="AO19" s="2">
        <f>MU!AO19</f>
        <v>4</v>
      </c>
      <c r="AP19" s="2">
        <f>MU!AP19</f>
        <v>6</v>
      </c>
      <c r="AQ19" s="2">
        <f>MU!AQ19</f>
        <v>8</v>
      </c>
      <c r="AR19" s="2">
        <f>MU!AR19</f>
        <v>7</v>
      </c>
      <c r="AS19" s="2">
        <f>MU!AS19</f>
        <v>5</v>
      </c>
      <c r="AT19" s="2">
        <f>MU!AT19</f>
        <v>1</v>
      </c>
      <c r="AU19" s="2">
        <f>MU!AU19</f>
        <v>5</v>
      </c>
      <c r="AV19" s="2">
        <f>MU!AV19</f>
        <v>4</v>
      </c>
      <c r="AW19" s="2">
        <f>MU!AW19</f>
        <v>8</v>
      </c>
      <c r="AX19" s="2">
        <f>MU!AX19</f>
        <v>1</v>
      </c>
      <c r="AY19" s="2">
        <f>MU!AY19</f>
        <v>3</v>
      </c>
      <c r="AZ19" s="2">
        <f>MU!AZ19</f>
        <v>5</v>
      </c>
      <c r="BA19" s="2">
        <f>MU!BA19</f>
        <v>10</v>
      </c>
      <c r="BB19" s="2">
        <f>MU!BB19</f>
        <v>2</v>
      </c>
      <c r="BC19" s="8"/>
    </row>
    <row r="20" spans="1:55" ht="13.5" customHeight="1" x14ac:dyDescent="0.2">
      <c r="A20" s="7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1">
        <f t="shared" ref="W20:AA20" si="7">SUM(W16:W19)</f>
        <v>70</v>
      </c>
      <c r="X20" s="11">
        <f t="shared" si="7"/>
        <v>71</v>
      </c>
      <c r="Y20" s="11">
        <f t="shared" si="7"/>
        <v>65</v>
      </c>
      <c r="Z20" s="11">
        <f t="shared" si="7"/>
        <v>54</v>
      </c>
      <c r="AA20" s="11">
        <f t="shared" si="7"/>
        <v>43</v>
      </c>
      <c r="AB20" s="11">
        <f t="shared" ref="AB20:AD20" si="8">SUM(AB16:AB19)</f>
        <v>65</v>
      </c>
      <c r="AC20" s="11">
        <f t="shared" si="8"/>
        <v>64</v>
      </c>
      <c r="AD20" s="11">
        <f t="shared" si="8"/>
        <v>59</v>
      </c>
      <c r="AE20" s="11">
        <f t="shared" ref="AE20:AG20" si="9">SUM(AE16:AE19)</f>
        <v>47</v>
      </c>
      <c r="AF20" s="11">
        <f t="shared" si="9"/>
        <v>67</v>
      </c>
      <c r="AG20" s="11">
        <f t="shared" si="9"/>
        <v>68</v>
      </c>
      <c r="AH20" s="11">
        <f t="shared" ref="AH20:AV20" si="10">SUM(AH16:AH19)</f>
        <v>57</v>
      </c>
      <c r="AI20" s="11">
        <f t="shared" si="10"/>
        <v>75</v>
      </c>
      <c r="AJ20" s="11">
        <f t="shared" si="10"/>
        <v>56</v>
      </c>
      <c r="AK20" s="11">
        <f t="shared" si="10"/>
        <v>58</v>
      </c>
      <c r="AL20" s="11">
        <f t="shared" si="10"/>
        <v>60</v>
      </c>
      <c r="AM20" s="11">
        <f t="shared" si="10"/>
        <v>78</v>
      </c>
      <c r="AN20" s="11">
        <f t="shared" si="10"/>
        <v>72</v>
      </c>
      <c r="AO20" s="11">
        <f t="shared" si="10"/>
        <v>77</v>
      </c>
      <c r="AP20" s="11">
        <f t="shared" si="10"/>
        <v>77</v>
      </c>
      <c r="AQ20" s="11">
        <f t="shared" si="10"/>
        <v>106</v>
      </c>
      <c r="AR20" s="11">
        <f t="shared" si="10"/>
        <v>98</v>
      </c>
      <c r="AS20" s="11">
        <f t="shared" si="10"/>
        <v>87</v>
      </c>
      <c r="AT20" s="11">
        <f t="shared" si="10"/>
        <v>72</v>
      </c>
      <c r="AU20" s="11">
        <f t="shared" si="10"/>
        <v>100</v>
      </c>
      <c r="AV20" s="11">
        <f t="shared" si="10"/>
        <v>111</v>
      </c>
      <c r="AW20" s="11">
        <f t="shared" ref="AW20:BB20" si="11">SUM(AW16:AW19)</f>
        <v>98</v>
      </c>
      <c r="AX20" s="11">
        <f t="shared" si="11"/>
        <v>103</v>
      </c>
      <c r="AY20" s="11">
        <f t="shared" si="11"/>
        <v>105</v>
      </c>
      <c r="AZ20" s="11">
        <f t="shared" si="11"/>
        <v>134</v>
      </c>
      <c r="BA20" s="11">
        <f t="shared" si="11"/>
        <v>123</v>
      </c>
      <c r="BB20" s="11">
        <f t="shared" si="11"/>
        <v>102</v>
      </c>
      <c r="BC20" s="8"/>
    </row>
    <row r="21" spans="1:55" ht="13.5" customHeight="1" x14ac:dyDescent="0.2">
      <c r="A21" s="7"/>
      <c r="B21" s="10" t="s">
        <v>66</v>
      </c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8"/>
    </row>
    <row r="22" spans="1:55" ht="13.5" customHeight="1" x14ac:dyDescent="0.2">
      <c r="A22" s="7"/>
      <c r="B22" s="2"/>
      <c r="C22" s="3" t="s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3"/>
      <c r="AL22" s="2">
        <f>UMKC!AL15</f>
        <v>0</v>
      </c>
      <c r="AM22" s="2">
        <f>UMKC!AM15</f>
        <v>0</v>
      </c>
      <c r="AN22" s="2">
        <f>UMKC!AN15</f>
        <v>0</v>
      </c>
      <c r="AO22" s="2">
        <f>UMKC!AO15</f>
        <v>6</v>
      </c>
      <c r="AP22" s="2">
        <f>UMKC!AP15</f>
        <v>8</v>
      </c>
      <c r="AQ22" s="2">
        <f>UMKC!AQ15</f>
        <v>6</v>
      </c>
      <c r="AR22" s="2">
        <f>UMKC!AR15</f>
        <v>3</v>
      </c>
      <c r="AS22" s="2">
        <f>UMKC!AS15</f>
        <v>9</v>
      </c>
      <c r="AT22" s="2">
        <f>UMKC!AT15</f>
        <v>9</v>
      </c>
      <c r="AU22" s="2">
        <f>UMKC!AU15</f>
        <v>9</v>
      </c>
      <c r="AV22" s="2">
        <f>UMKC!AV15</f>
        <v>10</v>
      </c>
      <c r="AW22" s="2">
        <f>UMKC!AW15</f>
        <v>7</v>
      </c>
      <c r="AX22" s="2">
        <f>UMKC!AX15</f>
        <v>8</v>
      </c>
      <c r="AY22" s="2">
        <f>UMKC!AY15</f>
        <v>12</v>
      </c>
      <c r="AZ22" s="2">
        <f>UMKC!AZ15</f>
        <v>5</v>
      </c>
      <c r="BA22" s="2">
        <f>UMKC!BA15</f>
        <v>6</v>
      </c>
      <c r="BB22" s="2">
        <f>UMKC!BB15</f>
        <v>6</v>
      </c>
      <c r="BC22" s="8"/>
    </row>
    <row r="23" spans="1:55" ht="13.5" customHeight="1" x14ac:dyDescent="0.2">
      <c r="A23" s="7"/>
      <c r="B23" s="10" t="s">
        <v>67</v>
      </c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8"/>
    </row>
    <row r="24" spans="1:55" ht="13.5" customHeight="1" x14ac:dyDescent="0.2">
      <c r="A24" s="7"/>
      <c r="B24" s="10"/>
      <c r="C24" s="3" t="s">
        <v>10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>
        <f>UMSL!AW11</f>
        <v>0</v>
      </c>
      <c r="AX24" s="2">
        <f>UMSL!AX11</f>
        <v>13</v>
      </c>
      <c r="AY24" s="2">
        <f>UMSL!AY11</f>
        <v>19</v>
      </c>
      <c r="AZ24" s="2">
        <f>UMSL!AZ11</f>
        <v>18</v>
      </c>
      <c r="BA24" s="2">
        <f>UMSL!BA11</f>
        <v>8</v>
      </c>
      <c r="BB24" s="2">
        <f>UMSL!BB11</f>
        <v>6</v>
      </c>
      <c r="BC24" s="8"/>
    </row>
    <row r="25" spans="1:55" ht="13.5" customHeight="1" x14ac:dyDescent="0.2">
      <c r="A25" s="7"/>
      <c r="B25" s="2"/>
      <c r="C25" s="3" t="s"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f>MU!W22+UMKC!W17</f>
        <v>12</v>
      </c>
      <c r="X25" s="2">
        <f>MU!X22+UMKC!X17</f>
        <v>12</v>
      </c>
      <c r="Y25" s="2">
        <f>MU!Y22+UMKC!Y17</f>
        <v>15</v>
      </c>
      <c r="Z25" s="2">
        <f>MU!Z22+UMKC!Z17</f>
        <v>5</v>
      </c>
      <c r="AA25" s="2">
        <f>MU!AA22+UMKC!AA17</f>
        <v>9</v>
      </c>
      <c r="AB25" s="2">
        <f>MU!AB22+UMKC!AB17</f>
        <v>12</v>
      </c>
      <c r="AC25" s="2">
        <f>MU!AC22+UMKC!AC17</f>
        <v>15</v>
      </c>
      <c r="AD25" s="2">
        <f>MU!AD22+UMKC!AD17</f>
        <v>16</v>
      </c>
      <c r="AE25" s="2">
        <f>MU!AE22+UMKC!AE17</f>
        <v>15</v>
      </c>
      <c r="AF25" s="2">
        <f>MU!AF22+UMKC!AF17</f>
        <v>20</v>
      </c>
      <c r="AG25" s="2">
        <f>MU!AG22+UMKC!AG17</f>
        <v>19</v>
      </c>
      <c r="AH25" s="2">
        <f>MU!AH22+UMKC!AH17</f>
        <v>16</v>
      </c>
      <c r="AI25" s="2">
        <f>MU!AI22+UMKC!AI17</f>
        <v>32</v>
      </c>
      <c r="AJ25" s="2">
        <f>MU!AJ22+UMKC!AJ17</f>
        <v>43</v>
      </c>
      <c r="AK25" s="2">
        <f>MU!AK22+UMKC!AK17</f>
        <v>35</v>
      </c>
      <c r="AL25" s="2">
        <f>MU!AL22+UMKC!AL17</f>
        <v>57</v>
      </c>
      <c r="AM25" s="2">
        <f>MU!AM22+UMKC!AM17</f>
        <v>43</v>
      </c>
      <c r="AN25" s="2">
        <f>MU!AN22+UMKC!AN17</f>
        <v>57</v>
      </c>
      <c r="AO25" s="2">
        <f>MU!AO22+UMKC!AO17</f>
        <v>66</v>
      </c>
      <c r="AP25" s="2">
        <f>MU!AP22+UMKC!AP17</f>
        <v>72</v>
      </c>
      <c r="AQ25" s="2">
        <f>MU!AQ22+UMKC!AQ17</f>
        <v>55</v>
      </c>
      <c r="AR25" s="2">
        <f>MU!AR22+UMKC!AR17</f>
        <v>50</v>
      </c>
      <c r="AS25" s="2">
        <f>MU!AS22+UMKC!AS17</f>
        <v>77</v>
      </c>
      <c r="AT25" s="2">
        <f>MU!AT22+UMKC!AT17</f>
        <v>87</v>
      </c>
      <c r="AU25" s="2">
        <f>MU!AU22+UMKC!AU17</f>
        <v>101</v>
      </c>
      <c r="AV25" s="2">
        <f>MU!AV22+UMKC!AV17</f>
        <v>100</v>
      </c>
      <c r="AW25" s="2">
        <f>MU!AW22+UMKC!AW17</f>
        <v>106</v>
      </c>
      <c r="AX25" s="2">
        <f>MU!AX22</f>
        <v>106</v>
      </c>
      <c r="AY25" s="2">
        <f>MU!AY22</f>
        <v>98</v>
      </c>
      <c r="AZ25" s="2">
        <f>MU!AZ22</f>
        <v>93</v>
      </c>
      <c r="BA25" s="2">
        <f>MU!BA22</f>
        <v>97</v>
      </c>
      <c r="BB25" s="2">
        <f>MU!BB22</f>
        <v>106</v>
      </c>
      <c r="BC25" s="8"/>
    </row>
    <row r="26" spans="1:55" ht="13.5" customHeight="1" x14ac:dyDescent="0.2">
      <c r="A26" s="7"/>
      <c r="B26" s="2"/>
      <c r="C26" s="3" t="s">
        <v>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  <c r="AG26" s="3">
        <f>UMSL!AG12</f>
        <v>3</v>
      </c>
      <c r="AH26" s="2">
        <f>UMSL!AH12</f>
        <v>0</v>
      </c>
      <c r="AI26" s="2">
        <f>UMSL!AI12</f>
        <v>2</v>
      </c>
      <c r="AJ26" s="2">
        <f>UMSL!AJ12</f>
        <v>7</v>
      </c>
      <c r="AK26" s="2">
        <f>UMSL!AK12</f>
        <v>6</v>
      </c>
      <c r="AL26" s="2">
        <f>MU!AL23+UMSL!AL12</f>
        <v>4</v>
      </c>
      <c r="AM26" s="2">
        <f>MU!AM23+UMSL!AM12</f>
        <v>1</v>
      </c>
      <c r="AN26" s="2">
        <f>MU!AN23+UMSL!AN12</f>
        <v>1</v>
      </c>
      <c r="AO26" s="2">
        <f>MU!AO23+UMSL!AO12</f>
        <v>1</v>
      </c>
      <c r="AP26" s="2">
        <f>MU!AP23+UMSL!AP12</f>
        <v>1</v>
      </c>
      <c r="AQ26" s="2">
        <f>MU!AQ23+UMSL!AQ12</f>
        <v>4</v>
      </c>
      <c r="AR26" s="2">
        <f>MU!AR23+UMSL!AR12</f>
        <v>3</v>
      </c>
      <c r="AS26" s="2">
        <f>MU!AS23+UMSL!AS12</f>
        <v>2</v>
      </c>
      <c r="AT26" s="2">
        <f>MU!AT23+UMSL!AT12</f>
        <v>3</v>
      </c>
      <c r="AU26" s="2">
        <f>MU!AU23+UMSL!AU12</f>
        <v>1</v>
      </c>
      <c r="AV26" s="2">
        <f>MU!AV23+UMSL!AV12</f>
        <v>2</v>
      </c>
      <c r="AW26" s="2">
        <f>MU!AW23+UMSL!AW12</f>
        <v>4</v>
      </c>
      <c r="AX26" s="2">
        <f>MU!AX23+UMKC!AX18+UMSL!AX12</f>
        <v>5</v>
      </c>
      <c r="AY26" s="2">
        <f>MU!AY23+UMKC!AY18+UMSL!AY12</f>
        <v>2</v>
      </c>
      <c r="AZ26" s="2">
        <f>MU!AZ23+UMKC!AZ18+UMSL!AZ12</f>
        <v>9</v>
      </c>
      <c r="BA26" s="2">
        <f>MU!BA23+UMKC!BA18+UMSL!BA12</f>
        <v>5</v>
      </c>
      <c r="BB26" s="2">
        <f>UMKC!BB18+UMSL!BB12</f>
        <v>8</v>
      </c>
      <c r="BC26" s="8"/>
    </row>
    <row r="27" spans="1:55" ht="13.5" customHeight="1" x14ac:dyDescent="0.2">
      <c r="A27" s="7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1">
        <f t="shared" ref="W27:AA27" si="12">W25</f>
        <v>12</v>
      </c>
      <c r="X27" s="11">
        <f t="shared" si="12"/>
        <v>12</v>
      </c>
      <c r="Y27" s="11">
        <f t="shared" si="12"/>
        <v>15</v>
      </c>
      <c r="Z27" s="11">
        <f t="shared" si="12"/>
        <v>5</v>
      </c>
      <c r="AA27" s="11">
        <f t="shared" si="12"/>
        <v>9</v>
      </c>
      <c r="AB27" s="11">
        <f t="shared" ref="AB27:AD27" si="13">AB25</f>
        <v>12</v>
      </c>
      <c r="AC27" s="11">
        <f t="shared" si="13"/>
        <v>15</v>
      </c>
      <c r="AD27" s="11">
        <f t="shared" si="13"/>
        <v>16</v>
      </c>
      <c r="AE27" s="11">
        <f>AE25</f>
        <v>15</v>
      </c>
      <c r="AF27" s="11">
        <f>AF25</f>
        <v>20</v>
      </c>
      <c r="AG27" s="11">
        <f t="shared" ref="AG27:AV27" si="14">SUM(AG25:AG26)</f>
        <v>22</v>
      </c>
      <c r="AH27" s="11">
        <f t="shared" si="14"/>
        <v>16</v>
      </c>
      <c r="AI27" s="11">
        <f t="shared" si="14"/>
        <v>34</v>
      </c>
      <c r="AJ27" s="11">
        <f t="shared" si="14"/>
        <v>50</v>
      </c>
      <c r="AK27" s="11">
        <f t="shared" si="14"/>
        <v>41</v>
      </c>
      <c r="AL27" s="11">
        <f t="shared" si="14"/>
        <v>61</v>
      </c>
      <c r="AM27" s="11">
        <f t="shared" si="14"/>
        <v>44</v>
      </c>
      <c r="AN27" s="11">
        <f t="shared" si="14"/>
        <v>58</v>
      </c>
      <c r="AO27" s="11">
        <f t="shared" si="14"/>
        <v>67</v>
      </c>
      <c r="AP27" s="11">
        <f t="shared" si="14"/>
        <v>73</v>
      </c>
      <c r="AQ27" s="11">
        <f t="shared" si="14"/>
        <v>59</v>
      </c>
      <c r="AR27" s="11">
        <f t="shared" si="14"/>
        <v>53</v>
      </c>
      <c r="AS27" s="11">
        <f t="shared" si="14"/>
        <v>79</v>
      </c>
      <c r="AT27" s="11">
        <f t="shared" si="14"/>
        <v>90</v>
      </c>
      <c r="AU27" s="11">
        <f t="shared" si="14"/>
        <v>102</v>
      </c>
      <c r="AV27" s="11">
        <f t="shared" si="14"/>
        <v>102</v>
      </c>
      <c r="AW27" s="11">
        <f t="shared" ref="AW27:BB27" si="15">SUM(AW24:AW26)</f>
        <v>110</v>
      </c>
      <c r="AX27" s="11">
        <f t="shared" si="15"/>
        <v>124</v>
      </c>
      <c r="AY27" s="11">
        <f t="shared" si="15"/>
        <v>119</v>
      </c>
      <c r="AZ27" s="11">
        <f t="shared" si="15"/>
        <v>120</v>
      </c>
      <c r="BA27" s="11">
        <f t="shared" si="15"/>
        <v>110</v>
      </c>
      <c r="BB27" s="11">
        <f t="shared" si="15"/>
        <v>120</v>
      </c>
      <c r="BC27" s="8"/>
    </row>
    <row r="28" spans="1:55" ht="13.5" customHeight="1" x14ac:dyDescent="0.2">
      <c r="A28" s="7"/>
      <c r="B28" s="10" t="s">
        <v>68</v>
      </c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8"/>
    </row>
    <row r="29" spans="1:55" ht="13.5" customHeight="1" x14ac:dyDescent="0.2">
      <c r="A29" s="7"/>
      <c r="B29" s="10"/>
      <c r="C29" s="3" t="s">
        <v>10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>
        <f>UMSL!AW16</f>
        <v>0</v>
      </c>
      <c r="AX29" s="2">
        <f>UMSL!AX16</f>
        <v>0</v>
      </c>
      <c r="AY29" s="2">
        <f>UMSL!AY16</f>
        <v>1</v>
      </c>
      <c r="AZ29" s="2">
        <f>UMSL!AZ16</f>
        <v>0</v>
      </c>
      <c r="BA29" s="2">
        <f>UMSL!BA16</f>
        <v>0</v>
      </c>
      <c r="BB29" s="2">
        <f>UMSL!BB16</f>
        <v>5</v>
      </c>
      <c r="BC29" s="8"/>
    </row>
    <row r="30" spans="1:55" ht="13.5" customHeight="1" x14ac:dyDescent="0.2">
      <c r="A30" s="7"/>
      <c r="B30" s="2"/>
      <c r="C30" s="3" t="s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f>MU!W26+UMKC!W21</f>
        <v>424</v>
      </c>
      <c r="X30" s="2">
        <f>MU!X26+UMKC!X21</f>
        <v>357</v>
      </c>
      <c r="Y30" s="2">
        <f>MU!Y26+UMKC!Y21</f>
        <v>359</v>
      </c>
      <c r="Z30" s="2">
        <f>MU!Z26+UMKC!Z21</f>
        <v>343</v>
      </c>
      <c r="AA30" s="2">
        <f>MU!AA26+UMKC!AA21</f>
        <v>333</v>
      </c>
      <c r="AB30" s="2">
        <f>MU!AB26+UMKC!AB21+UMSL!AB17</f>
        <v>542</v>
      </c>
      <c r="AC30" s="2">
        <f>MU!AC26+UMKC!AC21+UMSL!AC17</f>
        <v>500</v>
      </c>
      <c r="AD30" s="2">
        <f>MU!AD26+UMKC!AD21+UMSL!AD17</f>
        <v>511</v>
      </c>
      <c r="AE30" s="2">
        <f>MU!AE26+UMKC!AE21+UMSL!AE17</f>
        <v>457</v>
      </c>
      <c r="AF30" s="2">
        <f>MU!AF26+UMKC!AF21+UMSL!AF17</f>
        <v>454</v>
      </c>
      <c r="AG30" s="2">
        <f>MU!AG26+UMKC!AG21+UMSL!AG17</f>
        <v>461</v>
      </c>
      <c r="AH30" s="2">
        <f>MU!AH26+UMKC!AH21+UMSL!AH17</f>
        <v>523</v>
      </c>
      <c r="AI30" s="2">
        <f>MU!AI26+UMKC!AI21+UMSL!AI17</f>
        <v>542</v>
      </c>
      <c r="AJ30" s="2">
        <f>MU!AJ26+UMKC!AJ21+UMSL!AJ17</f>
        <v>571</v>
      </c>
      <c r="AK30" s="2">
        <f>MU!AK26+UMKC!AK21+UMSL!AK17</f>
        <v>568</v>
      </c>
      <c r="AL30" s="2">
        <f>MU!AL26+UMKC!AL21+UMSL!AL17</f>
        <v>669</v>
      </c>
      <c r="AM30" s="2">
        <f>MU!AM26+UMKC!AM21+UMSL!AM17</f>
        <v>653</v>
      </c>
      <c r="AN30" s="2">
        <f>MU!AN26+UMKC!AN21+UMSL!AN17</f>
        <v>671</v>
      </c>
      <c r="AO30" s="2">
        <f>MU!AO26+UMKC!AO21+UMSL!AO17</f>
        <v>734</v>
      </c>
      <c r="AP30" s="2">
        <f>MU!AP26+UMKC!AP21+UMSL!AP17</f>
        <v>755</v>
      </c>
      <c r="AQ30" s="2">
        <f>MU!AQ26+UMKC!AQ21+UMSL!AQ17</f>
        <v>778</v>
      </c>
      <c r="AR30" s="2">
        <f>MU!AR26+UMKC!AR21+UMSL!AR17</f>
        <v>791</v>
      </c>
      <c r="AS30" s="2">
        <f>MU!AS26+UMKC!AS21+UMSL!AS17</f>
        <v>873</v>
      </c>
      <c r="AT30" s="2">
        <f>MU!AT26+UMKC!AT21+UMSL!AT17</f>
        <v>893</v>
      </c>
      <c r="AU30" s="2">
        <f>MU!AU26+UMKC!AU21+UMSL!AU17</f>
        <v>903</v>
      </c>
      <c r="AV30" s="2">
        <f>MU!AV26+UMKC!AV21+UMSL!AV17</f>
        <v>923</v>
      </c>
      <c r="AW30" s="2">
        <f>MU!AW26+UMKC!AW21+UMSL!AW17</f>
        <v>910</v>
      </c>
      <c r="AX30" s="2">
        <f>MU!AX26+UMKC!AX21+UMSL!AX17</f>
        <v>906</v>
      </c>
      <c r="AY30" s="2">
        <f>MU!AY26+UMKC!AY21+UMSL!AY17</f>
        <v>911</v>
      </c>
      <c r="AZ30" s="2">
        <f>MU!AZ26+UMKC!AZ21+UMSL!AZ17</f>
        <v>975</v>
      </c>
      <c r="BA30" s="2">
        <f>MU!BA26+UMKC!BA21+UMSL!BA17</f>
        <v>927</v>
      </c>
      <c r="BB30" s="2">
        <f>MU!BB26+UMKC!BB21+UMSL!BB17</f>
        <v>912</v>
      </c>
      <c r="BC30" s="8"/>
    </row>
    <row r="31" spans="1:55" ht="13.5" customHeight="1" x14ac:dyDescent="0.2">
      <c r="A31" s="7"/>
      <c r="B31" s="2"/>
      <c r="C31" s="3" t="s">
        <v>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>
        <f>UMSL!AW18</f>
        <v>0</v>
      </c>
      <c r="AX31" s="2">
        <f>UMSL!AX18</f>
        <v>0</v>
      </c>
      <c r="AY31" s="2">
        <f>UMSL!AY18</f>
        <v>0</v>
      </c>
      <c r="AZ31" s="2">
        <f>UMSL!AZ18</f>
        <v>0</v>
      </c>
      <c r="BA31" s="2">
        <f>UMSL!BA18</f>
        <v>0</v>
      </c>
      <c r="BB31" s="2">
        <f>UMSL!BB18</f>
        <v>1</v>
      </c>
      <c r="BC31" s="8"/>
    </row>
    <row r="32" spans="1:55" ht="13.5" customHeight="1" x14ac:dyDescent="0.2">
      <c r="A32" s="7"/>
      <c r="B32" s="2"/>
      <c r="C32" s="3" t="s">
        <v>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f>MU!W27+UMKC!W22</f>
        <v>73</v>
      </c>
      <c r="X32" s="2">
        <f>MU!X27+UMKC!X22</f>
        <v>63</v>
      </c>
      <c r="Y32" s="2">
        <f>MU!Y27+UMKC!Y22</f>
        <v>84</v>
      </c>
      <c r="Z32" s="2">
        <f>MU!Z27+UMKC!Z22</f>
        <v>63</v>
      </c>
      <c r="AA32" s="2">
        <f>MU!AA27+UMKC!AA22</f>
        <v>81</v>
      </c>
      <c r="AB32" s="2">
        <f>MU!AB27+UMKC!AB22</f>
        <v>64</v>
      </c>
      <c r="AC32" s="2">
        <f>MU!AC27+UMKC!AC22</f>
        <v>74</v>
      </c>
      <c r="AD32" s="2">
        <f>MU!AD27+UMKC!AD22</f>
        <v>74</v>
      </c>
      <c r="AE32" s="2">
        <f>MU!AE27+UMKC!AE22</f>
        <v>58</v>
      </c>
      <c r="AF32" s="2">
        <f>MU!AF27+UMKC!AF22</f>
        <v>56</v>
      </c>
      <c r="AG32" s="2">
        <f>MU!AG27+UMKC!AG22</f>
        <v>57</v>
      </c>
      <c r="AH32" s="2">
        <f>MU!AH27+UMKC!AH22</f>
        <v>74</v>
      </c>
      <c r="AI32" s="2">
        <f>MU!AI27+UMKC!AI22</f>
        <v>61</v>
      </c>
      <c r="AJ32" s="2">
        <f>MU!AJ27+UMKC!AJ22</f>
        <v>66</v>
      </c>
      <c r="AK32" s="2">
        <f>MU!AK27+UMKC!AK22+UMSL!AK19</f>
        <v>68</v>
      </c>
      <c r="AL32" s="2">
        <f>MU!AL27+UMKC!AL22+UMSL!AL19</f>
        <v>70</v>
      </c>
      <c r="AM32" s="2">
        <f>MU!AM27+UMKC!AM22+UMSL!AM19</f>
        <v>81</v>
      </c>
      <c r="AN32" s="2">
        <f>MU!AN27+UMKC!AN22+UMSL!AN19</f>
        <v>66</v>
      </c>
      <c r="AO32" s="2">
        <f>MU!AO27+UMKC!AO22+UMSL!AO19</f>
        <v>103</v>
      </c>
      <c r="AP32" s="2">
        <f>MU!AP27+UMKC!AP22+UMSL!AP19</f>
        <v>88</v>
      </c>
      <c r="AQ32" s="2">
        <f>MU!AQ27+UMKC!AQ22+UMSL!AQ19</f>
        <v>84</v>
      </c>
      <c r="AR32" s="2">
        <f>MU!AR27+UMKC!AR22+UMSL!AR19</f>
        <v>108</v>
      </c>
      <c r="AS32" s="2">
        <f>MU!AS27+UMKC!AS22+UMSL!AS19</f>
        <v>116</v>
      </c>
      <c r="AT32" s="2">
        <f>MU!AT27+UMKC!AT22+UMSL!AT19</f>
        <v>126</v>
      </c>
      <c r="AU32" s="2">
        <f>MU!AU27+UMKC!AU22+UMSL!AU19</f>
        <v>95</v>
      </c>
      <c r="AV32" s="2">
        <f>MU!AV27+UMKC!AV22+UMSL!AV19</f>
        <v>128</v>
      </c>
      <c r="AW32" s="2">
        <f>MU!AW27+UMKC!AW22+UMSL!AW19</f>
        <v>79</v>
      </c>
      <c r="AX32" s="2">
        <f>MU!AX27+UMKC!AX22+UMSL!AX19</f>
        <v>100</v>
      </c>
      <c r="AY32" s="2">
        <f>MU!AY27+UMKC!AY22+UMSL!AY19</f>
        <v>75</v>
      </c>
      <c r="AZ32" s="2">
        <f>MU!AZ27+UMKC!AZ22+UMSL!AZ19</f>
        <v>107</v>
      </c>
      <c r="BA32" s="2">
        <f>MU!BA27+UMKC!BA22+UMSL!BA19</f>
        <v>89</v>
      </c>
      <c r="BB32" s="2">
        <f>MU!BB27+UMKC!BB22+UMSL!BB19</f>
        <v>101</v>
      </c>
      <c r="BC32" s="8"/>
    </row>
    <row r="33" spans="1:55" ht="13.5" customHeight="1" x14ac:dyDescent="0.2">
      <c r="A33" s="7"/>
      <c r="B33" s="2"/>
      <c r="C33" s="3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f>MU!W28</f>
        <v>6</v>
      </c>
      <c r="X33" s="2">
        <f>MU!X28</f>
        <v>8</v>
      </c>
      <c r="Y33" s="2">
        <f>MU!Y28</f>
        <v>3</v>
      </c>
      <c r="Z33" s="2">
        <f>MU!Z28</f>
        <v>2</v>
      </c>
      <c r="AA33" s="2">
        <f>MU!AA28</f>
        <v>4</v>
      </c>
      <c r="AB33" s="2">
        <f>MU!AB28</f>
        <v>4</v>
      </c>
      <c r="AC33" s="2">
        <f>MU!AC28</f>
        <v>8</v>
      </c>
      <c r="AD33" s="2">
        <f>MU!AD28</f>
        <v>11</v>
      </c>
      <c r="AE33" s="2">
        <f>MU!AE28</f>
        <v>7</v>
      </c>
      <c r="AF33" s="2">
        <f>MU!AF28</f>
        <v>15</v>
      </c>
      <c r="AG33" s="2">
        <f>MU!AG28</f>
        <v>7</v>
      </c>
      <c r="AH33" s="2">
        <f>MU!AH28</f>
        <v>12</v>
      </c>
      <c r="AI33" s="2">
        <f>MU!AI28</f>
        <v>8</v>
      </c>
      <c r="AJ33" s="2">
        <f>MU!AJ28</f>
        <v>5</v>
      </c>
      <c r="AK33" s="2">
        <f>MU!AK28</f>
        <v>13</v>
      </c>
      <c r="AL33" s="2">
        <f>MU!AL28</f>
        <v>13</v>
      </c>
      <c r="AM33" s="2">
        <f>MU!AM28</f>
        <v>17</v>
      </c>
      <c r="AN33" s="2">
        <f>MU!AN28</f>
        <v>18</v>
      </c>
      <c r="AO33" s="2">
        <f>MU!AO28</f>
        <v>16</v>
      </c>
      <c r="AP33" s="2">
        <f>MU!AP28</f>
        <v>20</v>
      </c>
      <c r="AQ33" s="2">
        <f>MU!AQ28</f>
        <v>8</v>
      </c>
      <c r="AR33" s="2">
        <f>MU!AR28</f>
        <v>20</v>
      </c>
      <c r="AS33" s="2">
        <f>MU!AS28</f>
        <v>12</v>
      </c>
      <c r="AT33" s="2">
        <f>MU!AT28</f>
        <v>15</v>
      </c>
      <c r="AU33" s="2">
        <f>MU!AU28</f>
        <v>20</v>
      </c>
      <c r="AV33" s="2">
        <f>MU!AV28</f>
        <v>17</v>
      </c>
      <c r="AW33" s="2">
        <f>MU!AW28</f>
        <v>14</v>
      </c>
      <c r="AX33" s="2">
        <f>MU!AX28</f>
        <v>11</v>
      </c>
      <c r="AY33" s="2">
        <f>MU!AY28</f>
        <v>19</v>
      </c>
      <c r="AZ33" s="2">
        <f>MU!AZ28</f>
        <v>15</v>
      </c>
      <c r="BA33" s="2">
        <f>MU!BA28</f>
        <v>13</v>
      </c>
      <c r="BB33" s="2">
        <f>MU!BB28</f>
        <v>28</v>
      </c>
      <c r="BC33" s="8"/>
    </row>
    <row r="34" spans="1:55" ht="13.5" customHeight="1" x14ac:dyDescent="0.2">
      <c r="A34" s="7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1">
        <f t="shared" ref="W34:AA34" si="16">SUM(W30:W33)</f>
        <v>503</v>
      </c>
      <c r="X34" s="11">
        <f t="shared" si="16"/>
        <v>428</v>
      </c>
      <c r="Y34" s="11">
        <f t="shared" si="16"/>
        <v>446</v>
      </c>
      <c r="Z34" s="11">
        <f t="shared" si="16"/>
        <v>408</v>
      </c>
      <c r="AA34" s="11">
        <f t="shared" si="16"/>
        <v>418</v>
      </c>
      <c r="AB34" s="11">
        <f t="shared" ref="AB34:AD34" si="17">SUM(AB30:AB33)</f>
        <v>610</v>
      </c>
      <c r="AC34" s="11">
        <f t="shared" si="17"/>
        <v>582</v>
      </c>
      <c r="AD34" s="11">
        <f t="shared" si="17"/>
        <v>596</v>
      </c>
      <c r="AE34" s="11">
        <f t="shared" ref="AE34:AG34" si="18">SUM(AE30:AE33)</f>
        <v>522</v>
      </c>
      <c r="AF34" s="11">
        <f t="shared" si="18"/>
        <v>525</v>
      </c>
      <c r="AG34" s="11">
        <f t="shared" si="18"/>
        <v>525</v>
      </c>
      <c r="AH34" s="11">
        <f t="shared" ref="AH34:AV34" si="19">SUM(AH30:AH33)</f>
        <v>609</v>
      </c>
      <c r="AI34" s="11">
        <f t="shared" si="19"/>
        <v>611</v>
      </c>
      <c r="AJ34" s="11">
        <f t="shared" si="19"/>
        <v>642</v>
      </c>
      <c r="AK34" s="11">
        <f t="shared" si="19"/>
        <v>649</v>
      </c>
      <c r="AL34" s="11">
        <f t="shared" si="19"/>
        <v>752</v>
      </c>
      <c r="AM34" s="11">
        <f t="shared" si="19"/>
        <v>751</v>
      </c>
      <c r="AN34" s="11">
        <f t="shared" si="19"/>
        <v>755</v>
      </c>
      <c r="AO34" s="11">
        <f t="shared" si="19"/>
        <v>853</v>
      </c>
      <c r="AP34" s="11">
        <f t="shared" si="19"/>
        <v>863</v>
      </c>
      <c r="AQ34" s="11">
        <f t="shared" si="19"/>
        <v>870</v>
      </c>
      <c r="AR34" s="11">
        <f t="shared" si="19"/>
        <v>919</v>
      </c>
      <c r="AS34" s="11">
        <f t="shared" si="19"/>
        <v>1001</v>
      </c>
      <c r="AT34" s="11">
        <f t="shared" si="19"/>
        <v>1034</v>
      </c>
      <c r="AU34" s="11">
        <f t="shared" si="19"/>
        <v>1018</v>
      </c>
      <c r="AV34" s="11">
        <f t="shared" si="19"/>
        <v>1068</v>
      </c>
      <c r="AW34" s="11">
        <f t="shared" ref="AW34:AX34" si="20">SUM(AW29:AW33)</f>
        <v>1003</v>
      </c>
      <c r="AX34" s="11">
        <f t="shared" si="20"/>
        <v>1017</v>
      </c>
      <c r="AY34" s="11">
        <f>SUM(AY29:AY33)</f>
        <v>1006</v>
      </c>
      <c r="AZ34" s="11">
        <f>SUM(AZ29:AZ33)</f>
        <v>1097</v>
      </c>
      <c r="BA34" s="11">
        <f>SUM(BA29:BA33)</f>
        <v>1029</v>
      </c>
      <c r="BB34" s="11">
        <f>SUM(BB29:BB33)</f>
        <v>1047</v>
      </c>
      <c r="BC34" s="8"/>
    </row>
    <row r="35" spans="1:55" ht="13.5" customHeight="1" x14ac:dyDescent="0.2">
      <c r="A35" s="7"/>
      <c r="B35" s="10" t="s">
        <v>69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8"/>
    </row>
    <row r="36" spans="1:55" ht="13.5" customHeight="1" x14ac:dyDescent="0.2">
      <c r="A36" s="7"/>
      <c r="B36" s="10"/>
      <c r="C36" s="3" t="s">
        <v>10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>
        <f>UMSL!AZ22</f>
        <v>0</v>
      </c>
      <c r="BA36" s="2">
        <f>UMSL!BA22</f>
        <v>2</v>
      </c>
      <c r="BB36" s="2">
        <f>UMSL!BB22</f>
        <v>8</v>
      </c>
      <c r="BC36" s="8"/>
    </row>
    <row r="37" spans="1:55" ht="13.5" customHeight="1" x14ac:dyDescent="0.2">
      <c r="A37" s="7"/>
      <c r="B37" s="2"/>
      <c r="C37" s="3" t="s"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f>MU!W31+UMKC!W25+'S&amp;T'!W11+UMSL!W23</f>
        <v>240</v>
      </c>
      <c r="X37" s="2">
        <f>MU!X31+UMKC!X25+'S&amp;T'!X11+UMSL!X23</f>
        <v>196</v>
      </c>
      <c r="Y37" s="2">
        <f>MU!Y31+UMKC!Y25+'S&amp;T'!Y11+UMSL!Y23</f>
        <v>165</v>
      </c>
      <c r="Z37" s="2">
        <f>MU!Z31+UMKC!Z25+'S&amp;T'!Z11+UMSL!Z23</f>
        <v>158</v>
      </c>
      <c r="AA37" s="2">
        <f>MU!AA31+UMKC!AA25+'S&amp;T'!AA11+UMSL!AA23</f>
        <v>154</v>
      </c>
      <c r="AB37" s="2">
        <f>MU!AB31+UMKC!AB25+'S&amp;T'!AB11+UMSL!AB23</f>
        <v>151</v>
      </c>
      <c r="AC37" s="2">
        <f>MU!AC31+UMKC!AC25+'S&amp;T'!AC11+UMSL!AC23</f>
        <v>163</v>
      </c>
      <c r="AD37" s="2">
        <f>MU!AD31+UMKC!AD25+'S&amp;T'!AD11+UMSL!AD23</f>
        <v>153</v>
      </c>
      <c r="AE37" s="2">
        <f>MU!AE31+UMKC!AE25+'S&amp;T'!AE11+UMSL!AE23</f>
        <v>124</v>
      </c>
      <c r="AF37" s="2">
        <f>MU!AF31+UMKC!AF25+'S&amp;T'!AF11+UMSL!AF23</f>
        <v>140</v>
      </c>
      <c r="AG37" s="2">
        <f>MU!AG31+UMKC!AG25+'S&amp;T'!AG11+UMSL!AG23</f>
        <v>145</v>
      </c>
      <c r="AH37" s="2">
        <f>MU!AH31+UMKC!AH25+'S&amp;T'!AH11+UMSL!AH23</f>
        <v>174</v>
      </c>
      <c r="AI37" s="2">
        <f>MU!AI31+UMKC!AI25+'S&amp;T'!AI11+UMSL!AI23</f>
        <v>198</v>
      </c>
      <c r="AJ37" s="2">
        <f>MU!AJ31+UMKC!AJ25+'S&amp;T'!AJ11+UMSL!AJ23</f>
        <v>260</v>
      </c>
      <c r="AK37" s="2">
        <f>MU!AK31+UMKC!AK25+'S&amp;T'!AK11+UMSL!AK23</f>
        <v>246</v>
      </c>
      <c r="AL37" s="2">
        <f>MU!AL31+UMKC!AL25+'S&amp;T'!AL11+UMSL!AL23</f>
        <v>328</v>
      </c>
      <c r="AM37" s="2">
        <f>MU!AM31+UMKC!AM25+'S&amp;T'!AM11+UMSL!AM23</f>
        <v>313</v>
      </c>
      <c r="AN37" s="2">
        <f>MU!AN31+UMKC!AN25+'S&amp;T'!AN11+UMSL!AN23</f>
        <v>339</v>
      </c>
      <c r="AO37" s="2">
        <f>MU!AO31+UMKC!AO25+'S&amp;T'!AO11+UMSL!AO23</f>
        <v>308</v>
      </c>
      <c r="AP37" s="2">
        <f>MU!AP31+UMKC!AP25+'S&amp;T'!AP11+UMSL!AP23</f>
        <v>226</v>
      </c>
      <c r="AQ37" s="2">
        <f>MU!AQ31+UMKC!AQ25+'S&amp;T'!AQ11+UMSL!AQ23</f>
        <v>206</v>
      </c>
      <c r="AR37" s="2">
        <f>MU!AR31+UMKC!AR25+'S&amp;T'!AR11+UMSL!AR23</f>
        <v>189</v>
      </c>
      <c r="AS37" s="2">
        <f>MU!AS31+UMKC!AS25+'S&amp;T'!AS11+UMSL!AS23</f>
        <v>172</v>
      </c>
      <c r="AT37" s="2">
        <f>MU!AT31+UMKC!AT25+'S&amp;T'!AT11+UMSL!AT23</f>
        <v>191</v>
      </c>
      <c r="AU37" s="2">
        <f>MU!AU31+UMKC!AU25+'S&amp;T'!AU11+UMSL!AU23</f>
        <v>209</v>
      </c>
      <c r="AV37" s="2">
        <f>MU!AV31+UMKC!AV25+'S&amp;T'!AV11+UMSL!AV23</f>
        <v>227</v>
      </c>
      <c r="AW37" s="2">
        <f>MU!AW31+UMKC!AW25+'S&amp;T'!AW11+UMSL!AW23</f>
        <v>218</v>
      </c>
      <c r="AX37" s="2">
        <f>MU!AX31+UMKC!AX25+'S&amp;T'!AX11+UMSL!AX23</f>
        <v>243</v>
      </c>
      <c r="AY37" s="2">
        <f>MU!AY31+UMKC!AY25+'S&amp;T'!AY11+UMSL!AY23</f>
        <v>339</v>
      </c>
      <c r="AZ37" s="2">
        <f>MU!AZ31+UMKC!AZ25+'S&amp;T'!AZ11+UMSL!AZ23</f>
        <v>382</v>
      </c>
      <c r="BA37" s="2">
        <f>MU!BA31+UMKC!BA25+'S&amp;T'!BA11+UMSL!BA23</f>
        <v>408</v>
      </c>
      <c r="BB37" s="2">
        <f>MU!BB31+UMKC!BB25+'S&amp;T'!BB11+UMSL!BB23</f>
        <v>435</v>
      </c>
      <c r="BC37" s="8"/>
    </row>
    <row r="38" spans="1:55" ht="13.5" customHeight="1" x14ac:dyDescent="0.2">
      <c r="A38" s="7"/>
      <c r="B38" s="2"/>
      <c r="C38" s="3" t="s">
        <v>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>
        <f>'S&amp;T'!AM12</f>
        <v>0</v>
      </c>
      <c r="AN38" s="2">
        <f>'S&amp;T'!AN12</f>
        <v>0</v>
      </c>
      <c r="AO38" s="2">
        <f>'S&amp;T'!AO12</f>
        <v>1</v>
      </c>
      <c r="AP38" s="2">
        <f>'S&amp;T'!AP12</f>
        <v>6</v>
      </c>
      <c r="AQ38" s="2">
        <f>'S&amp;T'!AQ12</f>
        <v>13</v>
      </c>
      <c r="AR38" s="2">
        <f>'S&amp;T'!AR12</f>
        <v>30</v>
      </c>
      <c r="AS38" s="2">
        <f>'S&amp;T'!AS12</f>
        <v>44</v>
      </c>
      <c r="AT38" s="2">
        <f>'S&amp;T'!AT12</f>
        <v>29</v>
      </c>
      <c r="AU38" s="2">
        <f>'S&amp;T'!AU12</f>
        <v>39</v>
      </c>
      <c r="AV38" s="2">
        <f>'S&amp;T'!AV12</f>
        <v>30</v>
      </c>
      <c r="AW38" s="2">
        <f>'S&amp;T'!AW12</f>
        <v>24</v>
      </c>
      <c r="AX38" s="2">
        <f>'S&amp;T'!AX12</f>
        <v>19</v>
      </c>
      <c r="AY38" s="2">
        <f>'S&amp;T'!AY12</f>
        <v>22</v>
      </c>
      <c r="AZ38" s="2">
        <f>'S&amp;T'!AZ12+UMSL!AZ24</f>
        <v>22</v>
      </c>
      <c r="BA38" s="2">
        <f>'S&amp;T'!BA12+UMSL!BA24</f>
        <v>31</v>
      </c>
      <c r="BB38" s="2">
        <f>'S&amp;T'!BB12+UMSL!BB24</f>
        <v>22</v>
      </c>
      <c r="BC38" s="8"/>
    </row>
    <row r="39" spans="1:55" ht="13.5" customHeight="1" x14ac:dyDescent="0.2">
      <c r="A39" s="7"/>
      <c r="B39" s="2"/>
      <c r="C39" s="3" t="s">
        <v>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f>MU!W32+UMKC!W26+'S&amp;T'!W13</f>
        <v>57</v>
      </c>
      <c r="X39" s="2">
        <f>MU!X32+UMKC!X26+'S&amp;T'!X13</f>
        <v>50</v>
      </c>
      <c r="Y39" s="2">
        <f>MU!Y32+UMKC!Y26+'S&amp;T'!Y13</f>
        <v>48</v>
      </c>
      <c r="Z39" s="2">
        <f>MU!Z32+UMKC!Z26+'S&amp;T'!Z13</f>
        <v>62</v>
      </c>
      <c r="AA39" s="2">
        <f>MU!AA32+UMKC!AA26+'S&amp;T'!AA13</f>
        <v>66</v>
      </c>
      <c r="AB39" s="2">
        <f>MU!AB32+UMKC!AB26+'S&amp;T'!AB13</f>
        <v>75</v>
      </c>
      <c r="AC39" s="2">
        <f>MU!AC32+UMKC!AC26+'S&amp;T'!AC13</f>
        <v>80</v>
      </c>
      <c r="AD39" s="2">
        <f>MU!AD32+UMKC!AD26+'S&amp;T'!AD13</f>
        <v>97</v>
      </c>
      <c r="AE39" s="2">
        <f>MU!AE32+UMKC!AE26+'S&amp;T'!AE13</f>
        <v>91</v>
      </c>
      <c r="AF39" s="2">
        <f>MU!AF32+UMKC!AF26+'S&amp;T'!AF13</f>
        <v>72</v>
      </c>
      <c r="AG39" s="2">
        <f>MU!AG32+UMKC!AG26+'S&amp;T'!AG13</f>
        <v>80</v>
      </c>
      <c r="AH39" s="2">
        <f>MU!AH32+UMKC!AH26+'S&amp;T'!AH13</f>
        <v>99</v>
      </c>
      <c r="AI39" s="2">
        <f>MU!AI32+UMKC!AI26+'S&amp;T'!AI13</f>
        <v>73</v>
      </c>
      <c r="AJ39" s="2">
        <f>MU!AJ32+UMKC!AJ26+'S&amp;T'!AJ13+UMSL!AJ25</f>
        <v>97</v>
      </c>
      <c r="AK39" s="2">
        <f>MU!AK32+UMKC!AK26+'S&amp;T'!AK13+UMSL!AK25</f>
        <v>94</v>
      </c>
      <c r="AL39" s="2">
        <f>MU!AL32+UMKC!AL26+'S&amp;T'!AL13+UMSL!AL25</f>
        <v>112</v>
      </c>
      <c r="AM39" s="2">
        <f>MU!AM32+UMKC!AM26+'S&amp;T'!AM13+UMSL!AM25</f>
        <v>123</v>
      </c>
      <c r="AN39" s="2">
        <f>MU!AN32+UMKC!AN26+'S&amp;T'!AN13+UMSL!AN25</f>
        <v>156</v>
      </c>
      <c r="AO39" s="2">
        <f>MU!AO32+UMKC!AO26+'S&amp;T'!AO13+UMSL!AO25</f>
        <v>143</v>
      </c>
      <c r="AP39" s="2">
        <f>MU!AP32+UMKC!AP26+'S&amp;T'!AP13+UMSL!AP25</f>
        <v>141</v>
      </c>
      <c r="AQ39" s="2">
        <f>MU!AQ32+UMKC!AQ26+'S&amp;T'!AQ13+UMSL!AQ25</f>
        <v>128</v>
      </c>
      <c r="AR39" s="2">
        <f>MU!AR32+UMKC!AR26+'S&amp;T'!AR13+UMSL!AR25</f>
        <v>125</v>
      </c>
      <c r="AS39" s="2">
        <f>MU!AS32+UMKC!AS26+'S&amp;T'!AS13+UMSL!AS25</f>
        <v>145</v>
      </c>
      <c r="AT39" s="2">
        <f>MU!AT32+UMKC!AT26+'S&amp;T'!AT13+UMSL!AT25</f>
        <v>111</v>
      </c>
      <c r="AU39" s="2">
        <f>MU!AU32+UMKC!AU26+'S&amp;T'!AU13+UMSL!AU25</f>
        <v>164</v>
      </c>
      <c r="AV39" s="2">
        <f>MU!AV32+UMKC!AV26+'S&amp;T'!AV13+UMSL!AV25</f>
        <v>137</v>
      </c>
      <c r="AW39" s="2">
        <f>MU!AW32+UMKC!AW26+'S&amp;T'!AW13+UMSL!AW25</f>
        <v>80</v>
      </c>
      <c r="AX39" s="2">
        <f>MU!AX32+UMKC!AX26+'S&amp;T'!AX13+UMSL!AX25</f>
        <v>105</v>
      </c>
      <c r="AY39" s="2">
        <f>MU!AY32+UMKC!AY26+'S&amp;T'!AY13+UMSL!AY25</f>
        <v>201</v>
      </c>
      <c r="AZ39" s="2">
        <f>MU!AZ32+UMKC!AZ26+'S&amp;T'!AZ13+UMSL!AZ25</f>
        <v>265</v>
      </c>
      <c r="BA39" s="2">
        <f>MU!BA32+UMKC!BA26+'S&amp;T'!BA13+UMSL!BA25</f>
        <v>280</v>
      </c>
      <c r="BB39" s="2">
        <f>MU!BB32+UMKC!BB26+'S&amp;T'!BB13+UMSL!BB25</f>
        <v>312</v>
      </c>
      <c r="BC39" s="8"/>
    </row>
    <row r="40" spans="1:55" ht="13.5" customHeight="1" x14ac:dyDescent="0.2">
      <c r="A40" s="7"/>
      <c r="B40" s="2"/>
      <c r="C40" s="3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f>'S&amp;T'!W14</f>
        <v>5</v>
      </c>
      <c r="X40" s="2">
        <f>'S&amp;T'!X14</f>
        <v>2</v>
      </c>
      <c r="Y40" s="2">
        <f>'S&amp;T'!Y14</f>
        <v>5</v>
      </c>
      <c r="Z40" s="2">
        <f>'S&amp;T'!Z14</f>
        <v>3</v>
      </c>
      <c r="AA40" s="2">
        <f>'S&amp;T'!AA14</f>
        <v>3</v>
      </c>
      <c r="AB40" s="2">
        <f>'S&amp;T'!AB14</f>
        <v>2</v>
      </c>
      <c r="AC40" s="2">
        <f>'S&amp;T'!AC14</f>
        <v>7</v>
      </c>
      <c r="AD40" s="2">
        <f>'S&amp;T'!AD14</f>
        <v>5</v>
      </c>
      <c r="AE40" s="2">
        <f>'S&amp;T'!AE14</f>
        <v>2</v>
      </c>
      <c r="AF40" s="2">
        <f>'S&amp;T'!AF14</f>
        <v>1</v>
      </c>
      <c r="AG40" s="2">
        <f>'S&amp;T'!AG14</f>
        <v>4</v>
      </c>
      <c r="AH40" s="2">
        <f>MU!AH33+'S&amp;T'!AH14</f>
        <v>4</v>
      </c>
      <c r="AI40" s="2">
        <f>MU!AI33+'S&amp;T'!AI14</f>
        <v>1</v>
      </c>
      <c r="AJ40" s="2">
        <f>MU!AJ33+'S&amp;T'!AJ14</f>
        <v>5</v>
      </c>
      <c r="AK40" s="2">
        <f>MU!AK33+'S&amp;T'!AK14</f>
        <v>2</v>
      </c>
      <c r="AL40" s="2">
        <f>MU!AL33+'S&amp;T'!AL14</f>
        <v>0</v>
      </c>
      <c r="AM40" s="2">
        <f>MU!AM33+'S&amp;T'!AM14</f>
        <v>6</v>
      </c>
      <c r="AN40" s="2">
        <f>MU!AN33+'S&amp;T'!AN14</f>
        <v>3</v>
      </c>
      <c r="AO40" s="2">
        <f>MU!AO33+'S&amp;T'!AO14</f>
        <v>6</v>
      </c>
      <c r="AP40" s="2">
        <f>MU!AP33+'S&amp;T'!AP14</f>
        <v>6</v>
      </c>
      <c r="AQ40" s="2">
        <f>MU!AQ33+'S&amp;T'!AQ14</f>
        <v>9</v>
      </c>
      <c r="AR40" s="2">
        <f>MU!AR33+'S&amp;T'!AR14</f>
        <v>6</v>
      </c>
      <c r="AS40" s="2">
        <f>MU!AS33+'S&amp;T'!AS14</f>
        <v>7</v>
      </c>
      <c r="AT40" s="2">
        <f>MU!AT33+'S&amp;T'!AT14</f>
        <v>5</v>
      </c>
      <c r="AU40" s="2">
        <f>MU!AU33+'S&amp;T'!AU14</f>
        <v>12</v>
      </c>
      <c r="AV40" s="2">
        <f>MU!AV33+'S&amp;T'!AV14</f>
        <v>6</v>
      </c>
      <c r="AW40" s="2">
        <f>MU!AW33+'S&amp;T'!AW14</f>
        <v>7</v>
      </c>
      <c r="AX40" s="2">
        <f>MU!AX33+'S&amp;T'!AX14</f>
        <v>17</v>
      </c>
      <c r="AY40" s="2">
        <f>MU!AY33+'S&amp;T'!AY14</f>
        <v>12</v>
      </c>
      <c r="AZ40" s="2">
        <f>MU!AZ33+'S&amp;T'!AZ14</f>
        <v>10</v>
      </c>
      <c r="BA40" s="2">
        <f>MU!BA33+'S&amp;T'!BA14</f>
        <v>13</v>
      </c>
      <c r="BB40" s="2">
        <f>MU!BB33+'S&amp;T'!BB14</f>
        <v>12</v>
      </c>
      <c r="BC40" s="8"/>
    </row>
    <row r="41" spans="1:55" ht="13.5" customHeight="1" x14ac:dyDescent="0.2">
      <c r="A41" s="7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1">
        <f t="shared" ref="W41:AA41" si="21">SUM(W37:W40)</f>
        <v>302</v>
      </c>
      <c r="X41" s="11">
        <f t="shared" si="21"/>
        <v>248</v>
      </c>
      <c r="Y41" s="11">
        <f t="shared" si="21"/>
        <v>218</v>
      </c>
      <c r="Z41" s="11">
        <f t="shared" si="21"/>
        <v>223</v>
      </c>
      <c r="AA41" s="11">
        <f t="shared" si="21"/>
        <v>223</v>
      </c>
      <c r="AB41" s="11">
        <f t="shared" ref="AB41:AD41" si="22">SUM(AB37:AB40)</f>
        <v>228</v>
      </c>
      <c r="AC41" s="11">
        <f t="shared" si="22"/>
        <v>250</v>
      </c>
      <c r="AD41" s="11">
        <f t="shared" si="22"/>
        <v>255</v>
      </c>
      <c r="AE41" s="11">
        <f t="shared" ref="AE41:AG41" si="23">SUM(AE37:AE40)</f>
        <v>217</v>
      </c>
      <c r="AF41" s="11">
        <f t="shared" si="23"/>
        <v>213</v>
      </c>
      <c r="AG41" s="11">
        <f t="shared" si="23"/>
        <v>229</v>
      </c>
      <c r="AH41" s="11">
        <f t="shared" ref="AH41:AV41" si="24">SUM(AH37:AH40)</f>
        <v>277</v>
      </c>
      <c r="AI41" s="11">
        <f t="shared" si="24"/>
        <v>272</v>
      </c>
      <c r="AJ41" s="11">
        <f t="shared" si="24"/>
        <v>362</v>
      </c>
      <c r="AK41" s="11">
        <f t="shared" si="24"/>
        <v>342</v>
      </c>
      <c r="AL41" s="11">
        <f t="shared" si="24"/>
        <v>440</v>
      </c>
      <c r="AM41" s="11">
        <f t="shared" si="24"/>
        <v>442</v>
      </c>
      <c r="AN41" s="11">
        <f t="shared" si="24"/>
        <v>498</v>
      </c>
      <c r="AO41" s="11">
        <f t="shared" si="24"/>
        <v>458</v>
      </c>
      <c r="AP41" s="11">
        <f t="shared" si="24"/>
        <v>379</v>
      </c>
      <c r="AQ41" s="11">
        <f t="shared" si="24"/>
        <v>356</v>
      </c>
      <c r="AR41" s="11">
        <f t="shared" si="24"/>
        <v>350</v>
      </c>
      <c r="AS41" s="11">
        <f t="shared" si="24"/>
        <v>368</v>
      </c>
      <c r="AT41" s="11">
        <f t="shared" si="24"/>
        <v>336</v>
      </c>
      <c r="AU41" s="11">
        <f t="shared" si="24"/>
        <v>424</v>
      </c>
      <c r="AV41" s="11">
        <f t="shared" si="24"/>
        <v>400</v>
      </c>
      <c r="AW41" s="11">
        <f>SUM(AW37:AW40)</f>
        <v>329</v>
      </c>
      <c r="AX41" s="11">
        <f>SUM(AX37:AX40)</f>
        <v>384</v>
      </c>
      <c r="AY41" s="11">
        <f>SUM(AY37:AY40)</f>
        <v>574</v>
      </c>
      <c r="AZ41" s="11">
        <f>SUM(AZ37:AZ40)</f>
        <v>679</v>
      </c>
      <c r="BA41" s="11">
        <f>SUM(BA36:BA40)</f>
        <v>734</v>
      </c>
      <c r="BB41" s="11">
        <f>SUM(BB36:BB40)</f>
        <v>789</v>
      </c>
      <c r="BC41" s="8"/>
    </row>
    <row r="42" spans="1:55" ht="13.5" customHeight="1" x14ac:dyDescent="0.2">
      <c r="A42" s="7"/>
      <c r="B42" s="10" t="s">
        <v>70</v>
      </c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8"/>
    </row>
    <row r="43" spans="1:55" ht="13.5" customHeight="1" x14ac:dyDescent="0.2">
      <c r="A43" s="7"/>
      <c r="B43" s="2"/>
      <c r="C43" s="3" t="s"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>
        <f>MU!W36+UMKC!W29+UMSL!W28</f>
        <v>686</v>
      </c>
      <c r="X43" s="2">
        <f>MU!X36+UMKC!X29+UMSL!X28</f>
        <v>732</v>
      </c>
      <c r="Y43" s="2">
        <f>MU!Y36+UMKC!Y29+UMSL!Y28</f>
        <v>772</v>
      </c>
      <c r="Z43" s="2">
        <f>MU!Z36+UMKC!Z29+UMSL!Z28</f>
        <v>837</v>
      </c>
      <c r="AA43" s="2">
        <f>MU!AA36+UMKC!AA29+UMSL!AA28</f>
        <v>843</v>
      </c>
      <c r="AB43" s="2">
        <f>MU!AB36+UMKC!AB29+UMSL!AB28</f>
        <v>849</v>
      </c>
      <c r="AC43" s="2">
        <f>MU!AC36+UMKC!AC29+UMSL!AC28</f>
        <v>902</v>
      </c>
      <c r="AD43" s="2">
        <f>MU!AD36+UMKC!AD29+UMSL!AD28</f>
        <v>737</v>
      </c>
      <c r="AE43" s="2">
        <f>MU!AE36+UMKC!AE29+UMSL!AE28</f>
        <v>719</v>
      </c>
      <c r="AF43" s="2">
        <f>MU!AF36+UMKC!AF29+UMSL!AF28</f>
        <v>659</v>
      </c>
      <c r="AG43" s="2">
        <f>MU!AG36+UMKC!AG29+UMSL!AG28</f>
        <v>714</v>
      </c>
      <c r="AH43" s="2">
        <f>MU!AH36+UMKC!AH29+UMSL!AH28</f>
        <v>699</v>
      </c>
      <c r="AI43" s="2">
        <f>MU!AI36+UMKC!AI29+UMSL!AI28</f>
        <v>739</v>
      </c>
      <c r="AJ43" s="2">
        <f>MU!AJ36+UMKC!AJ29+UMSL!AJ28</f>
        <v>649</v>
      </c>
      <c r="AK43" s="2">
        <f>MU!AK36+UMKC!AK29+UMSL!AK28</f>
        <v>685</v>
      </c>
      <c r="AL43" s="2">
        <f>MU!AL36+UMKC!AL29+UMSL!AL28</f>
        <v>648</v>
      </c>
      <c r="AM43" s="2">
        <f>MU!AM36+UMKC!AM29+UMSL!AM28</f>
        <v>606</v>
      </c>
      <c r="AN43" s="2">
        <f>MU!AN36+UMKC!AN29+UMSL!AN28</f>
        <v>668</v>
      </c>
      <c r="AO43" s="2">
        <f>MU!AO36+UMKC!AO29+UMSL!AO28</f>
        <v>666</v>
      </c>
      <c r="AP43" s="2">
        <f>MU!AP36+UMKC!AP29+UMSL!AP28</f>
        <v>682</v>
      </c>
      <c r="AQ43" s="2">
        <f>MU!AQ36+UMKC!AQ29+UMSL!AQ28</f>
        <v>683</v>
      </c>
      <c r="AR43" s="2">
        <f>MU!AR36+UMKC!AR29+UMSL!AR28</f>
        <v>607</v>
      </c>
      <c r="AS43" s="2">
        <f>MU!AS36+UMKC!AS29+UMSL!AS28</f>
        <v>680</v>
      </c>
      <c r="AT43" s="2">
        <f>MU!AT36+UMKC!AT29+UMSL!AT28</f>
        <v>618</v>
      </c>
      <c r="AU43" s="2">
        <f>MU!AU36+UMKC!AU29+UMSL!AU28</f>
        <v>646</v>
      </c>
      <c r="AV43" s="2">
        <f>MU!AV36+UMKC!AV29+UMSL!AV28</f>
        <v>643</v>
      </c>
      <c r="AW43" s="2">
        <f>MU!AW36+UMKC!AW29+UMSL!AW28</f>
        <v>667</v>
      </c>
      <c r="AX43" s="2">
        <f>MU!AX36+UMKC!AX29+UMSL!AX28</f>
        <v>661</v>
      </c>
      <c r="AY43" s="2">
        <f>MU!AY36+UMKC!AY29+UMSL!AY28</f>
        <v>599</v>
      </c>
      <c r="AZ43" s="2">
        <f>MU!AZ36+UMKC!AZ29+UMSL!AZ28</f>
        <v>590</v>
      </c>
      <c r="BA43" s="2">
        <f>MU!BA36+UMKC!BA29+UMSL!BA28</f>
        <v>527</v>
      </c>
      <c r="BB43" s="2">
        <f>MU!BB36+UMKC!BB29+UMSL!BB28</f>
        <v>458</v>
      </c>
      <c r="BC43" s="8"/>
    </row>
    <row r="44" spans="1:55" ht="13.5" customHeight="1" x14ac:dyDescent="0.2">
      <c r="A44" s="7"/>
      <c r="B44" s="2"/>
      <c r="C44" s="3" t="s">
        <v>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>
        <f>UMSL!AN29</f>
        <v>5</v>
      </c>
      <c r="AO44" s="2">
        <f>UMSL!AO29</f>
        <v>6</v>
      </c>
      <c r="AP44" s="2">
        <f>UMSL!AP29</f>
        <v>9</v>
      </c>
      <c r="AQ44" s="2">
        <f>UMSL!AQ29</f>
        <v>1</v>
      </c>
      <c r="AR44" s="2">
        <f>MU!AR37+UMSL!AR29</f>
        <v>1</v>
      </c>
      <c r="AS44" s="2">
        <f>MU!AS37+UMSL!AS29</f>
        <v>3</v>
      </c>
      <c r="AT44" s="2">
        <f>MU!AT37+UMSL!AT29</f>
        <v>8</v>
      </c>
      <c r="AU44" s="2">
        <f>MU!AU37+UMKC!AU30+UMSL!AU29</f>
        <v>14</v>
      </c>
      <c r="AV44" s="2">
        <f>MU!AV37+UMKC!AV30+UMSL!AV29</f>
        <v>33</v>
      </c>
      <c r="AW44" s="2">
        <f>MU!AW37+UMKC!AW30+UMSL!AW29</f>
        <v>49</v>
      </c>
      <c r="AX44" s="2">
        <f>MU!AX37+UMKC!AX30+UMSL!AX29</f>
        <v>50</v>
      </c>
      <c r="AY44" s="2">
        <f>MU!AY37+UMKC!AY30+UMSL!AY29</f>
        <v>55</v>
      </c>
      <c r="AZ44" s="2">
        <f>MU!AZ37+UMKC!AZ30+UMSL!AZ29</f>
        <v>81</v>
      </c>
      <c r="BA44" s="2">
        <f>MU!BA37+UMKC!BA30+UMSL!BA29</f>
        <v>66</v>
      </c>
      <c r="BB44" s="2">
        <f>MU!BB37+UMKC!BB30+UMSL!BB29</f>
        <v>69</v>
      </c>
      <c r="BC44" s="8"/>
    </row>
    <row r="45" spans="1:55" ht="13.5" customHeight="1" x14ac:dyDescent="0.2">
      <c r="A45" s="7"/>
      <c r="B45" s="2"/>
      <c r="C45" s="3" t="s">
        <v>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f>MU!W38+UMKC!W31+UMSL!W30</f>
        <v>621</v>
      </c>
      <c r="X45" s="2">
        <f>MU!X38+UMKC!X31+UMSL!X30</f>
        <v>654</v>
      </c>
      <c r="Y45" s="2">
        <f>MU!Y38+UMKC!Y31+UMSL!Y30</f>
        <v>725</v>
      </c>
      <c r="Z45" s="2">
        <f>MU!Z38+UMKC!Z31+UMSL!Z30</f>
        <v>685</v>
      </c>
      <c r="AA45" s="2">
        <f>MU!AA38+UMKC!AA31+UMSL!AA30</f>
        <v>769</v>
      </c>
      <c r="AB45" s="2">
        <f>MU!AB38+UMKC!AB31+UMSL!AB30</f>
        <v>772</v>
      </c>
      <c r="AC45" s="2">
        <f>MU!AC38+UMKC!AC31+UMSL!AC30</f>
        <v>676</v>
      </c>
      <c r="AD45" s="2">
        <f>MU!AD38+UMKC!AD31+UMSL!AD30</f>
        <v>753</v>
      </c>
      <c r="AE45" s="2">
        <f>MU!AE38+UMKC!AE31+UMSL!AE30</f>
        <v>699</v>
      </c>
      <c r="AF45" s="2">
        <f>MU!AF38+UMKC!AF31+UMSL!AF30</f>
        <v>760</v>
      </c>
      <c r="AG45" s="2">
        <f>MU!AG38+UMKC!AG31+UMSL!AG30</f>
        <v>806</v>
      </c>
      <c r="AH45" s="2">
        <f>MU!AH38+UMKC!AH31+UMSL!AH30</f>
        <v>685</v>
      </c>
      <c r="AI45" s="2">
        <f>MU!AI38+UMKC!AI31+UMSL!AI30</f>
        <v>769</v>
      </c>
      <c r="AJ45" s="2">
        <f>MU!AJ38+UMKC!AJ31+UMSL!AJ30</f>
        <v>708</v>
      </c>
      <c r="AK45" s="2">
        <f>MU!AK38+UMKC!AK31+UMSL!AK30</f>
        <v>714</v>
      </c>
      <c r="AL45" s="2">
        <f>MU!AL38+UMKC!AL31+UMSL!AL30</f>
        <v>725</v>
      </c>
      <c r="AM45" s="2">
        <f>MU!AM38+UMKC!AM31+UMSL!AM30</f>
        <v>953</v>
      </c>
      <c r="AN45" s="2">
        <f>MU!AN38+UMKC!AN31+UMSL!AN30</f>
        <v>922</v>
      </c>
      <c r="AO45" s="2">
        <f>MU!AO38+UMKC!AO31+UMSL!AO30</f>
        <v>907</v>
      </c>
      <c r="AP45" s="2">
        <f>MU!AP38+UMKC!AP31+UMSL!AP30</f>
        <v>957</v>
      </c>
      <c r="AQ45" s="2">
        <f>MU!AQ38+UMKC!AQ31+UMSL!AQ30</f>
        <v>879</v>
      </c>
      <c r="AR45" s="2">
        <f>MU!AR38+UMKC!AR31+UMSL!AR30</f>
        <v>873</v>
      </c>
      <c r="AS45" s="2">
        <f>MU!AS38+UMKC!AS31+UMSL!AS30</f>
        <v>956</v>
      </c>
      <c r="AT45" s="2">
        <f>MU!AT38+UMKC!AT31+UMSL!AT30</f>
        <v>958</v>
      </c>
      <c r="AU45" s="2">
        <f>MU!AU38+UMKC!AU31+UMSL!AU30</f>
        <v>986</v>
      </c>
      <c r="AV45" s="2">
        <f>MU!AV38+UMKC!AV31+UMSL!AV30</f>
        <v>1000</v>
      </c>
      <c r="AW45" s="2">
        <f>MU!AW38+UMKC!AW31+UMSL!AW30</f>
        <v>962</v>
      </c>
      <c r="AX45" s="2">
        <f>MU!AX38+UMKC!AX31+UMSL!AX30</f>
        <v>939</v>
      </c>
      <c r="AY45" s="2">
        <f>MU!AY38+UMKC!AY31+UMSL!AY30</f>
        <v>952</v>
      </c>
      <c r="AZ45" s="2">
        <f>MU!AZ38+UMKC!AZ31+UMSL!AZ30</f>
        <v>943</v>
      </c>
      <c r="BA45" s="2">
        <f>MU!BA38+UMKC!BA31+UMSL!BA30</f>
        <v>898</v>
      </c>
      <c r="BB45" s="2">
        <f>MU!BB38+UMKC!BB31+UMSL!BB30</f>
        <v>760</v>
      </c>
      <c r="BC45" s="8"/>
    </row>
    <row r="46" spans="1:55" ht="13.5" customHeight="1" x14ac:dyDescent="0.2">
      <c r="A46" s="7"/>
      <c r="B46" s="2"/>
      <c r="C46" s="3" t="s">
        <v>11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f>MU!W39+UMKC!W32</f>
        <v>94</v>
      </c>
      <c r="X46" s="2">
        <f>MU!X39+UMKC!X32</f>
        <v>82</v>
      </c>
      <c r="Y46" s="2">
        <f>MU!Y39+UMKC!Y32</f>
        <v>83</v>
      </c>
      <c r="Z46" s="2">
        <f>MU!Z39+UMKC!Z32</f>
        <v>107</v>
      </c>
      <c r="AA46" s="2">
        <f>MU!AA39+UMKC!AA32</f>
        <v>100</v>
      </c>
      <c r="AB46" s="2">
        <f>MU!AB39+UMKC!AB32</f>
        <v>95</v>
      </c>
      <c r="AC46" s="2">
        <f>MU!AC39+UMKC!AC32</f>
        <v>90</v>
      </c>
      <c r="AD46" s="2">
        <f>MU!AD39+UMKC!AD32</f>
        <v>79</v>
      </c>
      <c r="AE46" s="2">
        <f>MU!AE39+UMKC!AE32</f>
        <v>77</v>
      </c>
      <c r="AF46" s="2">
        <f>MU!AF39+UMKC!AF32</f>
        <v>85</v>
      </c>
      <c r="AG46" s="2">
        <f>MU!AG39+UMKC!AG32</f>
        <v>68</v>
      </c>
      <c r="AH46" s="2">
        <f>MU!AH39+UMKC!AH32</f>
        <v>71</v>
      </c>
      <c r="AI46" s="2">
        <f>MU!AI39+UMKC!AI32</f>
        <v>68</v>
      </c>
      <c r="AJ46" s="2">
        <f>MU!AJ39+UMKC!AJ32</f>
        <v>48</v>
      </c>
      <c r="AK46" s="2">
        <f>MU!AK39+UMKC!AK32</f>
        <v>88</v>
      </c>
      <c r="AL46" s="2">
        <f>MU!AL39+UMKC!AL32</f>
        <v>76</v>
      </c>
      <c r="AM46" s="2">
        <f>MU!AM39+UMKC!AM32</f>
        <v>94</v>
      </c>
      <c r="AN46" s="2">
        <f>MU!AN39+UMKC!AN32</f>
        <v>82</v>
      </c>
      <c r="AO46" s="2">
        <f>MU!AO39+UMKC!AO32+UMSL!AO31</f>
        <v>77</v>
      </c>
      <c r="AP46" s="2">
        <f>MU!AP39+UMKC!AP32+UMSL!AP31</f>
        <v>89</v>
      </c>
      <c r="AQ46" s="2">
        <f>MU!AQ39+UMKC!AQ32+UMSL!AQ31</f>
        <v>104</v>
      </c>
      <c r="AR46" s="2">
        <f>MU!AR39+UMKC!AR32+UMSL!AR31</f>
        <v>96</v>
      </c>
      <c r="AS46" s="2">
        <f>MU!AS39+UMKC!AS32+UMSL!AS31</f>
        <v>131</v>
      </c>
      <c r="AT46" s="2">
        <f>MU!AT39+UMKC!AT32+UMSL!AT31</f>
        <v>114</v>
      </c>
      <c r="AU46" s="2">
        <f>MU!AU39+UMKC!AU32+UMSL!AU31</f>
        <v>94</v>
      </c>
      <c r="AV46" s="2">
        <f>MU!AV39+UMKC!AV32+UMSL!AV31</f>
        <v>91</v>
      </c>
      <c r="AW46" s="2">
        <f>MU!AW39+UMKC!AW32+UMSL!AW31</f>
        <v>107</v>
      </c>
      <c r="AX46" s="2">
        <f>MU!AX39+UMKC!AX32+UMSL!AX31</f>
        <v>104</v>
      </c>
      <c r="AY46" s="2">
        <f>MU!AY39+UMKC!AY32+UMSL!AY31</f>
        <v>115</v>
      </c>
      <c r="AZ46" s="2">
        <f>MU!AZ39+UMKC!AZ32+UMSL!AZ31</f>
        <v>91</v>
      </c>
      <c r="BA46" s="2">
        <f>MU!BA39+UMKC!BA32+UMSL!BA31</f>
        <v>80</v>
      </c>
      <c r="BB46" s="2">
        <f>MU!BB39+UMKC!BB32+UMSL!BB31</f>
        <v>55</v>
      </c>
      <c r="BC46" s="8"/>
    </row>
    <row r="47" spans="1:55" ht="13.5" customHeight="1" x14ac:dyDescent="0.2">
      <c r="A47" s="7"/>
      <c r="B47" s="2"/>
      <c r="C47" s="3" t="s">
        <v>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f>MU!W40+UMKC!W33+UMSL!W32</f>
        <v>89</v>
      </c>
      <c r="X47" s="2">
        <f>MU!X40+UMKC!X33+UMSL!X32</f>
        <v>97</v>
      </c>
      <c r="Y47" s="2">
        <f>MU!Y40+UMKC!Y33+UMSL!Y32</f>
        <v>102</v>
      </c>
      <c r="Z47" s="2">
        <f>MU!Z40+UMKC!Z33+UMSL!Z32</f>
        <v>85</v>
      </c>
      <c r="AA47" s="2">
        <f>MU!AA40+UMKC!AA33+UMSL!AA32</f>
        <v>100</v>
      </c>
      <c r="AB47" s="2">
        <f>MU!AB40+UMKC!AB33+UMSL!AB32</f>
        <v>104</v>
      </c>
      <c r="AC47" s="2">
        <f>MU!AC40+UMKC!AC33+UMSL!AC32</f>
        <v>105</v>
      </c>
      <c r="AD47" s="2">
        <f>MU!AD40+UMKC!AD33+UMSL!AD32</f>
        <v>84</v>
      </c>
      <c r="AE47" s="2">
        <f>MU!AE40+UMKC!AE33+UMSL!AE32</f>
        <v>74</v>
      </c>
      <c r="AF47" s="2">
        <f>MU!AF40+UMKC!AF33+UMSL!AF32</f>
        <v>80</v>
      </c>
      <c r="AG47" s="2">
        <f>MU!AG40+UMKC!AG33+UMSL!AG32</f>
        <v>78</v>
      </c>
      <c r="AH47" s="2">
        <f>MU!AH40+UMKC!AH33+UMSL!AH32</f>
        <v>95</v>
      </c>
      <c r="AI47" s="2">
        <f>MU!AI40+UMKC!AI33+UMSL!AI32</f>
        <v>78</v>
      </c>
      <c r="AJ47" s="2">
        <f>MU!AJ40+UMKC!AJ33+UMSL!AJ32</f>
        <v>83</v>
      </c>
      <c r="AK47" s="2">
        <f>MU!AK40+UMKC!AK33+UMSL!AK32</f>
        <v>85</v>
      </c>
      <c r="AL47" s="2">
        <f>MU!AL40+UMKC!AL33+UMSL!AL32</f>
        <v>86</v>
      </c>
      <c r="AM47" s="2">
        <f>MU!AM40+UMKC!AM33+UMSL!AM32</f>
        <v>97</v>
      </c>
      <c r="AN47" s="2">
        <f>MU!AN40+UMKC!AN33+UMSL!AN32</f>
        <v>89</v>
      </c>
      <c r="AO47" s="2">
        <f>MU!AO40+UMKC!AO33+UMSL!AO32</f>
        <v>97</v>
      </c>
      <c r="AP47" s="2">
        <f>MU!AP40+UMKC!AP33+UMSL!AP32</f>
        <v>89</v>
      </c>
      <c r="AQ47" s="2">
        <f>MU!AQ40+UMKC!AQ33+UMSL!AQ32</f>
        <v>105</v>
      </c>
      <c r="AR47" s="2">
        <f>MU!AR40+UMKC!AR33+UMSL!AR32</f>
        <v>117</v>
      </c>
      <c r="AS47" s="2">
        <f>MU!AS40+UMKC!AS33+UMSL!AS32</f>
        <v>119</v>
      </c>
      <c r="AT47" s="2">
        <f>MU!AT40+UMKC!AT33+UMSL!AT32</f>
        <v>103</v>
      </c>
      <c r="AU47" s="2">
        <f>MU!AU40+UMKC!AU33+UMSL!AU32</f>
        <v>109</v>
      </c>
      <c r="AV47" s="2">
        <f>MU!AV40+UMKC!AV33+UMSL!AV32</f>
        <v>121</v>
      </c>
      <c r="AW47" s="2">
        <f>MU!AW40+UMKC!AW33+UMSL!AW32</f>
        <v>149</v>
      </c>
      <c r="AX47" s="2">
        <f>MU!AX40+UMKC!AX33+UMSL!AX32</f>
        <v>111</v>
      </c>
      <c r="AY47" s="2">
        <f>MU!AY40+UMKC!AY33+UMSL!AY32</f>
        <v>127</v>
      </c>
      <c r="AZ47" s="2">
        <f>MU!AZ40+UMKC!AZ33+UMSL!AZ32</f>
        <v>118</v>
      </c>
      <c r="BA47" s="2">
        <f>MU!BA40+UMKC!BA33+UMSL!BA32</f>
        <v>171</v>
      </c>
      <c r="BB47" s="2">
        <f>MU!BB40+UMKC!BB33+UMSL!BB32</f>
        <v>135</v>
      </c>
      <c r="BC47" s="8"/>
    </row>
    <row r="48" spans="1:55" ht="13.5" customHeight="1" x14ac:dyDescent="0.2">
      <c r="A48" s="7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>
        <f t="shared" ref="W48:AA48" si="25">SUM(W43:W47)</f>
        <v>1490</v>
      </c>
      <c r="X48" s="11">
        <f t="shared" si="25"/>
        <v>1565</v>
      </c>
      <c r="Y48" s="11">
        <f t="shared" si="25"/>
        <v>1682</v>
      </c>
      <c r="Z48" s="11">
        <f t="shared" si="25"/>
        <v>1714</v>
      </c>
      <c r="AA48" s="11">
        <f t="shared" si="25"/>
        <v>1812</v>
      </c>
      <c r="AB48" s="11">
        <f t="shared" ref="AB48:AD48" si="26">SUM(AB43:AB47)</f>
        <v>1820</v>
      </c>
      <c r="AC48" s="11">
        <f t="shared" si="26"/>
        <v>1773</v>
      </c>
      <c r="AD48" s="11">
        <f t="shared" si="26"/>
        <v>1653</v>
      </c>
      <c r="AE48" s="11">
        <f t="shared" ref="AE48:AG48" si="27">SUM(AE43:AE47)</f>
        <v>1569</v>
      </c>
      <c r="AF48" s="11">
        <f t="shared" si="27"/>
        <v>1584</v>
      </c>
      <c r="AG48" s="11">
        <f t="shared" si="27"/>
        <v>1666</v>
      </c>
      <c r="AH48" s="11">
        <f t="shared" ref="AH48:AV48" si="28">SUM(AH43:AH47)</f>
        <v>1550</v>
      </c>
      <c r="AI48" s="11">
        <f t="shared" si="28"/>
        <v>1654</v>
      </c>
      <c r="AJ48" s="11">
        <f t="shared" si="28"/>
        <v>1488</v>
      </c>
      <c r="AK48" s="11">
        <f t="shared" si="28"/>
        <v>1572</v>
      </c>
      <c r="AL48" s="11">
        <f t="shared" si="28"/>
        <v>1535</v>
      </c>
      <c r="AM48" s="11">
        <f t="shared" si="28"/>
        <v>1750</v>
      </c>
      <c r="AN48" s="11">
        <f t="shared" si="28"/>
        <v>1766</v>
      </c>
      <c r="AO48" s="11">
        <f t="shared" si="28"/>
        <v>1753</v>
      </c>
      <c r="AP48" s="11">
        <f t="shared" si="28"/>
        <v>1826</v>
      </c>
      <c r="AQ48" s="11">
        <f t="shared" si="28"/>
        <v>1772</v>
      </c>
      <c r="AR48" s="11">
        <f t="shared" si="28"/>
        <v>1694</v>
      </c>
      <c r="AS48" s="11">
        <f t="shared" si="28"/>
        <v>1889</v>
      </c>
      <c r="AT48" s="11">
        <f t="shared" si="28"/>
        <v>1801</v>
      </c>
      <c r="AU48" s="11">
        <f t="shared" si="28"/>
        <v>1849</v>
      </c>
      <c r="AV48" s="11">
        <f t="shared" si="28"/>
        <v>1888</v>
      </c>
      <c r="AW48" s="11">
        <f t="shared" ref="AW48:BB48" si="29">SUM(AW43:AW47)</f>
        <v>1934</v>
      </c>
      <c r="AX48" s="11">
        <f t="shared" si="29"/>
        <v>1865</v>
      </c>
      <c r="AY48" s="11">
        <f t="shared" si="29"/>
        <v>1848</v>
      </c>
      <c r="AZ48" s="11">
        <f t="shared" si="29"/>
        <v>1823</v>
      </c>
      <c r="BA48" s="11">
        <f t="shared" si="29"/>
        <v>1742</v>
      </c>
      <c r="BB48" s="11">
        <f t="shared" si="29"/>
        <v>1477</v>
      </c>
      <c r="BC48" s="8"/>
    </row>
    <row r="49" spans="1:55" ht="13.5" customHeight="1" x14ac:dyDescent="0.2">
      <c r="A49" s="7"/>
      <c r="B49" s="10" t="s">
        <v>71</v>
      </c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8"/>
    </row>
    <row r="50" spans="1:55" ht="13.5" customHeight="1" x14ac:dyDescent="0.2">
      <c r="A50" s="7"/>
      <c r="B50" s="10"/>
      <c r="C50" s="3" t="s">
        <v>10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>'S&amp;T'!AQ17</f>
        <v>1</v>
      </c>
      <c r="AR50" s="2">
        <f>'S&amp;T'!AR17</f>
        <v>3</v>
      </c>
      <c r="AS50" s="2">
        <f>'S&amp;T'!AS17</f>
        <v>2</v>
      </c>
      <c r="AT50" s="2">
        <f>'S&amp;T'!AT17</f>
        <v>1</v>
      </c>
      <c r="AU50" s="2">
        <f>'S&amp;T'!AU17</f>
        <v>4</v>
      </c>
      <c r="AV50" s="2">
        <f>'S&amp;T'!AV17</f>
        <v>2</v>
      </c>
      <c r="AW50" s="2">
        <f>'S&amp;T'!AW17</f>
        <v>0</v>
      </c>
      <c r="AX50" s="2">
        <f>'S&amp;T'!AX17</f>
        <v>3</v>
      </c>
      <c r="AY50" s="2">
        <f>'S&amp;T'!AY17</f>
        <v>14</v>
      </c>
      <c r="AZ50" s="2">
        <f>'S&amp;T'!AZ17</f>
        <v>9</v>
      </c>
      <c r="BA50" s="2">
        <f>'S&amp;T'!BA17</f>
        <v>8</v>
      </c>
      <c r="BB50" s="2">
        <f>'S&amp;T'!BB17</f>
        <v>6</v>
      </c>
      <c r="BC50" s="8"/>
    </row>
    <row r="51" spans="1:55" ht="13.5" customHeight="1" x14ac:dyDescent="0.2">
      <c r="A51" s="7"/>
      <c r="B51" s="2"/>
      <c r="C51" s="3" t="s"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f>MU!W43+'S&amp;T'!W18+UMSL!W35</f>
        <v>1258</v>
      </c>
      <c r="X51" s="2">
        <f>MU!X43+'S&amp;T'!X18+UMSL!X35</f>
        <v>1138</v>
      </c>
      <c r="Y51" s="2">
        <f>MU!Y43+'S&amp;T'!Y18+UMSL!Y35</f>
        <v>1107</v>
      </c>
      <c r="Z51" s="2">
        <f>MU!Z43+'S&amp;T'!Z18+UMSL!Z35</f>
        <v>989</v>
      </c>
      <c r="AA51" s="2">
        <f>MU!AA43+'S&amp;T'!AA18+UMSL!AA35</f>
        <v>925</v>
      </c>
      <c r="AB51" s="2">
        <f>MU!AB43+'S&amp;T'!AB18+UMSL!AB35</f>
        <v>840</v>
      </c>
      <c r="AC51" s="2">
        <f>MU!AC43+'S&amp;T'!AC18+UMSL!AC35</f>
        <v>947</v>
      </c>
      <c r="AD51" s="2">
        <f>MU!AD43+'S&amp;T'!AD18+UMSL!AD35</f>
        <v>1012</v>
      </c>
      <c r="AE51" s="2">
        <f>MU!AE43+'S&amp;T'!AE18+UMSL!AE35</f>
        <v>868</v>
      </c>
      <c r="AF51" s="2">
        <f>MU!AF43+'S&amp;T'!AF18+UMSL!AF35</f>
        <v>910</v>
      </c>
      <c r="AG51" s="2">
        <f>MU!AG43+'S&amp;T'!AG18+UMSL!AG35</f>
        <v>948</v>
      </c>
      <c r="AH51" s="2">
        <f>MU!AH43+'S&amp;T'!AH18+UMSL!AH35</f>
        <v>884</v>
      </c>
      <c r="AI51" s="2">
        <f>MU!AI43+'S&amp;T'!AI18+UMSL!AI35</f>
        <v>861</v>
      </c>
      <c r="AJ51" s="2">
        <f>MU!AJ43+'S&amp;T'!AJ18+UMSL!AJ35</f>
        <v>867</v>
      </c>
      <c r="AK51" s="2">
        <f>MU!AK43+'S&amp;T'!AK18+UMSL!AK35</f>
        <v>789</v>
      </c>
      <c r="AL51" s="2">
        <f>MU!AL43+UMKC!AL36+'S&amp;T'!AL18+UMSL!AL35</f>
        <v>849</v>
      </c>
      <c r="AM51" s="2">
        <f>MU!AM43+UMKC!AM36+'S&amp;T'!AM18+UMSL!AM35</f>
        <v>800</v>
      </c>
      <c r="AN51" s="2">
        <f>MU!AN43+UMKC!AN36+'S&amp;T'!AN18+UMSL!AN35</f>
        <v>863</v>
      </c>
      <c r="AO51" s="2">
        <f>MU!AO43+UMKC!AO36+'S&amp;T'!AO18+UMSL!AO35</f>
        <v>840</v>
      </c>
      <c r="AP51" s="2">
        <f>MU!AP43+UMKC!AP36+'S&amp;T'!AP18+UMSL!AP35</f>
        <v>841</v>
      </c>
      <c r="AQ51" s="2">
        <f>MU!AQ43+UMKC!AQ36+'S&amp;T'!AQ18+UMSL!AQ35</f>
        <v>973</v>
      </c>
      <c r="AR51" s="2">
        <f>MU!AR43+UMKC!AR36+'S&amp;T'!AR18+UMSL!AR35</f>
        <v>1029</v>
      </c>
      <c r="AS51" s="2">
        <f>MU!AS43+UMKC!AS36+'S&amp;T'!AS18+UMSL!AS35</f>
        <v>1065</v>
      </c>
      <c r="AT51" s="2">
        <f>MU!AT43+UMKC!AT36+'S&amp;T'!AT18+UMSL!AT35</f>
        <v>1152</v>
      </c>
      <c r="AU51" s="2">
        <f>MU!AU43+UMKC!AU36+'S&amp;T'!AU18+UMSL!AU35</f>
        <v>1145</v>
      </c>
      <c r="AV51" s="2">
        <f>MU!AV43+UMKC!AV36+'S&amp;T'!AV18+UMSL!AV35</f>
        <v>1301</v>
      </c>
      <c r="AW51" s="2">
        <f>MU!AW43+UMKC!AW36+'S&amp;T'!AW18+UMSL!AW35</f>
        <v>1325</v>
      </c>
      <c r="AX51" s="2">
        <f>MU!AX43+UMKC!AX36+'S&amp;T'!AX18+UMSL!AX35</f>
        <v>1286</v>
      </c>
      <c r="AY51" s="2">
        <f>MU!AY43+UMKC!AY36+'S&amp;T'!AY18+UMSL!AY35</f>
        <v>1499</v>
      </c>
      <c r="AZ51" s="2">
        <f>MU!AZ43+UMKC!AZ36+'S&amp;T'!AZ18+UMSL!AZ35</f>
        <v>1650</v>
      </c>
      <c r="BA51" s="2">
        <f>MU!BA43+UMKC!BA36+'S&amp;T'!BA18+UMSL!BA35</f>
        <v>1537</v>
      </c>
      <c r="BB51" s="2">
        <f>MU!BB43+UMKC!BB36+'S&amp;T'!BB18+UMSL!BB35</f>
        <v>1669</v>
      </c>
      <c r="BC51" s="8"/>
    </row>
    <row r="52" spans="1:55" ht="13.5" customHeight="1" x14ac:dyDescent="0.2">
      <c r="A52" s="7"/>
      <c r="B52" s="2"/>
      <c r="C52" s="3" t="s">
        <v>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  <c r="AK52" s="2">
        <f>'S&amp;T'!AK19</f>
        <v>0</v>
      </c>
      <c r="AL52" s="2">
        <f>'S&amp;T'!AL19</f>
        <v>22</v>
      </c>
      <c r="AM52" s="2">
        <f>'S&amp;T'!AM19</f>
        <v>20</v>
      </c>
      <c r="AN52" s="2">
        <f>'S&amp;T'!AN19</f>
        <v>70</v>
      </c>
      <c r="AO52" s="2">
        <f>'S&amp;T'!AO19</f>
        <v>82</v>
      </c>
      <c r="AP52" s="2">
        <f>'S&amp;T'!AP19</f>
        <v>69</v>
      </c>
      <c r="AQ52" s="2">
        <f>MU!AQ44+'S&amp;T'!AQ19</f>
        <v>111</v>
      </c>
      <c r="AR52" s="2">
        <f>MU!AR44+'S&amp;T'!AR19</f>
        <v>128</v>
      </c>
      <c r="AS52" s="2">
        <f>MU!AS44+'S&amp;T'!AS19</f>
        <v>203</v>
      </c>
      <c r="AT52" s="2">
        <f>MU!AT44+'S&amp;T'!AT19</f>
        <v>195</v>
      </c>
      <c r="AU52" s="2">
        <f>MU!AU44+'S&amp;T'!AU19</f>
        <v>184</v>
      </c>
      <c r="AV52" s="2">
        <f>MU!AV44+'S&amp;T'!AV19</f>
        <v>137</v>
      </c>
      <c r="AW52" s="2">
        <f>MU!AW44+'S&amp;T'!AW19+UMKC!AW37</f>
        <v>196</v>
      </c>
      <c r="AX52" s="2">
        <f>MU!AX44+'S&amp;T'!AX19+UMKC!AX37</f>
        <v>273</v>
      </c>
      <c r="AY52" s="2">
        <f>MU!AY44+'S&amp;T'!AY19+UMKC!AY37</f>
        <v>304</v>
      </c>
      <c r="AZ52" s="2">
        <f>MU!AZ44+'S&amp;T'!AZ19+UMKC!AZ37</f>
        <v>310</v>
      </c>
      <c r="BA52" s="2">
        <f>MU!BA44+'S&amp;T'!BA19+UMKC!BA37</f>
        <v>286</v>
      </c>
      <c r="BB52" s="2">
        <f>MU!BB44+'S&amp;T'!BB19+UMKC!BB37</f>
        <v>304</v>
      </c>
      <c r="BC52" s="8"/>
    </row>
    <row r="53" spans="1:55" ht="13.5" hidden="1" customHeight="1" x14ac:dyDescent="0.2">
      <c r="A53" s="7"/>
      <c r="B53" s="2"/>
      <c r="C53" s="3" t="s">
        <v>44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>
        <f>'S&amp;T'!W20</f>
        <v>0</v>
      </c>
      <c r="X53" s="2">
        <f>'S&amp;T'!X20</f>
        <v>0</v>
      </c>
      <c r="Y53" s="2">
        <f>'S&amp;T'!Y20</f>
        <v>0</v>
      </c>
      <c r="Z53" s="2">
        <f>'S&amp;T'!Z20</f>
        <v>1</v>
      </c>
      <c r="AA53" s="2">
        <f>'S&amp;T'!AA20</f>
        <v>0</v>
      </c>
      <c r="AB53" s="2">
        <f>'S&amp;T'!AB20</f>
        <v>0</v>
      </c>
      <c r="AC53" s="2"/>
      <c r="AD53" s="2"/>
      <c r="AE53" s="2"/>
      <c r="AF53" s="2"/>
      <c r="AG53" s="2"/>
      <c r="AH53" s="2"/>
      <c r="AI53" s="2"/>
      <c r="AJ53" s="3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8"/>
    </row>
    <row r="54" spans="1:55" ht="13.5" customHeight="1" x14ac:dyDescent="0.2">
      <c r="A54" s="7"/>
      <c r="B54" s="2"/>
      <c r="C54" s="3" t="s">
        <v>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>
        <f>MU!W45+'S&amp;T'!W21</f>
        <v>257</v>
      </c>
      <c r="X54" s="2">
        <f>MU!X45+'S&amp;T'!X21</f>
        <v>278</v>
      </c>
      <c r="Y54" s="2">
        <f>MU!Y45+'S&amp;T'!Y21</f>
        <v>263</v>
      </c>
      <c r="Z54" s="2">
        <f>MU!Z45+'S&amp;T'!Z21</f>
        <v>337</v>
      </c>
      <c r="AA54" s="2">
        <f>MU!AA45+'S&amp;T'!AA21</f>
        <v>329</v>
      </c>
      <c r="AB54" s="2">
        <f>MU!AB45+'S&amp;T'!AB21</f>
        <v>351</v>
      </c>
      <c r="AC54" s="2">
        <f>MU!AC45+'S&amp;T'!AC21</f>
        <v>328</v>
      </c>
      <c r="AD54" s="2">
        <f>MU!AD45+'S&amp;T'!AD21</f>
        <v>253</v>
      </c>
      <c r="AE54" s="2">
        <f>MU!AE45+'S&amp;T'!AE21</f>
        <v>280</v>
      </c>
      <c r="AF54" s="2">
        <f>MU!AF45+'S&amp;T'!AF21</f>
        <v>223</v>
      </c>
      <c r="AG54" s="2">
        <f>MU!AG45+'S&amp;T'!AG21</f>
        <v>237</v>
      </c>
      <c r="AH54" s="2">
        <f>MU!AH45+'S&amp;T'!AH21</f>
        <v>201</v>
      </c>
      <c r="AI54" s="2">
        <f>MU!AI45+'S&amp;T'!AI21</f>
        <v>179</v>
      </c>
      <c r="AJ54" s="2">
        <f>MU!AJ45+'S&amp;T'!AJ21</f>
        <v>205</v>
      </c>
      <c r="AK54" s="2">
        <f>MU!AK45+'S&amp;T'!AK21</f>
        <v>214</v>
      </c>
      <c r="AL54" s="2">
        <f>MU!AL45+UMKC!AL38+'S&amp;T'!AL21</f>
        <v>253</v>
      </c>
      <c r="AM54" s="2">
        <f>MU!AM45+UMKC!AM38+'S&amp;T'!AM21</f>
        <v>303</v>
      </c>
      <c r="AN54" s="2">
        <f>MU!AN45+UMKC!AN38+'S&amp;T'!AN21</f>
        <v>398</v>
      </c>
      <c r="AO54" s="2">
        <f>MU!AO45+UMKC!AO38+'S&amp;T'!AO21</f>
        <v>334</v>
      </c>
      <c r="AP54" s="2">
        <f>MU!AP45+UMKC!AP38+'S&amp;T'!AP21</f>
        <v>329</v>
      </c>
      <c r="AQ54" s="2">
        <f>MU!AQ45+UMKC!AQ38+'S&amp;T'!AQ21</f>
        <v>301</v>
      </c>
      <c r="AR54" s="2">
        <f>MU!AR45+UMKC!AR38+'S&amp;T'!AR21</f>
        <v>437</v>
      </c>
      <c r="AS54" s="2">
        <f>MU!AS45+UMKC!AS38+'S&amp;T'!AS21</f>
        <v>437</v>
      </c>
      <c r="AT54" s="2">
        <f>MU!AT45+UMKC!AT38+'S&amp;T'!AT21</f>
        <v>418</v>
      </c>
      <c r="AU54" s="2">
        <f>MU!AU45+UMKC!AU38+'S&amp;T'!AU21</f>
        <v>516</v>
      </c>
      <c r="AV54" s="2">
        <f>MU!AV45+UMKC!AV38+'S&amp;T'!AV21</f>
        <v>478</v>
      </c>
      <c r="AW54" s="2">
        <f>MU!AW45+UMKC!AW38+'S&amp;T'!AW21</f>
        <v>564</v>
      </c>
      <c r="AX54" s="2">
        <f>MU!AX45+UMKC!AX38+'S&amp;T'!AX21</f>
        <v>526</v>
      </c>
      <c r="AY54" s="2">
        <f>MU!AY45+UMKC!AY38+'S&amp;T'!AY21</f>
        <v>743</v>
      </c>
      <c r="AZ54" s="2">
        <f>MU!AZ45+UMKC!AZ38+'S&amp;T'!AZ21</f>
        <v>799</v>
      </c>
      <c r="BA54" s="2">
        <f>MU!BA45+UMKC!BA38+'S&amp;T'!BA21</f>
        <v>739</v>
      </c>
      <c r="BB54" s="2">
        <f>MU!BB45+UMKC!BB38+'S&amp;T'!BB21</f>
        <v>595</v>
      </c>
      <c r="BC54" s="8"/>
    </row>
    <row r="55" spans="1:55" ht="13.5" customHeight="1" x14ac:dyDescent="0.2">
      <c r="A55" s="7"/>
      <c r="B55" s="2"/>
      <c r="C55" s="3" t="s">
        <v>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f>MU!W46+'S&amp;T'!W22</f>
        <v>38</v>
      </c>
      <c r="X55" s="2">
        <f>MU!X46+'S&amp;T'!X22</f>
        <v>50</v>
      </c>
      <c r="Y55" s="2">
        <f>MU!Y46+'S&amp;T'!Y22</f>
        <v>47</v>
      </c>
      <c r="Z55" s="2">
        <f>MU!Z46+'S&amp;T'!Z22</f>
        <v>48</v>
      </c>
      <c r="AA55" s="2">
        <f>MU!AA46+'S&amp;T'!AA22</f>
        <v>50</v>
      </c>
      <c r="AB55" s="2">
        <f>MU!AB46+'S&amp;T'!AB22</f>
        <v>51</v>
      </c>
      <c r="AC55" s="2">
        <f>MU!AC46+'S&amp;T'!AC22</f>
        <v>61</v>
      </c>
      <c r="AD55" s="2">
        <f>MU!AD46+'S&amp;T'!AD22</f>
        <v>60</v>
      </c>
      <c r="AE55" s="2">
        <f>MU!AE46+'S&amp;T'!AE22</f>
        <v>59</v>
      </c>
      <c r="AF55" s="2">
        <f>MU!AF46+'S&amp;T'!AF22</f>
        <v>55</v>
      </c>
      <c r="AG55" s="2">
        <f>MU!AG46+'S&amp;T'!AG22</f>
        <v>61</v>
      </c>
      <c r="AH55" s="2">
        <f>MU!AH46+'S&amp;T'!AH22</f>
        <v>56</v>
      </c>
      <c r="AI55" s="2">
        <f>MU!AI46+'S&amp;T'!AI22</f>
        <v>39</v>
      </c>
      <c r="AJ55" s="2">
        <f>MU!AJ46+'S&amp;T'!AJ22</f>
        <v>51</v>
      </c>
      <c r="AK55" s="2">
        <f>MU!AK46+'S&amp;T'!AK22</f>
        <v>42</v>
      </c>
      <c r="AL55" s="2">
        <f>MU!AL46+'S&amp;T'!AL22</f>
        <v>41</v>
      </c>
      <c r="AM55" s="2">
        <f>MU!AM46+'S&amp;T'!AM22</f>
        <v>56</v>
      </c>
      <c r="AN55" s="2">
        <f>MU!AN46+'S&amp;T'!AN22</f>
        <v>47</v>
      </c>
      <c r="AO55" s="2">
        <f>MU!AO46+'S&amp;T'!AO22</f>
        <v>68</v>
      </c>
      <c r="AP55" s="2">
        <f>MU!AP46+'S&amp;T'!AP22</f>
        <v>76</v>
      </c>
      <c r="AQ55" s="2">
        <f>MU!AQ46+'S&amp;T'!AQ22</f>
        <v>73</v>
      </c>
      <c r="AR55" s="2">
        <f>MU!AR46+'S&amp;T'!AR22</f>
        <v>80</v>
      </c>
      <c r="AS55" s="2">
        <f>MU!AS46+'S&amp;T'!AS22</f>
        <v>52</v>
      </c>
      <c r="AT55" s="2">
        <f>MU!AT46+'S&amp;T'!AT22</f>
        <v>56</v>
      </c>
      <c r="AU55" s="2">
        <f>MU!AU46+'S&amp;T'!AU22</f>
        <v>82</v>
      </c>
      <c r="AV55" s="2">
        <f>MU!AV46+'S&amp;T'!AV22</f>
        <v>78</v>
      </c>
      <c r="AW55" s="2">
        <f>MU!AW46+'S&amp;T'!AW22</f>
        <v>102</v>
      </c>
      <c r="AX55" s="2">
        <f>MU!AX46+'S&amp;T'!AX22</f>
        <v>78</v>
      </c>
      <c r="AY55" s="2">
        <f>MU!AY46+'S&amp;T'!AY22</f>
        <v>103</v>
      </c>
      <c r="AZ55" s="2">
        <f>MU!AZ46+'S&amp;T'!AZ22</f>
        <v>111</v>
      </c>
      <c r="BA55" s="2">
        <f>MU!BA46+'S&amp;T'!BA22</f>
        <v>105</v>
      </c>
      <c r="BB55" s="2">
        <f>MU!BB46+'S&amp;T'!BB22</f>
        <v>135</v>
      </c>
      <c r="BC55" s="8"/>
    </row>
    <row r="56" spans="1:55" ht="13.5" customHeight="1" x14ac:dyDescent="0.2">
      <c r="A56" s="7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1">
        <f t="shared" ref="W56:AA56" si="30">SUM(W51:W55)</f>
        <v>1553</v>
      </c>
      <c r="X56" s="11">
        <f t="shared" si="30"/>
        <v>1466</v>
      </c>
      <c r="Y56" s="11">
        <f t="shared" si="30"/>
        <v>1417</v>
      </c>
      <c r="Z56" s="11">
        <f t="shared" si="30"/>
        <v>1375</v>
      </c>
      <c r="AA56" s="11">
        <f t="shared" si="30"/>
        <v>1304</v>
      </c>
      <c r="AB56" s="11">
        <f t="shared" ref="AB56:AP56" si="31">SUM(AB51:AB55)</f>
        <v>1242</v>
      </c>
      <c r="AC56" s="11">
        <f t="shared" si="31"/>
        <v>1336</v>
      </c>
      <c r="AD56" s="11">
        <f t="shared" si="31"/>
        <v>1325</v>
      </c>
      <c r="AE56" s="11">
        <f t="shared" si="31"/>
        <v>1207</v>
      </c>
      <c r="AF56" s="11">
        <f t="shared" si="31"/>
        <v>1188</v>
      </c>
      <c r="AG56" s="11">
        <f t="shared" si="31"/>
        <v>1246</v>
      </c>
      <c r="AH56" s="11">
        <f t="shared" si="31"/>
        <v>1141</v>
      </c>
      <c r="AI56" s="11">
        <f t="shared" si="31"/>
        <v>1079</v>
      </c>
      <c r="AJ56" s="11">
        <f t="shared" si="31"/>
        <v>1123</v>
      </c>
      <c r="AK56" s="11">
        <f t="shared" si="31"/>
        <v>1045</v>
      </c>
      <c r="AL56" s="11">
        <f t="shared" si="31"/>
        <v>1165</v>
      </c>
      <c r="AM56" s="11">
        <f t="shared" si="31"/>
        <v>1179</v>
      </c>
      <c r="AN56" s="11">
        <f t="shared" si="31"/>
        <v>1378</v>
      </c>
      <c r="AO56" s="11">
        <f t="shared" si="31"/>
        <v>1324</v>
      </c>
      <c r="AP56" s="11">
        <f t="shared" si="31"/>
        <v>1315</v>
      </c>
      <c r="AQ56" s="11">
        <f t="shared" ref="AQ56:AW56" si="32">SUM(AQ50:AQ55)</f>
        <v>1459</v>
      </c>
      <c r="AR56" s="11">
        <f t="shared" si="32"/>
        <v>1677</v>
      </c>
      <c r="AS56" s="11">
        <f t="shared" si="32"/>
        <v>1759</v>
      </c>
      <c r="AT56" s="11">
        <f t="shared" si="32"/>
        <v>1822</v>
      </c>
      <c r="AU56" s="11">
        <f t="shared" si="32"/>
        <v>1931</v>
      </c>
      <c r="AV56" s="11">
        <f t="shared" si="32"/>
        <v>1996</v>
      </c>
      <c r="AW56" s="11">
        <f t="shared" si="32"/>
        <v>2187</v>
      </c>
      <c r="AX56" s="11">
        <f t="shared" ref="AX56:AY56" si="33">SUM(AX50:AX55)</f>
        <v>2166</v>
      </c>
      <c r="AY56" s="11">
        <f t="shared" si="33"/>
        <v>2663</v>
      </c>
      <c r="AZ56" s="11">
        <f t="shared" ref="AZ56:BA56" si="34">SUM(AZ50:AZ55)</f>
        <v>2879</v>
      </c>
      <c r="BA56" s="11">
        <f t="shared" si="34"/>
        <v>2675</v>
      </c>
      <c r="BB56" s="11">
        <f t="shared" ref="BB56" si="35">SUM(BB50:BB55)</f>
        <v>2709</v>
      </c>
      <c r="BC56" s="8"/>
    </row>
    <row r="57" spans="1:55" ht="13.5" customHeight="1" x14ac:dyDescent="0.2">
      <c r="A57" s="7"/>
      <c r="B57" s="10" t="s">
        <v>93</v>
      </c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8"/>
    </row>
    <row r="58" spans="1:55" ht="13.5" customHeight="1" x14ac:dyDescent="0.2">
      <c r="A58" s="7"/>
      <c r="B58" s="2"/>
      <c r="C58" s="3" t="s"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f>'S&amp;T'!W25</f>
        <v>109</v>
      </c>
      <c r="X58" s="2">
        <f>'S&amp;T'!X25</f>
        <v>96</v>
      </c>
      <c r="Y58" s="2">
        <f>'S&amp;T'!Y25</f>
        <v>63</v>
      </c>
      <c r="Z58" s="2">
        <f>'S&amp;T'!Z25</f>
        <v>76</v>
      </c>
      <c r="AA58" s="2">
        <f>'S&amp;T'!AA25</f>
        <v>74</v>
      </c>
      <c r="AB58" s="2">
        <f>'S&amp;T'!AB25</f>
        <v>58</v>
      </c>
      <c r="AC58" s="2">
        <f>'S&amp;T'!AC25</f>
        <v>50</v>
      </c>
      <c r="AD58" s="2">
        <f>'S&amp;T'!AD25</f>
        <v>44</v>
      </c>
      <c r="AE58" s="2">
        <f>'S&amp;T'!AE25</f>
        <v>64</v>
      </c>
      <c r="AF58" s="2">
        <f>'S&amp;T'!AF25</f>
        <v>50</v>
      </c>
      <c r="AG58" s="2">
        <f>'S&amp;T'!AG25</f>
        <v>53</v>
      </c>
      <c r="AH58" s="2">
        <f>'S&amp;T'!AH25</f>
        <v>35</v>
      </c>
      <c r="AI58" s="2">
        <f>'S&amp;T'!AI25</f>
        <v>52</v>
      </c>
      <c r="AJ58" s="2">
        <f>'S&amp;T'!AJ25</f>
        <v>48</v>
      </c>
      <c r="AK58" s="2">
        <f>'S&amp;T'!AK25</f>
        <v>52</v>
      </c>
      <c r="AL58" s="2">
        <f>'S&amp;T'!AL25</f>
        <v>46</v>
      </c>
      <c r="AM58" s="2">
        <f>'S&amp;T'!AM25</f>
        <v>54</v>
      </c>
      <c r="AN58" s="2">
        <f>'S&amp;T'!AN25</f>
        <v>70</v>
      </c>
      <c r="AO58" s="2">
        <f>'S&amp;T'!AO25</f>
        <v>46</v>
      </c>
      <c r="AP58" s="2">
        <f>'S&amp;T'!AP25</f>
        <v>47</v>
      </c>
      <c r="AQ58" s="2">
        <f>'S&amp;T'!AQ25</f>
        <v>45</v>
      </c>
      <c r="AR58" s="2">
        <f>'S&amp;T'!AR25</f>
        <v>48</v>
      </c>
      <c r="AS58" s="2">
        <f>'S&amp;T'!AS25</f>
        <v>60</v>
      </c>
      <c r="AT58" s="2">
        <f>'S&amp;T'!AT25</f>
        <v>44</v>
      </c>
      <c r="AU58" s="2">
        <f>'S&amp;T'!AU25</f>
        <v>49</v>
      </c>
      <c r="AV58" s="2">
        <f>'S&amp;T'!AV25</f>
        <v>51</v>
      </c>
      <c r="AW58" s="2">
        <f>'S&amp;T'!AW25</f>
        <v>25</v>
      </c>
      <c r="AX58" s="2">
        <f>'S&amp;T'!AX25</f>
        <v>48</v>
      </c>
      <c r="AY58" s="2">
        <f>'S&amp;T'!AY25</f>
        <v>61</v>
      </c>
      <c r="AZ58" s="2">
        <f>'S&amp;T'!AZ25</f>
        <v>61</v>
      </c>
      <c r="BA58" s="2">
        <f>'S&amp;T'!BA25</f>
        <v>91</v>
      </c>
      <c r="BB58" s="2">
        <f>'S&amp;T'!BB25</f>
        <v>73</v>
      </c>
      <c r="BC58" s="8"/>
    </row>
    <row r="59" spans="1:55" ht="13.5" customHeight="1" x14ac:dyDescent="0.2">
      <c r="A59" s="7"/>
      <c r="B59" s="2"/>
      <c r="C59" s="3" t="s">
        <v>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"/>
      <c r="AK59" s="2">
        <f>'S&amp;T'!AK26</f>
        <v>0</v>
      </c>
      <c r="AL59" s="2">
        <f>'S&amp;T'!AL26</f>
        <v>0</v>
      </c>
      <c r="AM59" s="2">
        <f>'S&amp;T'!AM26</f>
        <v>0</v>
      </c>
      <c r="AN59" s="2">
        <f>'S&amp;T'!AN26</f>
        <v>0</v>
      </c>
      <c r="AO59" s="2">
        <f>'S&amp;T'!AO26</f>
        <v>0</v>
      </c>
      <c r="AP59" s="2">
        <f>'S&amp;T'!AP26</f>
        <v>0</v>
      </c>
      <c r="AQ59" s="2">
        <f>'S&amp;T'!AQ26</f>
        <v>3</v>
      </c>
      <c r="AR59" s="2">
        <f>'S&amp;T'!AR26</f>
        <v>4</v>
      </c>
      <c r="AS59" s="2">
        <f>'S&amp;T'!AS26</f>
        <v>1</v>
      </c>
      <c r="AT59" s="2">
        <f>'S&amp;T'!AT26</f>
        <v>51</v>
      </c>
      <c r="AU59" s="2">
        <f>'S&amp;T'!AU26</f>
        <v>57</v>
      </c>
      <c r="AV59" s="2">
        <f>'S&amp;T'!AV26</f>
        <v>152</v>
      </c>
      <c r="AW59" s="2">
        <f>'S&amp;T'!AW26</f>
        <v>210</v>
      </c>
      <c r="AX59" s="2">
        <f>'S&amp;T'!AX26</f>
        <v>91</v>
      </c>
      <c r="AY59" s="2">
        <f>'S&amp;T'!AY26</f>
        <v>63</v>
      </c>
      <c r="AZ59" s="2">
        <f>'S&amp;T'!AZ26</f>
        <v>68</v>
      </c>
      <c r="BA59" s="2">
        <f>'S&amp;T'!BA26</f>
        <v>83</v>
      </c>
      <c r="BB59" s="2">
        <f>'S&amp;T'!BB26</f>
        <v>137</v>
      </c>
      <c r="BC59" s="8"/>
    </row>
    <row r="60" spans="1:55" ht="13.5" hidden="1" customHeight="1" x14ac:dyDescent="0.2">
      <c r="A60" s="7"/>
      <c r="B60" s="2"/>
      <c r="C60" s="3" t="s">
        <v>44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f>'S&amp;T'!W27</f>
        <v>0</v>
      </c>
      <c r="X60" s="2">
        <f>'S&amp;T'!X27</f>
        <v>0</v>
      </c>
      <c r="Y60" s="2">
        <f>'S&amp;T'!Y27</f>
        <v>0</v>
      </c>
      <c r="Z60" s="2">
        <f>'S&amp;T'!Z27</f>
        <v>0</v>
      </c>
      <c r="AA60" s="2">
        <f>'S&amp;T'!AA27</f>
        <v>0</v>
      </c>
      <c r="AB60" s="2">
        <f>'S&amp;T'!AB27</f>
        <v>0</v>
      </c>
      <c r="AC60" s="2"/>
      <c r="AD60" s="2"/>
      <c r="AE60" s="2"/>
      <c r="AF60" s="2"/>
      <c r="AG60" s="2"/>
      <c r="AH60" s="2"/>
      <c r="AI60" s="2"/>
      <c r="AJ60" s="3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8"/>
    </row>
    <row r="61" spans="1:55" ht="13.5" customHeight="1" x14ac:dyDescent="0.2">
      <c r="A61" s="7"/>
      <c r="B61" s="2"/>
      <c r="C61" s="3" t="s">
        <v>5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f>'S&amp;T'!W28</f>
        <v>53</v>
      </c>
      <c r="X61" s="2">
        <f>'S&amp;T'!X28</f>
        <v>58</v>
      </c>
      <c r="Y61" s="2">
        <f>'S&amp;T'!Y28</f>
        <v>61</v>
      </c>
      <c r="Z61" s="2">
        <f>'S&amp;T'!Z28</f>
        <v>55</v>
      </c>
      <c r="AA61" s="2">
        <f>'S&amp;T'!AA28</f>
        <v>59</v>
      </c>
      <c r="AB61" s="2">
        <f>'S&amp;T'!AB28</f>
        <v>85</v>
      </c>
      <c r="AC61" s="2">
        <f>'S&amp;T'!AC28</f>
        <v>95</v>
      </c>
      <c r="AD61" s="2">
        <f>'S&amp;T'!AD28</f>
        <v>99</v>
      </c>
      <c r="AE61" s="2">
        <f>'S&amp;T'!AE28</f>
        <v>106</v>
      </c>
      <c r="AF61" s="2">
        <f>'S&amp;T'!AF28</f>
        <v>139</v>
      </c>
      <c r="AG61" s="2">
        <f>'S&amp;T'!AG28</f>
        <v>163</v>
      </c>
      <c r="AH61" s="2">
        <f>'S&amp;T'!AH28</f>
        <v>160</v>
      </c>
      <c r="AI61" s="2">
        <f>'S&amp;T'!AI28</f>
        <v>144</v>
      </c>
      <c r="AJ61" s="2">
        <f>'S&amp;T'!AJ28</f>
        <v>121</v>
      </c>
      <c r="AK61" s="2">
        <f>'S&amp;T'!AK28</f>
        <v>155</v>
      </c>
      <c r="AL61" s="2">
        <f>'S&amp;T'!AL28</f>
        <v>123</v>
      </c>
      <c r="AM61" s="2">
        <f>'S&amp;T'!AM28</f>
        <v>146</v>
      </c>
      <c r="AN61" s="2">
        <f>'S&amp;T'!AN28</f>
        <v>118</v>
      </c>
      <c r="AO61" s="2">
        <f>'S&amp;T'!AO28</f>
        <v>116</v>
      </c>
      <c r="AP61" s="2">
        <f>'S&amp;T'!AP28</f>
        <v>95</v>
      </c>
      <c r="AQ61" s="2">
        <f>'S&amp;T'!AQ28</f>
        <v>66</v>
      </c>
      <c r="AR61" s="2">
        <f>'S&amp;T'!AR28</f>
        <v>74</v>
      </c>
      <c r="AS61" s="2">
        <f>'S&amp;T'!AS28</f>
        <v>74</v>
      </c>
      <c r="AT61" s="2">
        <f>'S&amp;T'!AT28</f>
        <v>101</v>
      </c>
      <c r="AU61" s="2">
        <f>'S&amp;T'!AU28</f>
        <v>105</v>
      </c>
      <c r="AV61" s="2">
        <f>'S&amp;T'!AV28</f>
        <v>135</v>
      </c>
      <c r="AW61" s="2">
        <f>'S&amp;T'!AW28</f>
        <v>153</v>
      </c>
      <c r="AX61" s="2">
        <f>'S&amp;T'!AX28</f>
        <v>131</v>
      </c>
      <c r="AY61" s="2">
        <f>'S&amp;T'!AY28</f>
        <v>136</v>
      </c>
      <c r="AZ61" s="2">
        <f>'S&amp;T'!AZ28</f>
        <v>147</v>
      </c>
      <c r="BA61" s="2">
        <f>'S&amp;T'!BA28</f>
        <v>126</v>
      </c>
      <c r="BB61" s="2">
        <f>'S&amp;T'!BB28</f>
        <v>139</v>
      </c>
      <c r="BC61" s="8"/>
    </row>
    <row r="62" spans="1:55" ht="13.5" customHeight="1" x14ac:dyDescent="0.2">
      <c r="A62" s="7"/>
      <c r="B62" s="2"/>
      <c r="C62" s="3" t="s">
        <v>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f>'S&amp;T'!W29</f>
        <v>3</v>
      </c>
      <c r="X62" s="2">
        <f>'S&amp;T'!X29</f>
        <v>1</v>
      </c>
      <c r="Y62" s="2">
        <f>'S&amp;T'!Y29</f>
        <v>6</v>
      </c>
      <c r="Z62" s="2">
        <f>'S&amp;T'!Z29</f>
        <v>6</v>
      </c>
      <c r="AA62" s="2">
        <f>'S&amp;T'!AA29</f>
        <v>12</v>
      </c>
      <c r="AB62" s="2">
        <f>'S&amp;T'!AB29</f>
        <v>15</v>
      </c>
      <c r="AC62" s="2">
        <f>'S&amp;T'!AC29</f>
        <v>8</v>
      </c>
      <c r="AD62" s="2">
        <f>'S&amp;T'!AD29</f>
        <v>17</v>
      </c>
      <c r="AE62" s="2">
        <f>'S&amp;T'!AE29</f>
        <v>23</v>
      </c>
      <c r="AF62" s="2">
        <f>'S&amp;T'!AF29</f>
        <v>23</v>
      </c>
      <c r="AG62" s="2">
        <f>'S&amp;T'!AG29</f>
        <v>12</v>
      </c>
      <c r="AH62" s="2">
        <f>'S&amp;T'!AH29</f>
        <v>13</v>
      </c>
      <c r="AI62" s="2">
        <f>'S&amp;T'!AI29</f>
        <v>8</v>
      </c>
      <c r="AJ62" s="2">
        <f>'S&amp;T'!AJ29</f>
        <v>5</v>
      </c>
      <c r="AK62" s="2">
        <f>'S&amp;T'!AK29</f>
        <v>2</v>
      </c>
      <c r="AL62" s="2">
        <f>'S&amp;T'!AL29</f>
        <v>4</v>
      </c>
      <c r="AM62" s="2">
        <f>'S&amp;T'!AM29</f>
        <v>7</v>
      </c>
      <c r="AN62" s="2">
        <f>'S&amp;T'!AN29</f>
        <v>7</v>
      </c>
      <c r="AO62" s="2">
        <f>'S&amp;T'!AO29</f>
        <v>6</v>
      </c>
      <c r="AP62" s="2">
        <f>'S&amp;T'!AP29</f>
        <v>4</v>
      </c>
      <c r="AQ62" s="2">
        <f>'S&amp;T'!AQ29</f>
        <v>5</v>
      </c>
      <c r="AR62" s="2">
        <f>'S&amp;T'!AR29</f>
        <v>5</v>
      </c>
      <c r="AS62" s="2">
        <f>'S&amp;T'!AS29</f>
        <v>2</v>
      </c>
      <c r="AT62" s="2">
        <f>'S&amp;T'!AT29</f>
        <v>3</v>
      </c>
      <c r="AU62" s="2">
        <f>'S&amp;T'!AU29</f>
        <v>2</v>
      </c>
      <c r="AV62" s="2">
        <f>'S&amp;T'!AV29</f>
        <v>7</v>
      </c>
      <c r="AW62" s="2">
        <f>'S&amp;T'!AW29</f>
        <v>11</v>
      </c>
      <c r="AX62" s="2">
        <f>'S&amp;T'!AX29</f>
        <v>3</v>
      </c>
      <c r="AY62" s="2">
        <f>'S&amp;T'!AY29</f>
        <v>3</v>
      </c>
      <c r="AZ62" s="2">
        <f>'S&amp;T'!AZ29</f>
        <v>1</v>
      </c>
      <c r="BA62" s="2">
        <f>'S&amp;T'!BA29</f>
        <v>1</v>
      </c>
      <c r="BB62" s="2">
        <f>'S&amp;T'!BB29</f>
        <v>1</v>
      </c>
      <c r="BC62" s="8"/>
    </row>
    <row r="63" spans="1:55" ht="13.5" customHeight="1" x14ac:dyDescent="0.2">
      <c r="A63" s="7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1">
        <f t="shared" ref="W63:AA63" si="36">SUM(W58:W62)</f>
        <v>165</v>
      </c>
      <c r="X63" s="11">
        <f t="shared" si="36"/>
        <v>155</v>
      </c>
      <c r="Y63" s="11">
        <f t="shared" si="36"/>
        <v>130</v>
      </c>
      <c r="Z63" s="11">
        <f t="shared" si="36"/>
        <v>137</v>
      </c>
      <c r="AA63" s="11">
        <f t="shared" si="36"/>
        <v>145</v>
      </c>
      <c r="AB63" s="11">
        <f t="shared" ref="AB63:AW63" si="37">SUM(AB58:AB62)</f>
        <v>158</v>
      </c>
      <c r="AC63" s="11">
        <f t="shared" si="37"/>
        <v>153</v>
      </c>
      <c r="AD63" s="11">
        <f t="shared" si="37"/>
        <v>160</v>
      </c>
      <c r="AE63" s="11">
        <f t="shared" si="37"/>
        <v>193</v>
      </c>
      <c r="AF63" s="11">
        <f t="shared" si="37"/>
        <v>212</v>
      </c>
      <c r="AG63" s="11">
        <f t="shared" si="37"/>
        <v>228</v>
      </c>
      <c r="AH63" s="11">
        <f t="shared" si="37"/>
        <v>208</v>
      </c>
      <c r="AI63" s="11">
        <f t="shared" si="37"/>
        <v>204</v>
      </c>
      <c r="AJ63" s="11">
        <f t="shared" si="37"/>
        <v>174</v>
      </c>
      <c r="AK63" s="11">
        <f t="shared" si="37"/>
        <v>209</v>
      </c>
      <c r="AL63" s="11">
        <f t="shared" si="37"/>
        <v>173</v>
      </c>
      <c r="AM63" s="11">
        <f t="shared" si="37"/>
        <v>207</v>
      </c>
      <c r="AN63" s="11">
        <f t="shared" si="37"/>
        <v>195</v>
      </c>
      <c r="AO63" s="11">
        <f t="shared" si="37"/>
        <v>168</v>
      </c>
      <c r="AP63" s="11">
        <f t="shared" si="37"/>
        <v>146</v>
      </c>
      <c r="AQ63" s="11">
        <f t="shared" si="37"/>
        <v>119</v>
      </c>
      <c r="AR63" s="11">
        <f t="shared" si="37"/>
        <v>131</v>
      </c>
      <c r="AS63" s="11">
        <f t="shared" si="37"/>
        <v>137</v>
      </c>
      <c r="AT63" s="11">
        <f t="shared" si="37"/>
        <v>199</v>
      </c>
      <c r="AU63" s="11">
        <f t="shared" si="37"/>
        <v>213</v>
      </c>
      <c r="AV63" s="11">
        <f t="shared" si="37"/>
        <v>345</v>
      </c>
      <c r="AW63" s="11">
        <f t="shared" si="37"/>
        <v>399</v>
      </c>
      <c r="AX63" s="11">
        <f t="shared" ref="AX63:AY63" si="38">SUM(AX58:AX62)</f>
        <v>273</v>
      </c>
      <c r="AY63" s="11">
        <f t="shared" si="38"/>
        <v>263</v>
      </c>
      <c r="AZ63" s="11">
        <f t="shared" ref="AZ63:BA63" si="39">SUM(AZ58:AZ62)</f>
        <v>277</v>
      </c>
      <c r="BA63" s="11">
        <f t="shared" si="39"/>
        <v>301</v>
      </c>
      <c r="BB63" s="11">
        <f t="shared" ref="BB63" si="40">SUM(BB58:BB62)</f>
        <v>350</v>
      </c>
      <c r="BC63" s="8"/>
    </row>
    <row r="64" spans="1:55" ht="13.5" customHeight="1" x14ac:dyDescent="0.2">
      <c r="A64" s="7"/>
      <c r="B64" s="10" t="s">
        <v>92</v>
      </c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8"/>
    </row>
    <row r="65" spans="1:55" ht="13.5" customHeight="1" x14ac:dyDescent="0.2">
      <c r="A65" s="7"/>
      <c r="B65" s="2"/>
      <c r="C65" s="3" t="s">
        <v>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f>MU!W49+UMKC!W41+UMSL!W37</f>
        <v>41</v>
      </c>
      <c r="X65" s="2">
        <f>MU!X49+UMKC!X41+UMSL!X37</f>
        <v>40</v>
      </c>
      <c r="Y65" s="2">
        <f>MU!Y49+UMKC!Y41+UMSL!Y37</f>
        <v>38</v>
      </c>
      <c r="Z65" s="2">
        <f>MU!Z49+UMKC!Z41+UMSL!Z37</f>
        <v>46</v>
      </c>
      <c r="AA65" s="2">
        <f>MU!AA49+UMKC!AA41+UMSL!AA37</f>
        <v>48</v>
      </c>
      <c r="AB65" s="2">
        <f>MU!AB49+UMKC!AB41+UMSL!AB37</f>
        <v>56</v>
      </c>
      <c r="AC65" s="2">
        <f>MU!AC49+UMKC!AC41+UMSL!AC37</f>
        <v>63</v>
      </c>
      <c r="AD65" s="2">
        <f>MU!AD49+UMKC!AD41+UMSL!AD37</f>
        <v>87</v>
      </c>
      <c r="AE65" s="2">
        <f>MU!AE49+UMKC!AE41+UMSL!AE37</f>
        <v>73</v>
      </c>
      <c r="AF65" s="2">
        <f>MU!AF49+UMKC!AF41+UMSL!AF37</f>
        <v>85</v>
      </c>
      <c r="AG65" s="2">
        <f>MU!AG49+UMKC!AG41+UMSL!AG37</f>
        <v>89</v>
      </c>
      <c r="AH65" s="2">
        <f>MU!AH49+UMKC!AH41+UMSL!AH37</f>
        <v>71</v>
      </c>
      <c r="AI65" s="2">
        <f>MU!AI49+UMKC!AI41+UMSL!AI37</f>
        <v>96</v>
      </c>
      <c r="AJ65" s="2">
        <f>MU!AJ49+UMKC!AJ41+UMSL!AJ37</f>
        <v>92</v>
      </c>
      <c r="AK65" s="2">
        <f>MU!AK49+UMKC!AK41+UMSL!AK37</f>
        <v>102</v>
      </c>
      <c r="AL65" s="2">
        <f>MU!AL49+UMKC!AL41+UMSL!AL37</f>
        <v>64</v>
      </c>
      <c r="AM65" s="2">
        <f>MU!AM49+UMKC!AM41+UMSL!AM37</f>
        <v>112</v>
      </c>
      <c r="AN65" s="2">
        <f>MU!AN49+UMKC!AN41+UMSL!AN37</f>
        <v>100</v>
      </c>
      <c r="AO65" s="2">
        <f>MU!AO49+UMKC!AO41+UMSL!AO37</f>
        <v>99</v>
      </c>
      <c r="AP65" s="2">
        <f>MU!AP49+UMKC!AP41+UMSL!AP37</f>
        <v>98</v>
      </c>
      <c r="AQ65" s="2">
        <f>MU!AQ49+UMKC!AQ41+UMSL!AQ37</f>
        <v>120</v>
      </c>
      <c r="AR65" s="2">
        <f>MU!AR49+UMKC!AR41+UMSL!AR37</f>
        <v>108</v>
      </c>
      <c r="AS65" s="2">
        <f>MU!AS49+UMKC!AS41+UMSL!AS37</f>
        <v>126</v>
      </c>
      <c r="AT65" s="2">
        <f>MU!AT49+UMKC!AT41+UMSL!AT37</f>
        <v>131</v>
      </c>
      <c r="AU65" s="2">
        <f>MU!AU49+UMKC!AU41+UMSL!AU37</f>
        <v>151</v>
      </c>
      <c r="AV65" s="2">
        <f>MU!AV49+UMKC!AV41+UMSL!AV37</f>
        <v>139</v>
      </c>
      <c r="AW65" s="2">
        <f>MU!AW49+UMKC!AW41+UMSL!AW37</f>
        <v>168</v>
      </c>
      <c r="AX65" s="2">
        <f>MU!AX49+UMKC!AX41+UMSL!AX37</f>
        <v>141</v>
      </c>
      <c r="AY65" s="2">
        <f>MU!AY49+UMKC!AY41+UMSL!AY37</f>
        <v>164</v>
      </c>
      <c r="AZ65" s="2">
        <f>MU!AZ49+UMKC!AZ41+UMSL!AZ37</f>
        <v>131</v>
      </c>
      <c r="BA65" s="2">
        <f>MU!BA49+UMKC!BA41+UMSL!BA37</f>
        <v>127</v>
      </c>
      <c r="BB65" s="2">
        <f>MU!BB49+UMKC!BB41+UMSL!BB37</f>
        <v>141</v>
      </c>
      <c r="BC65" s="8"/>
    </row>
    <row r="66" spans="1:55" ht="13.5" customHeight="1" x14ac:dyDescent="0.2">
      <c r="A66" s="7"/>
      <c r="B66" s="2"/>
      <c r="C66" s="3" t="s">
        <v>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>
        <f>MU!W50+UMKC!W42</f>
        <v>5</v>
      </c>
      <c r="X66" s="2">
        <f>MU!X50+UMKC!X42</f>
        <v>5</v>
      </c>
      <c r="Y66" s="2">
        <f>MU!Y50+UMKC!Y42</f>
        <v>10</v>
      </c>
      <c r="Z66" s="2">
        <f>MU!Z50+UMKC!Z42</f>
        <v>10</v>
      </c>
      <c r="AA66" s="2">
        <f>MU!AA50+UMKC!AA42</f>
        <v>11</v>
      </c>
      <c r="AB66" s="2">
        <f>MU!AB50+UMKC!AB42</f>
        <v>17</v>
      </c>
      <c r="AC66" s="2">
        <f>MU!AC50+UMKC!AC42</f>
        <v>15</v>
      </c>
      <c r="AD66" s="2">
        <f>MU!AD50+UMKC!AD42</f>
        <v>11</v>
      </c>
      <c r="AE66" s="2">
        <f>MU!AE50+UMKC!AE42</f>
        <v>21</v>
      </c>
      <c r="AF66" s="2">
        <f>MU!AF50+UMKC!AF42</f>
        <v>15</v>
      </c>
      <c r="AG66" s="2">
        <f>MU!AG50+UMKC!AG42</f>
        <v>21</v>
      </c>
      <c r="AH66" s="2">
        <f>MU!AH50+UMKC!AH42</f>
        <v>13</v>
      </c>
      <c r="AI66" s="2">
        <f>MU!AI50+UMKC!AI42</f>
        <v>20</v>
      </c>
      <c r="AJ66" s="2">
        <f>MU!AJ50+UMKC!AJ42</f>
        <v>13</v>
      </c>
      <c r="AK66" s="2">
        <f>MU!AK50+UMKC!AK42</f>
        <v>21</v>
      </c>
      <c r="AL66" s="2">
        <f>MU!AL50+UMKC!AL42</f>
        <v>16</v>
      </c>
      <c r="AM66" s="2">
        <f>MU!AM50+UMKC!AM42</f>
        <v>15</v>
      </c>
      <c r="AN66" s="2">
        <f>MU!AN50+UMKC!AN42</f>
        <v>15</v>
      </c>
      <c r="AO66" s="2">
        <f>MU!AO50+UMKC!AO42</f>
        <v>17</v>
      </c>
      <c r="AP66" s="2">
        <f>MU!AP50+UMKC!AP42</f>
        <v>31</v>
      </c>
      <c r="AQ66" s="2">
        <f>MU!AQ50+UMKC!AQ42</f>
        <v>27</v>
      </c>
      <c r="AR66" s="2">
        <f>MU!AR50+UMKC!AR42</f>
        <v>26</v>
      </c>
      <c r="AS66" s="2">
        <f>MU!AS50+UMKC!AS42</f>
        <v>21</v>
      </c>
      <c r="AT66" s="2">
        <f>MU!AT50+UMKC!AT42</f>
        <v>24</v>
      </c>
      <c r="AU66" s="2">
        <f>MU!AU50+UMKC!AU42</f>
        <v>30</v>
      </c>
      <c r="AV66" s="2">
        <f>MU!AV50+UMKC!AV42</f>
        <v>33</v>
      </c>
      <c r="AW66" s="2">
        <f>MU!AW50+UMKC!AW42</f>
        <v>20</v>
      </c>
      <c r="AX66" s="2">
        <f>MU!AX50+UMKC!AX42</f>
        <v>25</v>
      </c>
      <c r="AY66" s="2">
        <f>MU!AY50+UMKC!AY42</f>
        <v>22</v>
      </c>
      <c r="AZ66" s="2">
        <f>MU!AZ50+UMKC!AZ42</f>
        <v>19</v>
      </c>
      <c r="BA66" s="2">
        <f>MU!BA50+UMKC!BA42</f>
        <v>20</v>
      </c>
      <c r="BB66" s="2">
        <f>MU!BB50+UMKC!BB42</f>
        <v>19</v>
      </c>
      <c r="BC66" s="8"/>
    </row>
    <row r="67" spans="1:55" ht="13.5" customHeight="1" x14ac:dyDescent="0.2">
      <c r="A67" s="7"/>
      <c r="B67" s="2"/>
      <c r="C67" s="3" t="s">
        <v>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>
        <f>MU!W51</f>
        <v>0</v>
      </c>
      <c r="X67" s="3">
        <f>MU!X51</f>
        <v>3</v>
      </c>
      <c r="Y67" s="3">
        <f>MU!Y51</f>
        <v>0</v>
      </c>
      <c r="Z67" s="3">
        <f>MU!Z51</f>
        <v>1</v>
      </c>
      <c r="AA67" s="3">
        <f>MU!AA51</f>
        <v>0</v>
      </c>
      <c r="AB67" s="3">
        <f>MU!AB51</f>
        <v>1</v>
      </c>
      <c r="AC67" s="3">
        <f>MU!AC51</f>
        <v>1</v>
      </c>
      <c r="AD67" s="3">
        <f>MU!AD51</f>
        <v>4</v>
      </c>
      <c r="AE67" s="3">
        <f>MU!AE51</f>
        <v>0</v>
      </c>
      <c r="AF67" s="3">
        <f>MU!AF51</f>
        <v>0</v>
      </c>
      <c r="AG67" s="2">
        <f>MU!AG51</f>
        <v>2</v>
      </c>
      <c r="AH67" s="2">
        <f>MU!AH51</f>
        <v>4</v>
      </c>
      <c r="AI67" s="2">
        <f>MU!AI51</f>
        <v>1</v>
      </c>
      <c r="AJ67" s="2">
        <f>MU!AJ51</f>
        <v>6</v>
      </c>
      <c r="AK67" s="2">
        <f>MU!AK51</f>
        <v>4</v>
      </c>
      <c r="AL67" s="2">
        <f>MU!AL51</f>
        <v>3</v>
      </c>
      <c r="AM67" s="2">
        <f>MU!AM51</f>
        <v>4</v>
      </c>
      <c r="AN67" s="2">
        <f>MU!AN51</f>
        <v>7</v>
      </c>
      <c r="AO67" s="2">
        <f>MU!AO51</f>
        <v>3</v>
      </c>
      <c r="AP67" s="2">
        <f>MU!AP51</f>
        <v>2</v>
      </c>
      <c r="AQ67" s="2">
        <f>MU!AQ51</f>
        <v>4</v>
      </c>
      <c r="AR67" s="2">
        <f>MU!AR51</f>
        <v>2</v>
      </c>
      <c r="AS67" s="2">
        <f>MU!AS51</f>
        <v>0</v>
      </c>
      <c r="AT67" s="2">
        <f>MU!AT51</f>
        <v>3</v>
      </c>
      <c r="AU67" s="2">
        <f>MU!AU51</f>
        <v>4</v>
      </c>
      <c r="AV67" s="2">
        <f>MU!AV51</f>
        <v>2</v>
      </c>
      <c r="AW67" s="2">
        <f>MU!AW51</f>
        <v>2</v>
      </c>
      <c r="AX67" s="2">
        <f>MU!AX51</f>
        <v>3</v>
      </c>
      <c r="AY67" s="2">
        <f>MU!AY51</f>
        <v>7</v>
      </c>
      <c r="AZ67" s="2">
        <f>MU!AZ51</f>
        <v>4</v>
      </c>
      <c r="BA67" s="2">
        <f>MU!BA51</f>
        <v>2</v>
      </c>
      <c r="BB67" s="2">
        <f>MU!BB51</f>
        <v>3</v>
      </c>
      <c r="BC67" s="8"/>
    </row>
    <row r="68" spans="1:55" ht="13.5" customHeight="1" x14ac:dyDescent="0.2">
      <c r="A68" s="7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1">
        <f t="shared" ref="W68:AA68" si="41">SUM(W65:W67)</f>
        <v>46</v>
      </c>
      <c r="X68" s="11">
        <f t="shared" si="41"/>
        <v>48</v>
      </c>
      <c r="Y68" s="11">
        <f t="shared" si="41"/>
        <v>48</v>
      </c>
      <c r="Z68" s="11">
        <f t="shared" si="41"/>
        <v>57</v>
      </c>
      <c r="AA68" s="11">
        <f t="shared" si="41"/>
        <v>59</v>
      </c>
      <c r="AB68" s="11">
        <f t="shared" ref="AB68:AD68" si="42">SUM(AB65:AB67)</f>
        <v>74</v>
      </c>
      <c r="AC68" s="11">
        <f t="shared" si="42"/>
        <v>79</v>
      </c>
      <c r="AD68" s="11">
        <f t="shared" si="42"/>
        <v>102</v>
      </c>
      <c r="AE68" s="11">
        <f t="shared" ref="AE68:AG68" si="43">SUM(AE65:AE67)</f>
        <v>94</v>
      </c>
      <c r="AF68" s="11">
        <f t="shared" si="43"/>
        <v>100</v>
      </c>
      <c r="AG68" s="11">
        <f t="shared" si="43"/>
        <v>112</v>
      </c>
      <c r="AH68" s="11">
        <f t="shared" ref="AH68:AV68" si="44">SUM(AH65:AH67)</f>
        <v>88</v>
      </c>
      <c r="AI68" s="11">
        <f t="shared" si="44"/>
        <v>117</v>
      </c>
      <c r="AJ68" s="11">
        <f t="shared" si="44"/>
        <v>111</v>
      </c>
      <c r="AK68" s="11">
        <f t="shared" si="44"/>
        <v>127</v>
      </c>
      <c r="AL68" s="11">
        <f t="shared" si="44"/>
        <v>83</v>
      </c>
      <c r="AM68" s="11">
        <f t="shared" si="44"/>
        <v>131</v>
      </c>
      <c r="AN68" s="11">
        <f t="shared" si="44"/>
        <v>122</v>
      </c>
      <c r="AO68" s="11">
        <f t="shared" si="44"/>
        <v>119</v>
      </c>
      <c r="AP68" s="11">
        <f t="shared" si="44"/>
        <v>131</v>
      </c>
      <c r="AQ68" s="11">
        <f t="shared" si="44"/>
        <v>151</v>
      </c>
      <c r="AR68" s="11">
        <f t="shared" si="44"/>
        <v>136</v>
      </c>
      <c r="AS68" s="11">
        <f t="shared" si="44"/>
        <v>147</v>
      </c>
      <c r="AT68" s="11">
        <f t="shared" si="44"/>
        <v>158</v>
      </c>
      <c r="AU68" s="11">
        <f t="shared" si="44"/>
        <v>185</v>
      </c>
      <c r="AV68" s="11">
        <f t="shared" si="44"/>
        <v>174</v>
      </c>
      <c r="AW68" s="11">
        <f t="shared" ref="AW68:BB68" si="45">SUM(AW65:AW67)</f>
        <v>190</v>
      </c>
      <c r="AX68" s="11">
        <f t="shared" si="45"/>
        <v>169</v>
      </c>
      <c r="AY68" s="11">
        <f t="shared" si="45"/>
        <v>193</v>
      </c>
      <c r="AZ68" s="11">
        <f t="shared" si="45"/>
        <v>154</v>
      </c>
      <c r="BA68" s="11">
        <f t="shared" si="45"/>
        <v>149</v>
      </c>
      <c r="BB68" s="11">
        <f t="shared" si="45"/>
        <v>163</v>
      </c>
      <c r="BC68" s="8"/>
    </row>
    <row r="69" spans="1:55" ht="13.5" customHeight="1" x14ac:dyDescent="0.2">
      <c r="A69" s="7"/>
      <c r="B69" s="10" t="s">
        <v>86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8"/>
    </row>
    <row r="70" spans="1:55" ht="13.5" customHeight="1" x14ac:dyDescent="0.2">
      <c r="A70" s="7"/>
      <c r="B70" s="2"/>
      <c r="C70" s="3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f>MU!W54</f>
        <v>160</v>
      </c>
      <c r="X70" s="2">
        <f>MU!X54</f>
        <v>178</v>
      </c>
      <c r="Y70" s="2">
        <f>MU!Y54</f>
        <v>191</v>
      </c>
      <c r="Z70" s="2">
        <f>MU!Z54</f>
        <v>185</v>
      </c>
      <c r="AA70" s="2">
        <f>MU!AA54</f>
        <v>177</v>
      </c>
      <c r="AB70" s="2">
        <f>MU!AB54</f>
        <v>200</v>
      </c>
      <c r="AC70" s="2">
        <f>MU!AC54</f>
        <v>232</v>
      </c>
      <c r="AD70" s="2">
        <f>MU!AD54</f>
        <v>244</v>
      </c>
      <c r="AE70" s="2">
        <f>MU!AE54</f>
        <v>253</v>
      </c>
      <c r="AF70" s="2">
        <f>MU!AF54</f>
        <v>200</v>
      </c>
      <c r="AG70" s="2">
        <f>MU!AG54</f>
        <v>189</v>
      </c>
      <c r="AH70" s="2">
        <f>MU!AH54</f>
        <v>190</v>
      </c>
      <c r="AI70" s="2">
        <f>MU!AI54</f>
        <v>228</v>
      </c>
      <c r="AJ70" s="2">
        <f>MU!AJ54</f>
        <v>262</v>
      </c>
      <c r="AK70" s="2">
        <f>MU!AK54</f>
        <v>284</v>
      </c>
      <c r="AL70" s="2">
        <f>MU!AL54</f>
        <v>237</v>
      </c>
      <c r="AM70" s="2">
        <f>MU!AM54</f>
        <v>228</v>
      </c>
      <c r="AN70" s="2">
        <f>MU!AN54</f>
        <v>233</v>
      </c>
      <c r="AO70" s="2">
        <f>MU!AO54</f>
        <v>263</v>
      </c>
      <c r="AP70" s="2">
        <f>MU!AP54</f>
        <v>250</v>
      </c>
      <c r="AQ70" s="2">
        <f>MU!AQ54</f>
        <v>234</v>
      </c>
      <c r="AR70" s="2">
        <f>MU!AR54</f>
        <v>278</v>
      </c>
      <c r="AS70" s="2">
        <f>MU!AS54</f>
        <v>298</v>
      </c>
      <c r="AT70" s="2">
        <f>MU!AT54</f>
        <v>274</v>
      </c>
      <c r="AU70" s="2">
        <f>MU!AU54</f>
        <v>275</v>
      </c>
      <c r="AV70" s="2">
        <f>MU!AV54</f>
        <v>279</v>
      </c>
      <c r="AW70" s="2">
        <f>MU!AW54</f>
        <v>309</v>
      </c>
      <c r="AX70" s="2">
        <f>MU!AX54</f>
        <v>318</v>
      </c>
      <c r="AY70" s="2">
        <f>MU!AY54</f>
        <v>269</v>
      </c>
      <c r="AZ70" s="2">
        <f>MU!AZ54</f>
        <v>282</v>
      </c>
      <c r="BA70" s="2">
        <f>MU!BA54</f>
        <v>336</v>
      </c>
      <c r="BB70" s="2">
        <f>MU!BB54</f>
        <v>323</v>
      </c>
      <c r="BC70" s="8"/>
    </row>
    <row r="71" spans="1:55" ht="13.5" customHeight="1" x14ac:dyDescent="0.2">
      <c r="A71" s="7"/>
      <c r="B71" s="2"/>
      <c r="C71" s="3" t="s">
        <v>9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3"/>
      <c r="AO71" s="2">
        <f>MU!AO55</f>
        <v>0</v>
      </c>
      <c r="AP71" s="2">
        <f>MU!AP55</f>
        <v>1</v>
      </c>
      <c r="AQ71" s="2">
        <f>MU!AQ55</f>
        <v>0</v>
      </c>
      <c r="AR71" s="2">
        <f>MU!AR55</f>
        <v>3</v>
      </c>
      <c r="AS71" s="2">
        <f>MU!AS55</f>
        <v>0</v>
      </c>
      <c r="AT71" s="2">
        <f>MU!AT55</f>
        <v>0</v>
      </c>
      <c r="AU71" s="2">
        <f>MU!AU55</f>
        <v>3</v>
      </c>
      <c r="AV71" s="2">
        <f>MU!AV55</f>
        <v>2</v>
      </c>
      <c r="AW71" s="2">
        <f>MU!AW55</f>
        <v>1</v>
      </c>
      <c r="AX71" s="2">
        <f>MU!AX55</f>
        <v>3</v>
      </c>
      <c r="AY71" s="2">
        <f>MU!AY55</f>
        <v>5</v>
      </c>
      <c r="AZ71" s="2">
        <f>MU!AZ55</f>
        <v>1</v>
      </c>
      <c r="BA71" s="2">
        <f>MU!BA55</f>
        <v>2</v>
      </c>
      <c r="BB71" s="2">
        <f>MU!BB55</f>
        <v>4</v>
      </c>
      <c r="BC71" s="8"/>
    </row>
    <row r="72" spans="1:55" ht="13.5" customHeight="1" x14ac:dyDescent="0.2">
      <c r="A72" s="7"/>
      <c r="B72" s="2"/>
      <c r="C72" s="3" t="s">
        <v>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>
        <f>MU!W56</f>
        <v>10</v>
      </c>
      <c r="X72" s="2">
        <f>MU!X56</f>
        <v>10</v>
      </c>
      <c r="Y72" s="2">
        <f>MU!Y56</f>
        <v>17</v>
      </c>
      <c r="Z72" s="2">
        <f>MU!Z56</f>
        <v>8</v>
      </c>
      <c r="AA72" s="2">
        <f>MU!AA56</f>
        <v>15</v>
      </c>
      <c r="AB72" s="2">
        <f>MU!AB56</f>
        <v>16</v>
      </c>
      <c r="AC72" s="2">
        <f>MU!AC56</f>
        <v>30</v>
      </c>
      <c r="AD72" s="2">
        <f>MU!AD56</f>
        <v>24</v>
      </c>
      <c r="AE72" s="2">
        <f>MU!AE56</f>
        <v>21</v>
      </c>
      <c r="AF72" s="2">
        <f>MU!AF56</f>
        <v>17</v>
      </c>
      <c r="AG72" s="2">
        <f>MU!AG56</f>
        <v>20</v>
      </c>
      <c r="AH72" s="2">
        <f>MU!AH56</f>
        <v>18</v>
      </c>
      <c r="AI72" s="2">
        <f>MU!AI56</f>
        <v>16</v>
      </c>
      <c r="AJ72" s="2">
        <f>MU!AJ56</f>
        <v>15</v>
      </c>
      <c r="AK72" s="2">
        <f>MU!AK56</f>
        <v>14</v>
      </c>
      <c r="AL72" s="2">
        <f>MU!AL56</f>
        <v>23</v>
      </c>
      <c r="AM72" s="2">
        <f>MU!AM56</f>
        <v>14</v>
      </c>
      <c r="AN72" s="2">
        <f>MU!AN56</f>
        <v>13</v>
      </c>
      <c r="AO72" s="2">
        <f>MU!AO56</f>
        <v>29</v>
      </c>
      <c r="AP72" s="2">
        <f>MU!AP56</f>
        <v>23</v>
      </c>
      <c r="AQ72" s="2">
        <f>MU!AQ56</f>
        <v>13</v>
      </c>
      <c r="AR72" s="2">
        <f>MU!AR56</f>
        <v>16</v>
      </c>
      <c r="AS72" s="2">
        <f>MU!AS56</f>
        <v>29</v>
      </c>
      <c r="AT72" s="2">
        <f>MU!AT56</f>
        <v>16</v>
      </c>
      <c r="AU72" s="2">
        <f>MU!AU56</f>
        <v>27</v>
      </c>
      <c r="AV72" s="2">
        <f>MU!AV56</f>
        <v>30</v>
      </c>
      <c r="AW72" s="2">
        <f>MU!AW56</f>
        <v>22</v>
      </c>
      <c r="AX72" s="2">
        <f>MU!AX56</f>
        <v>23</v>
      </c>
      <c r="AY72" s="2">
        <f>MU!AY56</f>
        <v>36</v>
      </c>
      <c r="AZ72" s="2">
        <f>MU!AZ56</f>
        <v>38</v>
      </c>
      <c r="BA72" s="2">
        <f>MU!BA56</f>
        <v>32</v>
      </c>
      <c r="BB72" s="2">
        <f>MU!BB56</f>
        <v>29</v>
      </c>
      <c r="BC72" s="8"/>
    </row>
    <row r="73" spans="1:55" ht="13.5" customHeight="1" x14ac:dyDescent="0.2">
      <c r="A73" s="7"/>
      <c r="B73" s="2"/>
      <c r="C73" s="3" t="s">
        <v>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>
        <f>MU!W57</f>
        <v>6</v>
      </c>
      <c r="X73" s="2">
        <f>MU!X57</f>
        <v>9</v>
      </c>
      <c r="Y73" s="2">
        <f>MU!Y57</f>
        <v>3</v>
      </c>
      <c r="Z73" s="2">
        <f>MU!Z57</f>
        <v>1</v>
      </c>
      <c r="AA73" s="2">
        <f>MU!AA57</f>
        <v>4</v>
      </c>
      <c r="AB73" s="2">
        <f>MU!AB57</f>
        <v>1</v>
      </c>
      <c r="AC73" s="2">
        <f>MU!AC57</f>
        <v>8</v>
      </c>
      <c r="AD73" s="2">
        <f>MU!AD57</f>
        <v>5</v>
      </c>
      <c r="AE73" s="2">
        <f>MU!AE57</f>
        <v>3</v>
      </c>
      <c r="AF73" s="2">
        <f>MU!AF57</f>
        <v>5</v>
      </c>
      <c r="AG73" s="2">
        <f>MU!AG57</f>
        <v>6</v>
      </c>
      <c r="AH73" s="2">
        <f>MU!AH57</f>
        <v>3</v>
      </c>
      <c r="AI73" s="2">
        <f>MU!AI57</f>
        <v>6</v>
      </c>
      <c r="AJ73" s="2">
        <f>MU!AJ57</f>
        <v>4</v>
      </c>
      <c r="AK73" s="2">
        <f>MU!AK57</f>
        <v>11</v>
      </c>
      <c r="AL73" s="2">
        <f>MU!AL57</f>
        <v>5</v>
      </c>
      <c r="AM73" s="2">
        <f>MU!AM57</f>
        <v>10</v>
      </c>
      <c r="AN73" s="2">
        <f>MU!AN57</f>
        <v>6</v>
      </c>
      <c r="AO73" s="2">
        <f>MU!AO57</f>
        <v>3</v>
      </c>
      <c r="AP73" s="2">
        <f>MU!AP57</f>
        <v>4</v>
      </c>
      <c r="AQ73" s="2">
        <f>MU!AQ57</f>
        <v>5</v>
      </c>
      <c r="AR73" s="2">
        <f>MU!AR57</f>
        <v>4</v>
      </c>
      <c r="AS73" s="2">
        <f>MU!AS57</f>
        <v>8</v>
      </c>
      <c r="AT73" s="2">
        <f>MU!AT57</f>
        <v>7</v>
      </c>
      <c r="AU73" s="2">
        <f>MU!AU57</f>
        <v>8</v>
      </c>
      <c r="AV73" s="2">
        <f>MU!AV57</f>
        <v>7</v>
      </c>
      <c r="AW73" s="2">
        <f>MU!AW57</f>
        <v>9</v>
      </c>
      <c r="AX73" s="2">
        <f>MU!AX57</f>
        <v>11</v>
      </c>
      <c r="AY73" s="2">
        <f>MU!AY57</f>
        <v>17</v>
      </c>
      <c r="AZ73" s="2">
        <f>MU!AZ57</f>
        <v>8</v>
      </c>
      <c r="BA73" s="2">
        <f>MU!BA57</f>
        <v>11</v>
      </c>
      <c r="BB73" s="2">
        <f>MU!BB57</f>
        <v>12</v>
      </c>
      <c r="BC73" s="8"/>
    </row>
    <row r="74" spans="1:55" ht="13.5" customHeight="1" x14ac:dyDescent="0.2">
      <c r="A74" s="7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1">
        <f t="shared" ref="W74:AA74" si="46">SUM(W70:W73)</f>
        <v>176</v>
      </c>
      <c r="X74" s="11">
        <f t="shared" si="46"/>
        <v>197</v>
      </c>
      <c r="Y74" s="11">
        <f t="shared" si="46"/>
        <v>211</v>
      </c>
      <c r="Z74" s="11">
        <f t="shared" si="46"/>
        <v>194</v>
      </c>
      <c r="AA74" s="11">
        <f t="shared" si="46"/>
        <v>196</v>
      </c>
      <c r="AB74" s="11">
        <f t="shared" ref="AB74:AD74" si="47">SUM(AB70:AB73)</f>
        <v>217</v>
      </c>
      <c r="AC74" s="11">
        <f t="shared" si="47"/>
        <v>270</v>
      </c>
      <c r="AD74" s="11">
        <f t="shared" si="47"/>
        <v>273</v>
      </c>
      <c r="AE74" s="11">
        <f t="shared" ref="AE74:AG74" si="48">SUM(AE70:AE73)</f>
        <v>277</v>
      </c>
      <c r="AF74" s="11">
        <f t="shared" si="48"/>
        <v>222</v>
      </c>
      <c r="AG74" s="11">
        <f t="shared" si="48"/>
        <v>215</v>
      </c>
      <c r="AH74" s="11">
        <f t="shared" ref="AH74:AW74" si="49">SUM(AH70:AH73)</f>
        <v>211</v>
      </c>
      <c r="AI74" s="11">
        <f t="shared" si="49"/>
        <v>250</v>
      </c>
      <c r="AJ74" s="11">
        <f t="shared" si="49"/>
        <v>281</v>
      </c>
      <c r="AK74" s="11">
        <f t="shared" si="49"/>
        <v>309</v>
      </c>
      <c r="AL74" s="11">
        <f t="shared" si="49"/>
        <v>265</v>
      </c>
      <c r="AM74" s="11">
        <f t="shared" si="49"/>
        <v>252</v>
      </c>
      <c r="AN74" s="11">
        <f t="shared" si="49"/>
        <v>252</v>
      </c>
      <c r="AO74" s="11">
        <f t="shared" si="49"/>
        <v>295</v>
      </c>
      <c r="AP74" s="11">
        <f t="shared" si="49"/>
        <v>278</v>
      </c>
      <c r="AQ74" s="11">
        <f t="shared" si="49"/>
        <v>252</v>
      </c>
      <c r="AR74" s="11">
        <f t="shared" si="49"/>
        <v>301</v>
      </c>
      <c r="AS74" s="11">
        <f t="shared" si="49"/>
        <v>335</v>
      </c>
      <c r="AT74" s="11">
        <f t="shared" si="49"/>
        <v>297</v>
      </c>
      <c r="AU74" s="11">
        <f t="shared" si="49"/>
        <v>313</v>
      </c>
      <c r="AV74" s="11">
        <f t="shared" si="49"/>
        <v>318</v>
      </c>
      <c r="AW74" s="11">
        <f t="shared" si="49"/>
        <v>341</v>
      </c>
      <c r="AX74" s="11">
        <f t="shared" ref="AX74:AY74" si="50">SUM(AX70:AX73)</f>
        <v>355</v>
      </c>
      <c r="AY74" s="11">
        <f t="shared" si="50"/>
        <v>327</v>
      </c>
      <c r="AZ74" s="11">
        <f t="shared" ref="AZ74:BA74" si="51">SUM(AZ70:AZ73)</f>
        <v>329</v>
      </c>
      <c r="BA74" s="11">
        <f t="shared" si="51"/>
        <v>381</v>
      </c>
      <c r="BB74" s="11">
        <f t="shared" ref="BB74" si="52">SUM(BB70:BB73)</f>
        <v>368</v>
      </c>
      <c r="BC74" s="8"/>
    </row>
    <row r="75" spans="1:55" ht="13.5" customHeight="1" x14ac:dyDescent="0.2">
      <c r="A75" s="7"/>
      <c r="B75" s="10" t="s">
        <v>87</v>
      </c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8"/>
    </row>
    <row r="76" spans="1:55" ht="13.5" customHeight="1" x14ac:dyDescent="0.2">
      <c r="A76" s="7"/>
      <c r="B76" s="2"/>
      <c r="C76" s="3" t="s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>
        <f>UMKC!AT45</f>
        <v>1</v>
      </c>
      <c r="AU76" s="2">
        <f>UMKC!AU45</f>
        <v>0</v>
      </c>
      <c r="AV76" s="2">
        <f>UMKC!AV45</f>
        <v>0</v>
      </c>
      <c r="AW76" s="2">
        <f>UMKC!AW45</f>
        <v>0</v>
      </c>
      <c r="AX76" s="2">
        <f>UMKC!AX45</f>
        <v>0</v>
      </c>
      <c r="AY76" s="2">
        <f>UMKC!AY45</f>
        <v>0</v>
      </c>
      <c r="AZ76" s="2">
        <f>UMKC!AZ45</f>
        <v>0</v>
      </c>
      <c r="BA76" s="2">
        <f>UMKC!BA45</f>
        <v>0</v>
      </c>
      <c r="BB76" s="2"/>
      <c r="BC76" s="8"/>
    </row>
    <row r="77" spans="1:55" ht="13.5" customHeight="1" x14ac:dyDescent="0.2">
      <c r="A77" s="7"/>
      <c r="B77" s="2"/>
      <c r="C77" s="3" t="s">
        <v>9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3"/>
      <c r="AL77" s="2">
        <f>MU!AL60</f>
        <v>0</v>
      </c>
      <c r="AM77" s="2">
        <f>MU!AM60</f>
        <v>33</v>
      </c>
      <c r="AN77" s="2">
        <f>MU!AN60</f>
        <v>0</v>
      </c>
      <c r="AO77" s="2">
        <f>MU!AO60</f>
        <v>1</v>
      </c>
      <c r="AP77" s="2">
        <f>MU!AP60</f>
        <v>18</v>
      </c>
      <c r="AQ77" s="2">
        <f>MU!AQ60</f>
        <v>0</v>
      </c>
      <c r="AR77" s="2">
        <f>MU!AR60</f>
        <v>21</v>
      </c>
      <c r="AS77" s="2">
        <f>MU!AS60</f>
        <v>16</v>
      </c>
      <c r="AT77" s="2">
        <f>MU!AT60</f>
        <v>37</v>
      </c>
      <c r="AU77" s="2">
        <f>MU!AU60</f>
        <v>39</v>
      </c>
      <c r="AV77" s="2">
        <f>MU!AV60</f>
        <v>26</v>
      </c>
      <c r="AW77" s="2">
        <f>MU!AW60</f>
        <v>41</v>
      </c>
      <c r="AX77" s="2">
        <f>MU!AX60</f>
        <v>25</v>
      </c>
      <c r="AY77" s="2">
        <f>MU!AY60</f>
        <v>21</v>
      </c>
      <c r="AZ77" s="2">
        <f>MU!AZ60</f>
        <v>20</v>
      </c>
      <c r="BA77" s="2">
        <f>MU!BA60</f>
        <v>16</v>
      </c>
      <c r="BB77" s="2">
        <f>MU!BB60</f>
        <v>24</v>
      </c>
      <c r="BC77" s="8"/>
    </row>
    <row r="78" spans="1:55" ht="13.5" customHeight="1" x14ac:dyDescent="0.2">
      <c r="A78" s="7"/>
      <c r="B78" s="2"/>
      <c r="C78" s="3" t="s">
        <v>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f>UMKC!W46</f>
        <v>4</v>
      </c>
      <c r="X78" s="2">
        <f>UMKC!X46</f>
        <v>8</v>
      </c>
      <c r="Y78" s="2">
        <f>UMKC!Y46</f>
        <v>2</v>
      </c>
      <c r="Z78" s="2">
        <f>UMKC!Z46</f>
        <v>10</v>
      </c>
      <c r="AA78" s="2">
        <f>UMKC!AA46</f>
        <v>5</v>
      </c>
      <c r="AB78" s="2">
        <f>UMKC!AB46</f>
        <v>7</v>
      </c>
      <c r="AC78" s="2">
        <f>UMKC!AC46</f>
        <v>9</v>
      </c>
      <c r="AD78" s="2">
        <f>UMKC!AD46</f>
        <v>11</v>
      </c>
      <c r="AE78" s="2">
        <f>UMKC!AE46</f>
        <v>14</v>
      </c>
      <c r="AF78" s="2">
        <f>UMKC!AF46</f>
        <v>24</v>
      </c>
      <c r="AG78" s="2">
        <f>UMKC!AG46</f>
        <v>26</v>
      </c>
      <c r="AH78" s="2">
        <f>UMKC!AH46</f>
        <v>25</v>
      </c>
      <c r="AI78" s="2">
        <f>MU!AI61+UMKC!AI46</f>
        <v>20</v>
      </c>
      <c r="AJ78" s="2">
        <f>MU!AJ61+UMKC!AJ46</f>
        <v>25</v>
      </c>
      <c r="AK78" s="2">
        <f>MU!AK61+UMKC!AK46</f>
        <v>13</v>
      </c>
      <c r="AL78" s="2">
        <f>MU!AL61+UMKC!AL46</f>
        <v>31</v>
      </c>
      <c r="AM78" s="2">
        <f>MU!AM61+UMKC!AM46</f>
        <v>36</v>
      </c>
      <c r="AN78" s="2">
        <f>MU!AN61+UMKC!AN46</f>
        <v>34</v>
      </c>
      <c r="AO78" s="2">
        <f>MU!AO61+UMKC!AO46</f>
        <v>25</v>
      </c>
      <c r="AP78" s="2">
        <f>MU!AP61+UMKC!AP46</f>
        <v>28</v>
      </c>
      <c r="AQ78" s="2">
        <f>MU!AQ61+UMKC!AQ46</f>
        <v>32</v>
      </c>
      <c r="AR78" s="2">
        <f>MU!AR61+UMKC!AR46</f>
        <v>37</v>
      </c>
      <c r="AS78" s="2">
        <f>MU!AS61+UMKC!AS46</f>
        <v>45</v>
      </c>
      <c r="AT78" s="2">
        <f>MU!AT61+UMKC!AT46</f>
        <v>39</v>
      </c>
      <c r="AU78" s="2">
        <f>MU!AU61+UMKC!AU46</f>
        <v>49</v>
      </c>
      <c r="AV78" s="2">
        <f>MU!AV61+UMKC!AV46</f>
        <v>26</v>
      </c>
      <c r="AW78" s="2">
        <f>MU!AW61+UMKC!AW46</f>
        <v>47</v>
      </c>
      <c r="AX78" s="2">
        <f>MU!AX61+UMKC!AX46</f>
        <v>37</v>
      </c>
      <c r="AY78" s="2">
        <f>MU!AY61+UMKC!AY46</f>
        <v>41</v>
      </c>
      <c r="AZ78" s="2">
        <f>MU!AZ61+UMKC!AZ46</f>
        <v>32</v>
      </c>
      <c r="BA78" s="2">
        <f>MU!BA61+UMKC!BA46</f>
        <v>27</v>
      </c>
      <c r="BB78" s="2">
        <f>MU!BB61+UMKC!BB46</f>
        <v>25</v>
      </c>
      <c r="BC78" s="8"/>
    </row>
    <row r="79" spans="1:55" ht="13.5" customHeight="1" x14ac:dyDescent="0.2">
      <c r="A79" s="7"/>
      <c r="B79" s="2"/>
      <c r="C79" s="3" t="s">
        <v>32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>
        <f>MU!W63+UMKC!W47</f>
        <v>264</v>
      </c>
      <c r="X79" s="2">
        <f>MU!X63+UMKC!X47</f>
        <v>269</v>
      </c>
      <c r="Y79" s="2">
        <f>MU!Y63+UMKC!Y47</f>
        <v>268</v>
      </c>
      <c r="Z79" s="2">
        <f>MU!Z63+UMKC!Z47</f>
        <v>287</v>
      </c>
      <c r="AA79" s="2">
        <f>MU!AA63+UMKC!AA47</f>
        <v>322</v>
      </c>
      <c r="AB79" s="2">
        <f>MU!AB63+UMKC!AB47</f>
        <v>299</v>
      </c>
      <c r="AC79" s="2">
        <f>MU!AC63+UMKC!AC47</f>
        <v>291</v>
      </c>
      <c r="AD79" s="2">
        <f>MU!AD63+UMKC!AD47</f>
        <v>258</v>
      </c>
      <c r="AE79" s="2">
        <f>MU!AE63+UMKC!AE47</f>
        <v>274</v>
      </c>
      <c r="AF79" s="2">
        <f>MU!AF63+UMKC!AF47</f>
        <v>295</v>
      </c>
      <c r="AG79" s="2">
        <f>MU!AG63+UMKC!AG47</f>
        <v>267</v>
      </c>
      <c r="AH79" s="2">
        <f>MU!AH63+UMKC!AH47</f>
        <v>262</v>
      </c>
      <c r="AI79" s="2">
        <f>MU!AI63+UMKC!AI47</f>
        <v>351</v>
      </c>
      <c r="AJ79" s="2">
        <f>MU!AJ63+UMKC!AJ47</f>
        <v>297</v>
      </c>
      <c r="AK79" s="2">
        <f>MU!AK63+UMKC!AK47</f>
        <v>303</v>
      </c>
      <c r="AL79" s="2">
        <f>MU!AL63+UMKC!AL47</f>
        <v>255</v>
      </c>
      <c r="AM79" s="2">
        <f>MU!AM63+UMKC!AM47</f>
        <v>304</v>
      </c>
      <c r="AN79" s="2">
        <f>MU!AN63+UMKC!AN47</f>
        <v>334</v>
      </c>
      <c r="AO79" s="2">
        <f>MU!AO63+UMKC!AO47</f>
        <v>291</v>
      </c>
      <c r="AP79" s="2">
        <f>MU!AP63+UMKC!AP47</f>
        <v>295</v>
      </c>
      <c r="AQ79" s="2">
        <f>MU!AQ63+UMKC!AQ47</f>
        <v>319</v>
      </c>
      <c r="AR79" s="2">
        <f>MU!AR63+UMKC!AR47</f>
        <v>298</v>
      </c>
      <c r="AS79" s="2">
        <f>MU!AS63+UMKC!AS47</f>
        <v>305</v>
      </c>
      <c r="AT79" s="2">
        <f>MU!AT63+UMKC!AT47</f>
        <v>297</v>
      </c>
      <c r="AU79" s="2">
        <f>MU!AU63+UMKC!AU47</f>
        <v>300</v>
      </c>
      <c r="AV79" s="2">
        <f>MU!AV63+UMKC!AV47</f>
        <v>292</v>
      </c>
      <c r="AW79" s="2">
        <f>MU!AW63+UMKC!AW47</f>
        <v>292</v>
      </c>
      <c r="AX79" s="2">
        <f>MU!AX63+UMKC!AX47</f>
        <v>273</v>
      </c>
      <c r="AY79" s="2">
        <f>MU!AY63+UMKC!AY47</f>
        <v>273</v>
      </c>
      <c r="AZ79" s="2">
        <f>MU!AZ63+UMKC!AZ47</f>
        <v>273</v>
      </c>
      <c r="BA79" s="2">
        <f>MU!BA63+UMKC!BA47</f>
        <v>242</v>
      </c>
      <c r="BB79" s="2">
        <f>MU!BB63+UMKC!BB47</f>
        <v>225</v>
      </c>
      <c r="BC79" s="8"/>
    </row>
    <row r="80" spans="1:55" ht="13.5" customHeight="1" x14ac:dyDescent="0.2">
      <c r="A80" s="7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1">
        <f t="shared" ref="W80:AA80" si="53">SUM(W78:W79)</f>
        <v>268</v>
      </c>
      <c r="X80" s="11">
        <f t="shared" si="53"/>
        <v>277</v>
      </c>
      <c r="Y80" s="11">
        <f t="shared" si="53"/>
        <v>270</v>
      </c>
      <c r="Z80" s="11">
        <f t="shared" si="53"/>
        <v>297</v>
      </c>
      <c r="AA80" s="11">
        <f t="shared" si="53"/>
        <v>327</v>
      </c>
      <c r="AB80" s="11">
        <f t="shared" ref="AB80:AG80" si="54">SUM(AB78:AB79)</f>
        <v>306</v>
      </c>
      <c r="AC80" s="11">
        <f t="shared" si="54"/>
        <v>300</v>
      </c>
      <c r="AD80" s="11">
        <f t="shared" si="54"/>
        <v>269</v>
      </c>
      <c r="AE80" s="11">
        <f t="shared" si="54"/>
        <v>288</v>
      </c>
      <c r="AF80" s="11">
        <f t="shared" si="54"/>
        <v>319</v>
      </c>
      <c r="AG80" s="11">
        <f t="shared" si="54"/>
        <v>293</v>
      </c>
      <c r="AH80" s="11">
        <f>SUM(AH78:AH79)</f>
        <v>287</v>
      </c>
      <c r="AI80" s="11">
        <f t="shared" ref="AI80:AJ80" si="55">SUM(AI78:AI79)</f>
        <v>371</v>
      </c>
      <c r="AJ80" s="11">
        <f t="shared" si="55"/>
        <v>322</v>
      </c>
      <c r="AK80" s="11">
        <f>SUM(AK78:AK79)</f>
        <v>316</v>
      </c>
      <c r="AL80" s="11">
        <f t="shared" ref="AL80:AR80" si="56">SUM(AL77:AL79)</f>
        <v>286</v>
      </c>
      <c r="AM80" s="11">
        <f t="shared" si="56"/>
        <v>373</v>
      </c>
      <c r="AN80" s="11">
        <f t="shared" si="56"/>
        <v>368</v>
      </c>
      <c r="AO80" s="11">
        <f t="shared" si="56"/>
        <v>317</v>
      </c>
      <c r="AP80" s="11">
        <f t="shared" si="56"/>
        <v>341</v>
      </c>
      <c r="AQ80" s="11">
        <f t="shared" si="56"/>
        <v>351</v>
      </c>
      <c r="AR80" s="11">
        <f t="shared" si="56"/>
        <v>356</v>
      </c>
      <c r="AS80" s="11">
        <f>SUM(AS77:AS79)</f>
        <v>366</v>
      </c>
      <c r="AT80" s="11">
        <f t="shared" ref="AT80:AV80" si="57">SUM(AT76:AT79)</f>
        <v>374</v>
      </c>
      <c r="AU80" s="11">
        <f t="shared" si="57"/>
        <v>388</v>
      </c>
      <c r="AV80" s="11">
        <f t="shared" si="57"/>
        <v>344</v>
      </c>
      <c r="AW80" s="11">
        <f t="shared" ref="AW80:BA80" si="58">SUM(AW76:AW79)</f>
        <v>380</v>
      </c>
      <c r="AX80" s="11">
        <f t="shared" si="58"/>
        <v>335</v>
      </c>
      <c r="AY80" s="11">
        <f t="shared" si="58"/>
        <v>335</v>
      </c>
      <c r="AZ80" s="11">
        <f t="shared" si="58"/>
        <v>325</v>
      </c>
      <c r="BA80" s="11">
        <f t="shared" si="58"/>
        <v>285</v>
      </c>
      <c r="BB80" s="11">
        <f>SUM(BB77:BB79)</f>
        <v>274</v>
      </c>
      <c r="BC80" s="8"/>
    </row>
    <row r="81" spans="1:55" ht="13.5" customHeight="1" x14ac:dyDescent="0.2">
      <c r="A81" s="7"/>
      <c r="B81" s="10" t="s">
        <v>88</v>
      </c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8"/>
    </row>
    <row r="82" spans="1:55" ht="13.5" customHeight="1" x14ac:dyDescent="0.2">
      <c r="A82" s="7"/>
      <c r="B82" s="10"/>
      <c r="C82" s="3" t="s">
        <v>10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>
        <f>'S&amp;T'!BB32+UMSL!BB39</f>
        <v>2</v>
      </c>
      <c r="BC82" s="8"/>
    </row>
    <row r="83" spans="1:55" ht="13.5" customHeight="1" x14ac:dyDescent="0.2">
      <c r="A83" s="7"/>
      <c r="B83" s="2"/>
      <c r="C83" s="3" t="s"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f>MU!W66+UMKC!W50+'S&amp;T'!W33+UMSL!W40</f>
        <v>191</v>
      </c>
      <c r="X83" s="2">
        <f>MU!X66+UMKC!X50+'S&amp;T'!X33+UMSL!X40</f>
        <v>281</v>
      </c>
      <c r="Y83" s="2">
        <f>MU!Y66+UMKC!Y50+'S&amp;T'!Y33+UMSL!Y40</f>
        <v>274</v>
      </c>
      <c r="Z83" s="2">
        <f>MU!Z66+UMKC!Z50+'S&amp;T'!Z33+UMSL!Z40</f>
        <v>293</v>
      </c>
      <c r="AA83" s="2">
        <f>MU!AA66+UMKC!AA50+'S&amp;T'!AA33+UMSL!AA40</f>
        <v>330</v>
      </c>
      <c r="AB83" s="2">
        <f>MU!AB66+UMKC!AB50+'S&amp;T'!AB33+UMSL!AB40</f>
        <v>214</v>
      </c>
      <c r="AC83" s="2">
        <f>MU!AC66+UMKC!AC50+'S&amp;T'!AC33+UMSL!AC40</f>
        <v>245</v>
      </c>
      <c r="AD83" s="2">
        <f>MU!AD66+UMKC!AD50+'S&amp;T'!AD33+UMSL!AD40</f>
        <v>226</v>
      </c>
      <c r="AE83" s="2">
        <f>MU!AE66+UMKC!AE50+'S&amp;T'!AE33+UMSL!AE40</f>
        <v>202</v>
      </c>
      <c r="AF83" s="2">
        <f>MU!AF66+UMKC!AF50+'S&amp;T'!AF33+UMSL!AF40</f>
        <v>173</v>
      </c>
      <c r="AG83" s="2">
        <f>MU!AG66+UMKC!AG50+'S&amp;T'!AG33+UMSL!AG40</f>
        <v>175</v>
      </c>
      <c r="AH83" s="2">
        <f>MU!AH66+UMKC!AH50+'S&amp;T'!AH33+UMSL!AH40</f>
        <v>201</v>
      </c>
      <c r="AI83" s="2">
        <f>MU!AI66+UMKC!AI50+'S&amp;T'!AI33+UMSL!AI40</f>
        <v>209</v>
      </c>
      <c r="AJ83" s="2">
        <f>MU!AJ66+UMKC!AJ50+'S&amp;T'!AJ33+UMSL!AJ40</f>
        <v>213</v>
      </c>
      <c r="AK83" s="2">
        <f>MU!AK66+UMKC!AK50+'S&amp;T'!AK33+UMSL!AK40</f>
        <v>209</v>
      </c>
      <c r="AL83" s="2">
        <f>MU!AL66+UMKC!AL50+'S&amp;T'!AL33+UMSL!AL40</f>
        <v>221</v>
      </c>
      <c r="AM83" s="2">
        <f>MU!AM66+UMKC!AM50+'S&amp;T'!AM33+UMSL!AM40</f>
        <v>221</v>
      </c>
      <c r="AN83" s="2">
        <f>MU!AN66+UMKC!AN50+'S&amp;T'!AN33+UMSL!AN40</f>
        <v>232</v>
      </c>
      <c r="AO83" s="2">
        <f>MU!AO66+UMKC!AO50+'S&amp;T'!AO33+UMSL!AO40</f>
        <v>229</v>
      </c>
      <c r="AP83" s="2">
        <f>MU!AP66+UMKC!AP50+'S&amp;T'!AP33+UMSL!AP40</f>
        <v>207</v>
      </c>
      <c r="AQ83" s="2">
        <f>MU!AQ66+UMKC!AQ50+'S&amp;T'!AQ33+UMSL!AQ40</f>
        <v>233</v>
      </c>
      <c r="AR83" s="2">
        <f>MU!AR66+UMKC!AR50+'S&amp;T'!AR33+UMSL!AR40</f>
        <v>228</v>
      </c>
      <c r="AS83" s="2">
        <f>MU!AS66+UMKC!AS50+'S&amp;T'!AS33+UMSL!AS40</f>
        <v>247</v>
      </c>
      <c r="AT83" s="2">
        <f>MU!AT66+UMKC!AT50+'S&amp;T'!AT33+UMSL!AT40</f>
        <v>232</v>
      </c>
      <c r="AU83" s="2">
        <f>MU!AU66+UMKC!AU50+'S&amp;T'!AU33+UMSL!AU40</f>
        <v>229</v>
      </c>
      <c r="AV83" s="2">
        <f>MU!AV66+UMKC!AV50+'S&amp;T'!AV33+UMSL!AV40</f>
        <v>247</v>
      </c>
      <c r="AW83" s="2">
        <f>MU!AW66+UMKC!AW50+'S&amp;T'!AW33+UMSL!AW40</f>
        <v>235</v>
      </c>
      <c r="AX83" s="2">
        <f>MU!AX66+UMKC!AX50+'S&amp;T'!AX33+UMSL!AX40</f>
        <v>242</v>
      </c>
      <c r="AY83" s="2">
        <f>MU!AY66+UMKC!AY50+'S&amp;T'!AY33+UMSL!AY40</f>
        <v>219</v>
      </c>
      <c r="AZ83" s="2">
        <f>MU!AZ66+UMKC!AZ50+'S&amp;T'!AZ33+UMSL!AZ40</f>
        <v>177</v>
      </c>
      <c r="BA83" s="2">
        <f>MU!BA66+UMKC!BA50+'S&amp;T'!BA33+UMSL!BA40</f>
        <v>166</v>
      </c>
      <c r="BB83" s="2">
        <f>MU!BB66+UMKC!BB50+'S&amp;T'!BB33+UMSL!BB40</f>
        <v>182</v>
      </c>
      <c r="BC83" s="8"/>
    </row>
    <row r="84" spans="1:55" ht="13.5" customHeight="1" x14ac:dyDescent="0.2">
      <c r="A84" s="7"/>
      <c r="B84" s="2"/>
      <c r="C84" s="3" t="s">
        <v>9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f>UMSL!AM41</f>
        <v>0</v>
      </c>
      <c r="AN84" s="2">
        <f>UMSL!AN41</f>
        <v>1</v>
      </c>
      <c r="AO84" s="2">
        <f>UMSL!AO41</f>
        <v>1</v>
      </c>
      <c r="AP84" s="2">
        <f>UMSL!AP41</f>
        <v>2</v>
      </c>
      <c r="AQ84" s="2">
        <f>UMSL!AQ41</f>
        <v>5</v>
      </c>
      <c r="AR84" s="2">
        <f>UMSL!AR41</f>
        <v>1</v>
      </c>
      <c r="AS84" s="2">
        <f>UMSL!AS41</f>
        <v>4</v>
      </c>
      <c r="AT84" s="2">
        <f>UMSL!AT41</f>
        <v>5</v>
      </c>
      <c r="AU84" s="2">
        <f>UMSL!AU41</f>
        <v>3</v>
      </c>
      <c r="AV84" s="2">
        <f>UMSL!AV41</f>
        <v>9</v>
      </c>
      <c r="AW84" s="2">
        <f>UMKC!AW51+'S&amp;T'!AW34+UMSL!AW41</f>
        <v>4</v>
      </c>
      <c r="AX84" s="2">
        <f>UMKC!AX51+'S&amp;T'!AX34+UMSL!AX41</f>
        <v>5</v>
      </c>
      <c r="AY84" s="2">
        <f>UMKC!AY51+'S&amp;T'!AY34+UMSL!AY41</f>
        <v>5</v>
      </c>
      <c r="AZ84" s="2">
        <f>UMKC!AZ51+'S&amp;T'!AZ34+UMSL!AZ41</f>
        <v>8</v>
      </c>
      <c r="BA84" s="2">
        <f>UMKC!BA51+'S&amp;T'!BA34+UMSL!BA41</f>
        <v>4</v>
      </c>
      <c r="BB84" s="2">
        <f>UMKC!BB51+'S&amp;T'!BB34+UMSL!BB41</f>
        <v>3</v>
      </c>
      <c r="BC84" s="8"/>
    </row>
    <row r="85" spans="1:55" ht="13.5" customHeight="1" x14ac:dyDescent="0.2">
      <c r="A85" s="7"/>
      <c r="B85" s="2"/>
      <c r="C85" s="3" t="s">
        <v>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>
        <f>MU!W67+UMKC!W52+UMSL!W42</f>
        <v>29</v>
      </c>
      <c r="X85" s="2">
        <f>MU!X67+UMKC!X52+UMSL!X42</f>
        <v>36</v>
      </c>
      <c r="Y85" s="2">
        <f>MU!Y67+UMKC!Y52+UMSL!Y42</f>
        <v>42</v>
      </c>
      <c r="Z85" s="2">
        <f>MU!Z67+UMKC!Z52+UMSL!Z42</f>
        <v>46</v>
      </c>
      <c r="AA85" s="2">
        <f>MU!AA67+UMKC!AA52+UMSL!AA42</f>
        <v>41</v>
      </c>
      <c r="AB85" s="2">
        <f>MU!AB67+UMKC!AB52+UMSL!AB42</f>
        <v>47</v>
      </c>
      <c r="AC85" s="2">
        <f>MU!AC67+UMKC!AC52+UMSL!AC42</f>
        <v>61</v>
      </c>
      <c r="AD85" s="2">
        <f>MU!AD67+UMKC!AD52+UMSL!AD42</f>
        <v>51</v>
      </c>
      <c r="AE85" s="2">
        <f>MU!AE67+UMKC!AE52+UMSL!AE42</f>
        <v>44</v>
      </c>
      <c r="AF85" s="2">
        <f>MU!AF67+UMKC!AF52+UMSL!AF42</f>
        <v>38</v>
      </c>
      <c r="AG85" s="2">
        <f>MU!AG67+UMKC!AG52+UMSL!AG42</f>
        <v>32</v>
      </c>
      <c r="AH85" s="2">
        <f>MU!AH67+UMKC!AH52+UMSL!AH42</f>
        <v>35</v>
      </c>
      <c r="AI85" s="2">
        <f>MU!AI67+UMKC!AI52+'S&amp;T'!AO35+UMSL!AI42</f>
        <v>45</v>
      </c>
      <c r="AJ85" s="2">
        <f>MU!AJ67+UMKC!AJ52+UMSL!AJ42</f>
        <v>30</v>
      </c>
      <c r="AK85" s="2">
        <f>MU!AK67+UMKC!AK52+UMSL!AK42</f>
        <v>40</v>
      </c>
      <c r="AL85" s="2">
        <f>MU!AL67+UMKC!AL52+UMSL!AL42</f>
        <v>35</v>
      </c>
      <c r="AM85" s="2">
        <f>MU!AM67+UMKC!AM52+UMSL!AM42</f>
        <v>43</v>
      </c>
      <c r="AN85" s="2">
        <f>MU!AN67+UMKC!AN52+UMSL!AN42</f>
        <v>41</v>
      </c>
      <c r="AO85" s="2">
        <f>MU!AO67+UMKC!AO52+'S&amp;T'!AO35+UMSL!AO42</f>
        <v>39</v>
      </c>
      <c r="AP85" s="2">
        <f>MU!AP67+UMKC!AP52+'S&amp;T'!AP35+UMSL!AP42</f>
        <v>38</v>
      </c>
      <c r="AQ85" s="2">
        <f>MU!AQ67+UMKC!AQ52+'S&amp;T'!AQ35+UMSL!AQ42</f>
        <v>54</v>
      </c>
      <c r="AR85" s="2">
        <f>MU!AR67+UMKC!AR52+'S&amp;T'!AR35+UMSL!AR42</f>
        <v>70</v>
      </c>
      <c r="AS85" s="2">
        <f>MU!AS67+UMKC!AS52+'S&amp;T'!AS35+UMSL!AS42</f>
        <v>47</v>
      </c>
      <c r="AT85" s="2">
        <f>MU!AT67+UMKC!AT52+'S&amp;T'!AT35+UMSL!AT42</f>
        <v>63</v>
      </c>
      <c r="AU85" s="2">
        <f>MU!AU67+UMKC!AU52+'S&amp;T'!AU35+UMSL!AU42</f>
        <v>62</v>
      </c>
      <c r="AV85" s="2">
        <f>MU!AV67+UMKC!AV52+'S&amp;T'!AV35+UMSL!AV42</f>
        <v>61</v>
      </c>
      <c r="AW85" s="2">
        <f>MU!AW67+UMKC!AW52+'S&amp;T'!AW35+UMSL!AW42</f>
        <v>60</v>
      </c>
      <c r="AX85" s="2">
        <f>MU!AX67+UMKC!AX52+'S&amp;T'!AX35+UMSL!AX42</f>
        <v>61</v>
      </c>
      <c r="AY85" s="2">
        <f>MU!AY67+UMKC!AY52+'S&amp;T'!AY35+UMSL!AY42</f>
        <v>56</v>
      </c>
      <c r="AZ85" s="2">
        <f>MU!AZ67+UMKC!AZ52+'S&amp;T'!AZ35+UMSL!AZ42</f>
        <v>48</v>
      </c>
      <c r="BA85" s="2">
        <f>MU!BA67+UMKC!BA52+'S&amp;T'!BA35+UMSL!BA42</f>
        <v>53</v>
      </c>
      <c r="BB85" s="2">
        <f>MU!BB67+UMKC!BB52+'S&amp;T'!BB35+UMSL!BB42</f>
        <v>53</v>
      </c>
      <c r="BC85" s="8"/>
    </row>
    <row r="86" spans="1:55" ht="13.5" customHeight="1" x14ac:dyDescent="0.2">
      <c r="A86" s="7"/>
      <c r="B86" s="2"/>
      <c r="C86" s="3" t="s">
        <v>7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f>MU!W68</f>
        <v>7</v>
      </c>
      <c r="X86" s="2">
        <f>MU!X68</f>
        <v>7</v>
      </c>
      <c r="Y86" s="2">
        <f>MU!Y68</f>
        <v>12</v>
      </c>
      <c r="Z86" s="2">
        <f>MU!Z68</f>
        <v>9</v>
      </c>
      <c r="AA86" s="2">
        <f>MU!AA68</f>
        <v>11</v>
      </c>
      <c r="AB86" s="2">
        <f>MU!AB68</f>
        <v>8</v>
      </c>
      <c r="AC86" s="2">
        <f>MU!AC68</f>
        <v>12</v>
      </c>
      <c r="AD86" s="2">
        <f>MU!AD68</f>
        <v>6</v>
      </c>
      <c r="AE86" s="2">
        <f>MU!AE68</f>
        <v>12</v>
      </c>
      <c r="AF86" s="2">
        <f>MU!AF68</f>
        <v>11</v>
      </c>
      <c r="AG86" s="2">
        <f>MU!AG68</f>
        <v>11</v>
      </c>
      <c r="AH86" s="2">
        <f>MU!AH68</f>
        <v>7</v>
      </c>
      <c r="AI86" s="2">
        <f>MU!AI68</f>
        <v>10</v>
      </c>
      <c r="AJ86" s="2">
        <f>MU!AJ68</f>
        <v>10</v>
      </c>
      <c r="AK86" s="2">
        <f>MU!AK68</f>
        <v>7</v>
      </c>
      <c r="AL86" s="2">
        <f>MU!AL68</f>
        <v>11</v>
      </c>
      <c r="AM86" s="2">
        <f>MU!AM68</f>
        <v>5</v>
      </c>
      <c r="AN86" s="2">
        <f>MU!AN68</f>
        <v>14</v>
      </c>
      <c r="AO86" s="2">
        <f>MU!AO68</f>
        <v>12</v>
      </c>
      <c r="AP86" s="2">
        <f>MU!AP68</f>
        <v>11</v>
      </c>
      <c r="AQ86" s="2">
        <f>MU!AQ68</f>
        <v>5</v>
      </c>
      <c r="AR86" s="2">
        <f>MU!AR68</f>
        <v>13</v>
      </c>
      <c r="AS86" s="2">
        <f>MU!AS68</f>
        <v>12</v>
      </c>
      <c r="AT86" s="2">
        <f>MU!AT68</f>
        <v>9</v>
      </c>
      <c r="AU86" s="2">
        <f>MU!AU68</f>
        <v>14</v>
      </c>
      <c r="AV86" s="2">
        <f>MU!AV68</f>
        <v>13</v>
      </c>
      <c r="AW86" s="2">
        <f>MU!AW68</f>
        <v>10</v>
      </c>
      <c r="AX86" s="2">
        <f>MU!AX68</f>
        <v>16</v>
      </c>
      <c r="AY86" s="2">
        <f>MU!AY68</f>
        <v>10</v>
      </c>
      <c r="AZ86" s="2">
        <f>MU!AZ68</f>
        <v>11</v>
      </c>
      <c r="BA86" s="2">
        <f>MU!BA68</f>
        <v>9</v>
      </c>
      <c r="BB86" s="2">
        <f>MU!BB68</f>
        <v>15</v>
      </c>
      <c r="BC86" s="8"/>
    </row>
    <row r="87" spans="1:55" ht="13.5" customHeight="1" x14ac:dyDescent="0.2">
      <c r="A87" s="7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1">
        <f t="shared" ref="W87:AA87" si="59">SUM(W83:W86)</f>
        <v>227</v>
      </c>
      <c r="X87" s="11">
        <f t="shared" si="59"/>
        <v>324</v>
      </c>
      <c r="Y87" s="11">
        <f t="shared" si="59"/>
        <v>328</v>
      </c>
      <c r="Z87" s="11">
        <f t="shared" si="59"/>
        <v>348</v>
      </c>
      <c r="AA87" s="11">
        <f t="shared" si="59"/>
        <v>382</v>
      </c>
      <c r="AB87" s="11">
        <f t="shared" ref="AB87:AG87" si="60">SUM(AB83:AB86)</f>
        <v>269</v>
      </c>
      <c r="AC87" s="11">
        <f t="shared" si="60"/>
        <v>318</v>
      </c>
      <c r="AD87" s="11">
        <f t="shared" si="60"/>
        <v>283</v>
      </c>
      <c r="AE87" s="11">
        <f t="shared" si="60"/>
        <v>258</v>
      </c>
      <c r="AF87" s="11">
        <f t="shared" si="60"/>
        <v>222</v>
      </c>
      <c r="AG87" s="11">
        <f t="shared" si="60"/>
        <v>218</v>
      </c>
      <c r="AH87" s="11">
        <f t="shared" ref="AH87:AV87" si="61">SUM(AH83:AH86)</f>
        <v>243</v>
      </c>
      <c r="AI87" s="11">
        <f t="shared" si="61"/>
        <v>264</v>
      </c>
      <c r="AJ87" s="11">
        <f t="shared" si="61"/>
        <v>253</v>
      </c>
      <c r="AK87" s="11">
        <f t="shared" si="61"/>
        <v>256</v>
      </c>
      <c r="AL87" s="11">
        <f t="shared" si="61"/>
        <v>267</v>
      </c>
      <c r="AM87" s="11">
        <f t="shared" si="61"/>
        <v>269</v>
      </c>
      <c r="AN87" s="11">
        <f t="shared" si="61"/>
        <v>288</v>
      </c>
      <c r="AO87" s="11">
        <f t="shared" si="61"/>
        <v>281</v>
      </c>
      <c r="AP87" s="11">
        <f t="shared" si="61"/>
        <v>258</v>
      </c>
      <c r="AQ87" s="11">
        <f t="shared" si="61"/>
        <v>297</v>
      </c>
      <c r="AR87" s="11">
        <f t="shared" si="61"/>
        <v>312</v>
      </c>
      <c r="AS87" s="11">
        <f t="shared" si="61"/>
        <v>310</v>
      </c>
      <c r="AT87" s="11">
        <f t="shared" si="61"/>
        <v>309</v>
      </c>
      <c r="AU87" s="11">
        <f t="shared" si="61"/>
        <v>308</v>
      </c>
      <c r="AV87" s="11">
        <f t="shared" si="61"/>
        <v>330</v>
      </c>
      <c r="AW87" s="11">
        <f>SUM(AW83:AW86)</f>
        <v>309</v>
      </c>
      <c r="AX87" s="11">
        <f>SUM(AX83:AX86)</f>
        <v>324</v>
      </c>
      <c r="AY87" s="11">
        <f>SUM(AY83:AY86)</f>
        <v>290</v>
      </c>
      <c r="AZ87" s="11">
        <f>SUM(AZ83:AZ86)</f>
        <v>244</v>
      </c>
      <c r="BA87" s="11">
        <f>SUM(BA83:BA86)</f>
        <v>232</v>
      </c>
      <c r="BB87" s="11">
        <f>SUM(BB82:BB86)</f>
        <v>255</v>
      </c>
      <c r="BC87" s="8"/>
    </row>
    <row r="88" spans="1:55" ht="13.5" customHeight="1" x14ac:dyDescent="0.2">
      <c r="A88" s="7"/>
      <c r="B88" s="10" t="s">
        <v>91</v>
      </c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8"/>
    </row>
    <row r="89" spans="1:55" ht="13.5" customHeight="1" x14ac:dyDescent="0.2">
      <c r="A89" s="7"/>
      <c r="B89" s="2"/>
      <c r="C89" s="3" t="s">
        <v>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>
        <f>MU!W71+UMKC!W55+UMSL!W45</f>
        <v>118</v>
      </c>
      <c r="X89" s="2">
        <f>MU!X71+UMKC!X55+UMSL!X45</f>
        <v>97</v>
      </c>
      <c r="Y89" s="2">
        <f>MU!Y71+UMKC!Y55+UMSL!Y45</f>
        <v>162</v>
      </c>
      <c r="Z89" s="2">
        <f>MU!Z71+UMKC!Z55+UMSL!Z45</f>
        <v>119</v>
      </c>
      <c r="AA89" s="2">
        <f>MU!AA71+UMKC!AA55+UMSL!AA45</f>
        <v>206</v>
      </c>
      <c r="AB89" s="2">
        <f>MU!AB71+UMKC!AB55+UMSL!AB45</f>
        <v>232</v>
      </c>
      <c r="AC89" s="2">
        <f>MU!AC71+UMKC!AC55+UMSL!AC45</f>
        <v>223</v>
      </c>
      <c r="AD89" s="2">
        <f>MU!AD71+UMKC!AD55+UMSL!AD45</f>
        <v>201</v>
      </c>
      <c r="AE89" s="2">
        <f>MU!AE71+UMKC!AE55+UMSL!AE45</f>
        <v>230</v>
      </c>
      <c r="AF89" s="2">
        <f>MU!AF71+UMKC!AF55+UMSL!AF45</f>
        <v>245</v>
      </c>
      <c r="AG89" s="2">
        <f>MU!AG71+UMKC!AG55+UMSL!AG45</f>
        <v>280</v>
      </c>
      <c r="AH89" s="2">
        <f>MU!AH71+UMKC!AH55+UMSL!AH45</f>
        <v>258</v>
      </c>
      <c r="AI89" s="2">
        <f>MU!AI71+UMKC!AI55+UMSL!AI45</f>
        <v>276</v>
      </c>
      <c r="AJ89" s="2">
        <f>MU!AJ71+UMKC!AJ55+UMSL!AJ45</f>
        <v>299</v>
      </c>
      <c r="AK89" s="2">
        <f>MU!AK71+UMKC!AK55+UMSL!AK45</f>
        <v>319</v>
      </c>
      <c r="AL89" s="2">
        <f>MU!AL71+UMKC!AL55+UMSL!AL45</f>
        <v>347</v>
      </c>
      <c r="AM89" s="2">
        <f>MU!AM71+UMKC!AM55+UMSL!AM45</f>
        <v>332</v>
      </c>
      <c r="AN89" s="2">
        <f>MU!AN71+UMKC!AN55+UMSL!AN45</f>
        <v>381</v>
      </c>
      <c r="AO89" s="2">
        <f>MU!AO71+UMKC!AO55+UMSL!AO45</f>
        <v>399</v>
      </c>
      <c r="AP89" s="2">
        <f>MU!AP71+UMKC!AP55+UMSL!AP45</f>
        <v>380</v>
      </c>
      <c r="AQ89" s="2">
        <f>MU!AQ71+UMKC!AQ55+UMSL!AQ45</f>
        <v>400</v>
      </c>
      <c r="AR89" s="2">
        <f>MU!AR71+UMKC!AR55+UMSL!AR45</f>
        <v>400</v>
      </c>
      <c r="AS89" s="2">
        <f>MU!AS71+UMKC!AS55+UMSL!AS45</f>
        <v>444</v>
      </c>
      <c r="AT89" s="2">
        <f>MU!AT71+UMKC!AT55+UMSL!AT45</f>
        <v>499</v>
      </c>
      <c r="AU89" s="2">
        <f>MU!AU71+UMKC!AU55+UMSL!AU45</f>
        <v>411</v>
      </c>
      <c r="AV89" s="2">
        <f>MU!AV71+UMKC!AV55+UMSL!AV45</f>
        <v>449</v>
      </c>
      <c r="AW89" s="2">
        <f>MU!AW71+UMKC!AW55+UMSL!AW45</f>
        <v>428</v>
      </c>
      <c r="AX89" s="2">
        <f>MU!AX71+UMKC!AX55+'S&amp;T'!AX38+UMSL!AX45</f>
        <v>380</v>
      </c>
      <c r="AY89" s="2">
        <f>MU!AY71+UMKC!AY55+'S&amp;T'!AY38+UMSL!AY45</f>
        <v>431</v>
      </c>
      <c r="AZ89" s="2">
        <f>MU!AZ71+UMKC!AZ55+'S&amp;T'!AZ38+UMSL!AZ45</f>
        <v>395</v>
      </c>
      <c r="BA89" s="2">
        <f>MU!BA71+UMKC!BA55+'S&amp;T'!BA38+UMSL!BA45</f>
        <v>437</v>
      </c>
      <c r="BB89" s="2">
        <f>MU!BB71+UMKC!BB55+'S&amp;T'!BB38+UMSL!BB45</f>
        <v>366</v>
      </c>
      <c r="BC89" s="8"/>
    </row>
    <row r="90" spans="1:55" ht="13.5" customHeight="1" x14ac:dyDescent="0.2">
      <c r="A90" s="7"/>
      <c r="B90" s="2"/>
      <c r="C90" s="3" t="s">
        <v>5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>
        <f>UMKC!AJ56</f>
        <v>2</v>
      </c>
      <c r="AK90" s="2">
        <f>UMKC!AK56</f>
        <v>1</v>
      </c>
      <c r="AL90" s="2">
        <f>UMKC!AL56</f>
        <v>15</v>
      </c>
      <c r="AM90" s="2">
        <f>UMKC!AM56</f>
        <v>15</v>
      </c>
      <c r="AN90" s="2">
        <f>UMKC!AN56</f>
        <v>9</v>
      </c>
      <c r="AO90" s="2">
        <f>UMKC!AO56</f>
        <v>11</v>
      </c>
      <c r="AP90" s="2">
        <f>UMKC!AP56</f>
        <v>11</v>
      </c>
      <c r="AQ90" s="2">
        <f>UMKC!AQ56</f>
        <v>12</v>
      </c>
      <c r="AR90" s="2">
        <f>UMKC!AR56</f>
        <v>13</v>
      </c>
      <c r="AS90" s="2">
        <f>UMKC!AS56</f>
        <v>10</v>
      </c>
      <c r="AT90" s="2">
        <f>UMKC!AT56</f>
        <v>12</v>
      </c>
      <c r="AU90" s="2">
        <f>UMKC!AU56</f>
        <v>13</v>
      </c>
      <c r="AV90" s="2">
        <f>UMKC!AV56</f>
        <v>8</v>
      </c>
      <c r="AW90" s="2">
        <f>UMKC!AW56</f>
        <v>1</v>
      </c>
      <c r="AX90" s="2">
        <f>UMKC!AX56</f>
        <v>2</v>
      </c>
      <c r="AY90" s="2">
        <f>UMKC!AY56</f>
        <v>3</v>
      </c>
      <c r="AZ90" s="2">
        <f>UMKC!AZ56</f>
        <v>2</v>
      </c>
      <c r="BA90" s="2">
        <f>UMKC!BA56</f>
        <v>0</v>
      </c>
      <c r="BB90" s="2">
        <f>UMKC!BB56</f>
        <v>5</v>
      </c>
      <c r="BC90" s="8"/>
    </row>
    <row r="91" spans="1:55" ht="13.5" customHeight="1" x14ac:dyDescent="0.2">
      <c r="A91" s="7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1">
        <f t="shared" ref="W91:AA91" si="62">W89</f>
        <v>118</v>
      </c>
      <c r="X91" s="11">
        <f t="shared" si="62"/>
        <v>97</v>
      </c>
      <c r="Y91" s="11">
        <f t="shared" si="62"/>
        <v>162</v>
      </c>
      <c r="Z91" s="11">
        <f t="shared" si="62"/>
        <v>119</v>
      </c>
      <c r="AA91" s="11">
        <f t="shared" si="62"/>
        <v>206</v>
      </c>
      <c r="AB91" s="11">
        <f t="shared" ref="AB91:AG91" si="63">AB89</f>
        <v>232</v>
      </c>
      <c r="AC91" s="11">
        <f t="shared" si="63"/>
        <v>223</v>
      </c>
      <c r="AD91" s="11">
        <f t="shared" si="63"/>
        <v>201</v>
      </c>
      <c r="AE91" s="11">
        <f t="shared" si="63"/>
        <v>230</v>
      </c>
      <c r="AF91" s="11">
        <f t="shared" si="63"/>
        <v>245</v>
      </c>
      <c r="AG91" s="11">
        <f t="shared" si="63"/>
        <v>280</v>
      </c>
      <c r="AH91" s="11">
        <f>AH89</f>
        <v>258</v>
      </c>
      <c r="AI91" s="11">
        <f>AI89</f>
        <v>276</v>
      </c>
      <c r="AJ91" s="11">
        <f t="shared" ref="AJ91:AV91" si="64">SUM(AJ89:AJ90)</f>
        <v>301</v>
      </c>
      <c r="AK91" s="11">
        <f t="shared" si="64"/>
        <v>320</v>
      </c>
      <c r="AL91" s="11">
        <f t="shared" si="64"/>
        <v>362</v>
      </c>
      <c r="AM91" s="11">
        <f t="shared" si="64"/>
        <v>347</v>
      </c>
      <c r="AN91" s="11">
        <f t="shared" si="64"/>
        <v>390</v>
      </c>
      <c r="AO91" s="11">
        <f t="shared" si="64"/>
        <v>410</v>
      </c>
      <c r="AP91" s="11">
        <f t="shared" si="64"/>
        <v>391</v>
      </c>
      <c r="AQ91" s="11">
        <f t="shared" si="64"/>
        <v>412</v>
      </c>
      <c r="AR91" s="11">
        <f t="shared" si="64"/>
        <v>413</v>
      </c>
      <c r="AS91" s="11">
        <f t="shared" si="64"/>
        <v>454</v>
      </c>
      <c r="AT91" s="11">
        <f t="shared" si="64"/>
        <v>511</v>
      </c>
      <c r="AU91" s="11">
        <f t="shared" si="64"/>
        <v>424</v>
      </c>
      <c r="AV91" s="11">
        <f t="shared" si="64"/>
        <v>457</v>
      </c>
      <c r="AW91" s="11">
        <f t="shared" ref="AW91:BB91" si="65">SUM(AW89:AW90)</f>
        <v>429</v>
      </c>
      <c r="AX91" s="11">
        <f t="shared" si="65"/>
        <v>382</v>
      </c>
      <c r="AY91" s="11">
        <f t="shared" si="65"/>
        <v>434</v>
      </c>
      <c r="AZ91" s="11">
        <f t="shared" si="65"/>
        <v>397</v>
      </c>
      <c r="BA91" s="11">
        <f t="shared" si="65"/>
        <v>437</v>
      </c>
      <c r="BB91" s="11">
        <f t="shared" si="65"/>
        <v>371</v>
      </c>
      <c r="BC91" s="8"/>
    </row>
    <row r="92" spans="1:55" ht="13.5" customHeight="1" x14ac:dyDescent="0.2">
      <c r="A92" s="7"/>
      <c r="B92" s="10" t="s">
        <v>90</v>
      </c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8"/>
    </row>
    <row r="93" spans="1:55" ht="13.5" hidden="1" customHeight="1" x14ac:dyDescent="0.2">
      <c r="A93" s="7"/>
      <c r="B93" s="2"/>
      <c r="C93" s="3" t="s"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>
        <f>MU!W73</f>
        <v>0</v>
      </c>
      <c r="X93" s="3">
        <f>MU!X73</f>
        <v>3</v>
      </c>
      <c r="Y93" s="3">
        <f>MU!Y73</f>
        <v>2</v>
      </c>
      <c r="Z93" s="3">
        <f>MU!Z73</f>
        <v>4</v>
      </c>
      <c r="AA93" s="3">
        <f>MU!AA73</f>
        <v>3</v>
      </c>
      <c r="AB93" s="3">
        <f>MU!AB73</f>
        <v>1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3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8"/>
    </row>
    <row r="94" spans="1:55" ht="13.5" customHeight="1" x14ac:dyDescent="0.2">
      <c r="A94" s="7"/>
      <c r="B94" s="2"/>
      <c r="C94" s="3" t="s">
        <v>5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f>MU!W74</f>
        <v>47</v>
      </c>
      <c r="X94" s="2">
        <f>MU!X74</f>
        <v>36</v>
      </c>
      <c r="Y94" s="2">
        <f>MU!Y74</f>
        <v>56</v>
      </c>
      <c r="Z94" s="2">
        <f>MU!Z74</f>
        <v>83</v>
      </c>
      <c r="AA94" s="2">
        <f>MU!AA74</f>
        <v>100</v>
      </c>
      <c r="AB94" s="2">
        <f>MU!AB74</f>
        <v>105</v>
      </c>
      <c r="AC94" s="2">
        <f>MU!AC74</f>
        <v>91</v>
      </c>
      <c r="AD94" s="2">
        <f>MU!AD74</f>
        <v>113</v>
      </c>
      <c r="AE94" s="2">
        <f>MU!AE74</f>
        <v>88</v>
      </c>
      <c r="AF94" s="2">
        <f>MU!AF74</f>
        <v>95</v>
      </c>
      <c r="AG94" s="2">
        <f>MU!AG74</f>
        <v>66</v>
      </c>
      <c r="AH94" s="2">
        <f>MU!AH74</f>
        <v>46</v>
      </c>
      <c r="AI94" s="2">
        <f>MU!AI74</f>
        <v>0</v>
      </c>
      <c r="AJ94" s="2">
        <f>MU!AJ74</f>
        <v>0</v>
      </c>
      <c r="AK94" s="2">
        <f>MU!AK74</f>
        <v>2</v>
      </c>
      <c r="AL94" s="2">
        <f>MU!AL74</f>
        <v>2</v>
      </c>
      <c r="AM94" s="2">
        <f>MU!AM74</f>
        <v>1</v>
      </c>
      <c r="AN94" s="3">
        <f>MU!AN74</f>
        <v>1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>
        <f>MU!BB74</f>
        <v>20</v>
      </c>
      <c r="BC94" s="8"/>
    </row>
    <row r="95" spans="1:55" ht="13.5" hidden="1" customHeight="1" x14ac:dyDescent="0.2">
      <c r="A95" s="7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2">
        <f t="shared" ref="W95:AA95" si="66">SUM(W93:W94)</f>
        <v>47</v>
      </c>
      <c r="X95" s="22">
        <f t="shared" si="66"/>
        <v>39</v>
      </c>
      <c r="Y95" s="22">
        <f t="shared" si="66"/>
        <v>58</v>
      </c>
      <c r="Z95" s="22">
        <f t="shared" si="66"/>
        <v>87</v>
      </c>
      <c r="AA95" s="22">
        <f t="shared" si="66"/>
        <v>103</v>
      </c>
      <c r="AB95" s="22">
        <f>SUM(AB93:AB94)</f>
        <v>106</v>
      </c>
      <c r="AC95" s="22">
        <f>AC94</f>
        <v>91</v>
      </c>
      <c r="AD95" s="22">
        <f t="shared" ref="AD95:AN95" si="67">AD94</f>
        <v>113</v>
      </c>
      <c r="AE95" s="22">
        <f t="shared" si="67"/>
        <v>88</v>
      </c>
      <c r="AF95" s="22">
        <f t="shared" si="67"/>
        <v>95</v>
      </c>
      <c r="AG95" s="22">
        <f t="shared" si="67"/>
        <v>66</v>
      </c>
      <c r="AH95" s="22">
        <f t="shared" si="67"/>
        <v>46</v>
      </c>
      <c r="AI95" s="22">
        <f t="shared" si="67"/>
        <v>0</v>
      </c>
      <c r="AJ95" s="22">
        <f t="shared" si="67"/>
        <v>0</v>
      </c>
      <c r="AK95" s="22">
        <f t="shared" si="67"/>
        <v>2</v>
      </c>
      <c r="AL95" s="22">
        <f t="shared" si="67"/>
        <v>2</v>
      </c>
      <c r="AM95" s="22">
        <f t="shared" si="67"/>
        <v>1</v>
      </c>
      <c r="AN95" s="22">
        <f t="shared" si="67"/>
        <v>1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8"/>
    </row>
    <row r="96" spans="1:55" ht="13.5" customHeight="1" x14ac:dyDescent="0.2">
      <c r="A96" s="7"/>
      <c r="B96" s="10" t="s">
        <v>89</v>
      </c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8"/>
    </row>
    <row r="97" spans="1:55" ht="13.5" customHeight="1" x14ac:dyDescent="0.2">
      <c r="A97" s="7"/>
      <c r="B97" s="10"/>
      <c r="C97" s="3" t="s">
        <v>10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>
        <f>UMSL!AW47</f>
        <v>2</v>
      </c>
      <c r="AX97" s="2">
        <f>UMSL!AX47</f>
        <v>5</v>
      </c>
      <c r="AY97" s="2">
        <f>UMSL!AY47</f>
        <v>3</v>
      </c>
      <c r="AZ97" s="2">
        <f>UMSL!AZ47</f>
        <v>4</v>
      </c>
      <c r="BA97" s="2">
        <f>UMSL!BA47</f>
        <v>10</v>
      </c>
      <c r="BB97" s="2">
        <f>UMSL!BB47</f>
        <v>7</v>
      </c>
      <c r="BC97" s="8"/>
    </row>
    <row r="98" spans="1:55" ht="13.5" customHeight="1" x14ac:dyDescent="0.2">
      <c r="A98" s="7"/>
      <c r="B98" s="2"/>
      <c r="C98" s="3" t="s">
        <v>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f>MU!W77+UMKC!W59+'S&amp;T'!W40+UMSL!W48</f>
        <v>254</v>
      </c>
      <c r="X98" s="2">
        <f>MU!X77+UMKC!X59+'S&amp;T'!X40+UMSL!X48</f>
        <v>221</v>
      </c>
      <c r="Y98" s="2">
        <f>MU!Y77+UMKC!Y59+'S&amp;T'!Y40+UMSL!Y48</f>
        <v>213</v>
      </c>
      <c r="Z98" s="2">
        <f>MU!Z77+UMKC!Z59+'S&amp;T'!Z40+UMSL!Z48</f>
        <v>230</v>
      </c>
      <c r="AA98" s="2">
        <f>MU!AA77+UMKC!AA59+'S&amp;T'!AA40+UMSL!AA48</f>
        <v>249</v>
      </c>
      <c r="AB98" s="2">
        <f>MU!AB77+UMKC!AB59+'S&amp;T'!AB40+UMSL!AB48</f>
        <v>267</v>
      </c>
      <c r="AC98" s="2">
        <f>MU!AC77+UMKC!AC59+'S&amp;T'!AC40+UMSL!AC48</f>
        <v>334</v>
      </c>
      <c r="AD98" s="2">
        <f>MU!AD77+UMKC!AD59+'S&amp;T'!AD40+UMSL!AD48</f>
        <v>326</v>
      </c>
      <c r="AE98" s="2">
        <f>MU!AE77+UMKC!AE59+'S&amp;T'!AE40+UMSL!AE48</f>
        <v>404</v>
      </c>
      <c r="AF98" s="2">
        <f>MU!AF77+UMKC!AF59+'S&amp;T'!AF40+UMSL!AF48</f>
        <v>378</v>
      </c>
      <c r="AG98" s="2">
        <f>MU!AG77+UMKC!AG59+'S&amp;T'!AG40+UMSL!AG48</f>
        <v>392</v>
      </c>
      <c r="AH98" s="2">
        <f>MU!AH77+UMKC!AH59+'S&amp;T'!AH40+UMSL!AH48</f>
        <v>412</v>
      </c>
      <c r="AI98" s="2">
        <f>MU!AI77+UMKC!AI59+'S&amp;T'!AI40+UMSL!AI48</f>
        <v>449</v>
      </c>
      <c r="AJ98" s="2">
        <f>MU!AJ77+UMKC!AJ59+'S&amp;T'!AJ40+UMSL!AJ48</f>
        <v>419</v>
      </c>
      <c r="AK98" s="2">
        <f>MU!AK77+UMKC!AK59+'S&amp;T'!AK40+UMSL!AK48</f>
        <v>359</v>
      </c>
      <c r="AL98" s="2">
        <f>MU!AL77+UMKC!AL59+'S&amp;T'!AL40+UMSL!AL48</f>
        <v>356</v>
      </c>
      <c r="AM98" s="2">
        <f>MU!AM77+UMKC!AM59+'S&amp;T'!AM40+UMSL!AM48</f>
        <v>369</v>
      </c>
      <c r="AN98" s="2">
        <f>MU!AN77+UMKC!AN59+'S&amp;T'!AN40+UMSL!AN48</f>
        <v>362</v>
      </c>
      <c r="AO98" s="2">
        <f>MU!AO77+UMKC!AO59+'S&amp;T'!AO40+UMSL!AO48</f>
        <v>362</v>
      </c>
      <c r="AP98" s="2">
        <f>MU!AP77+UMKC!AP59+'S&amp;T'!AP40+UMSL!AP48</f>
        <v>408</v>
      </c>
      <c r="AQ98" s="2">
        <f>MU!AQ77+UMKC!AQ59+'S&amp;T'!AQ40+UMSL!AQ48</f>
        <v>462</v>
      </c>
      <c r="AR98" s="2">
        <f>MU!AR77+UMKC!AR59+'S&amp;T'!AR40+UMSL!AR48</f>
        <v>442</v>
      </c>
      <c r="AS98" s="2">
        <f>MU!AS77+UMKC!AS59+'S&amp;T'!AS40+UMSL!AS48</f>
        <v>451</v>
      </c>
      <c r="AT98" s="2">
        <f>MU!AT77+UMKC!AT59+'S&amp;T'!AT40+UMSL!AT48</f>
        <v>510</v>
      </c>
      <c r="AU98" s="2">
        <f>MU!AU77+UMKC!AU59+'S&amp;T'!AU40+UMSL!AU48</f>
        <v>467</v>
      </c>
      <c r="AV98" s="2">
        <f>MU!AV77+UMKC!AV59+'S&amp;T'!AV40+UMSL!AV48</f>
        <v>539</v>
      </c>
      <c r="AW98" s="2">
        <f>MU!AW77+UMKC!AW59+'S&amp;T'!AW40+UMSL!AW48</f>
        <v>590</v>
      </c>
      <c r="AX98" s="2">
        <f>MU!AX77+UMKC!AX59+'S&amp;T'!AX40+UMSL!AX48</f>
        <v>531</v>
      </c>
      <c r="AY98" s="2">
        <f>MU!AY77+UMKC!AY59+'S&amp;T'!AY40+UMSL!AY48</f>
        <v>631</v>
      </c>
      <c r="AZ98" s="2">
        <f>MU!AZ77+UMKC!AZ59+'S&amp;T'!AZ40+UMSL!AZ48</f>
        <v>591</v>
      </c>
      <c r="BA98" s="2">
        <f>MU!BA77+UMKC!BA59+'S&amp;T'!BA40+UMSL!BA48</f>
        <v>614</v>
      </c>
      <c r="BB98" s="2">
        <f>MU!BB77+UMKC!BB59+'S&amp;T'!BB40+UMSL!BB48</f>
        <v>653</v>
      </c>
      <c r="BC98" s="8"/>
    </row>
    <row r="99" spans="1:55" ht="13.5" customHeight="1" x14ac:dyDescent="0.2">
      <c r="A99" s="7"/>
      <c r="B99" s="2"/>
      <c r="C99" s="3" t="s">
        <v>9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2">
        <f>UMSL!AF49</f>
        <v>0</v>
      </c>
      <c r="AG99" s="2">
        <f>UMSL!AG49</f>
        <v>12</v>
      </c>
      <c r="AH99" s="2">
        <f>UMSL!AH49</f>
        <v>12</v>
      </c>
      <c r="AI99" s="2">
        <f>UMSL!AI49</f>
        <v>11</v>
      </c>
      <c r="AJ99" s="2">
        <f>UMSL!AJ49</f>
        <v>10</v>
      </c>
      <c r="AK99" s="2">
        <f>UMSL!AK49</f>
        <v>9</v>
      </c>
      <c r="AL99" s="2">
        <f>UMSL!AL49</f>
        <v>6</v>
      </c>
      <c r="AM99" s="2">
        <f>MU!AM78+UMSL!AM49</f>
        <v>8</v>
      </c>
      <c r="AN99" s="2">
        <f>MU!AN78+UMSL!AN49</f>
        <v>5</v>
      </c>
      <c r="AO99" s="2">
        <f>MU!AO78+UMSL!AO49</f>
        <v>18</v>
      </c>
      <c r="AP99" s="2">
        <f>MU!AP78+UMSL!AP49</f>
        <v>14</v>
      </c>
      <c r="AQ99" s="2">
        <f>MU!AQ78+UMSL!AQ49</f>
        <v>21</v>
      </c>
      <c r="AR99" s="2">
        <f>MU!AR78+UMSL!AR49</f>
        <v>8</v>
      </c>
      <c r="AS99" s="2">
        <f>MU!AS78+UMKC!AS60+UMSL!AS49</f>
        <v>8</v>
      </c>
      <c r="AT99" s="2">
        <f>MU!AT78+UMKC!AT60+UMSL!AT49</f>
        <v>13</v>
      </c>
      <c r="AU99" s="2">
        <f>MU!AU78+UMKC!AU60+UMSL!AU49</f>
        <v>5</v>
      </c>
      <c r="AV99" s="2">
        <f>MU!AV78+UMKC!AV60+UMSL!AV49</f>
        <v>13</v>
      </c>
      <c r="AW99" s="2">
        <f>MU!AW78+UMKC!AW60+UMSL!AW49</f>
        <v>15</v>
      </c>
      <c r="AX99" s="2">
        <f>MU!AX78+UMKC!AX60+UMSL!AX49</f>
        <v>12</v>
      </c>
      <c r="AY99" s="2">
        <f>MU!AY78+UMKC!AY60+UMSL!AY49</f>
        <v>20</v>
      </c>
      <c r="AZ99" s="2">
        <f>MU!AZ78+UMKC!AZ60+UMSL!AZ49</f>
        <v>11</v>
      </c>
      <c r="BA99" s="2">
        <f>MU!BA78+UMKC!BA60+UMSL!BA49</f>
        <v>14</v>
      </c>
      <c r="BB99" s="2">
        <f>MU!BB78+UMKC!BB60+UMSL!BB49</f>
        <v>17</v>
      </c>
      <c r="BC99" s="8"/>
    </row>
    <row r="100" spans="1:55" ht="13.5" customHeight="1" x14ac:dyDescent="0.2">
      <c r="A100" s="7"/>
      <c r="B100" s="2"/>
      <c r="C100" s="3" t="s">
        <v>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f>MU!W79+UMKC!W61+UMSL!W50</f>
        <v>37</v>
      </c>
      <c r="X100" s="2">
        <f>MU!X79+UMKC!X61+UMSL!X50</f>
        <v>32</v>
      </c>
      <c r="Y100" s="2">
        <f>MU!Y79+UMKC!Y61+UMSL!Y50</f>
        <v>48</v>
      </c>
      <c r="Z100" s="2">
        <f>MU!Z79+UMKC!Z61+UMSL!Z50</f>
        <v>41</v>
      </c>
      <c r="AA100" s="2">
        <f>MU!AA79+UMKC!AA61+UMSL!AA50</f>
        <v>34</v>
      </c>
      <c r="AB100" s="2">
        <f>MU!AB79+UMKC!AB61+UMSL!AB50</f>
        <v>50</v>
      </c>
      <c r="AC100" s="2">
        <f>MU!AC79+UMKC!AC61+UMSL!AC50</f>
        <v>34</v>
      </c>
      <c r="AD100" s="2">
        <f>MU!AD79+UMKC!AD61+UMSL!AD50</f>
        <v>43</v>
      </c>
      <c r="AE100" s="2">
        <f>MU!AE79+UMKC!AE61+UMSL!AE50</f>
        <v>40</v>
      </c>
      <c r="AF100" s="2">
        <f>MU!AF79+UMKC!AF61+UMSL!AF50</f>
        <v>45</v>
      </c>
      <c r="AG100" s="2">
        <f>MU!AG79+UMKC!AG61+UMSL!AG50</f>
        <v>54</v>
      </c>
      <c r="AH100" s="2">
        <f>MU!AH79+UMKC!AH61+UMSL!AH50</f>
        <v>51</v>
      </c>
      <c r="AI100" s="2">
        <f>MU!AI79+UMKC!AI61+UMSL!AI50</f>
        <v>39</v>
      </c>
      <c r="AJ100" s="2">
        <f>MU!AJ79+UMKC!AJ61+UMSL!AJ50</f>
        <v>38</v>
      </c>
      <c r="AK100" s="2">
        <f>MU!AK79+UMKC!AK61+UMSL!AK50</f>
        <v>40</v>
      </c>
      <c r="AL100" s="2">
        <f>MU!AL79+UMKC!AL61+UMSL!AL50</f>
        <v>42</v>
      </c>
      <c r="AM100" s="2">
        <f>MU!AM79+UMKC!AM61+UMSL!AM50</f>
        <v>50</v>
      </c>
      <c r="AN100" s="2">
        <f>MU!AN79+UMKC!AN61+UMSL!AN50</f>
        <v>39</v>
      </c>
      <c r="AO100" s="2">
        <f>MU!AO79+UMKC!AO61+'S&amp;T'!AO41+UMSL!AO50</f>
        <v>68</v>
      </c>
      <c r="AP100" s="2">
        <f>MU!AP79+UMKC!AP61+'S&amp;T'!AP41+UMSL!AP50</f>
        <v>56</v>
      </c>
      <c r="AQ100" s="2">
        <f>MU!AQ79+UMKC!AQ61+'S&amp;T'!AQ41+UMSL!AQ50</f>
        <v>66</v>
      </c>
      <c r="AR100" s="2">
        <f>MU!AR79+UMKC!AR61+'S&amp;T'!AR41+UMSL!AR50</f>
        <v>57</v>
      </c>
      <c r="AS100" s="2">
        <f>MU!AS79+UMKC!AS61+'S&amp;T'!AS41+UMSL!AS50</f>
        <v>63</v>
      </c>
      <c r="AT100" s="2">
        <f>MU!AT79+UMKC!AT61+'S&amp;T'!AT41+UMSL!AT50</f>
        <v>77</v>
      </c>
      <c r="AU100" s="2">
        <f>MU!AU79+UMKC!AU61+'S&amp;T'!AU41+UMSL!AU50</f>
        <v>74</v>
      </c>
      <c r="AV100" s="2">
        <f>MU!AV79+UMKC!AV61+'S&amp;T'!AV41+UMSL!AV50</f>
        <v>78</v>
      </c>
      <c r="AW100" s="2">
        <f>MU!AW79+UMKC!AW61+'S&amp;T'!AW41+UMSL!AW50</f>
        <v>82</v>
      </c>
      <c r="AX100" s="2">
        <f>MU!AX79+UMKC!AX61+'S&amp;T'!AX41+UMSL!AX50</f>
        <v>75</v>
      </c>
      <c r="AY100" s="2">
        <f>MU!AY79+UMKC!AY61+'S&amp;T'!AY41+UMSL!AY50</f>
        <v>59</v>
      </c>
      <c r="AZ100" s="2">
        <f>MU!AZ79+UMKC!AZ61+'S&amp;T'!AZ41+UMSL!AZ50</f>
        <v>51</v>
      </c>
      <c r="BA100" s="2">
        <f>MU!BA79+UMKC!BA61+'S&amp;T'!BA41+UMSL!BA50</f>
        <v>45</v>
      </c>
      <c r="BB100" s="2">
        <f>MU!BB79+UMKC!BB61+'S&amp;T'!BB41+UMSL!BB50</f>
        <v>57</v>
      </c>
      <c r="BC100" s="8"/>
    </row>
    <row r="101" spans="1:55" ht="13.5" customHeight="1" x14ac:dyDescent="0.2">
      <c r="A101" s="7"/>
      <c r="B101" s="2"/>
      <c r="C101" s="3" t="s">
        <v>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>
        <f>MU!W80</f>
        <v>7</v>
      </c>
      <c r="X101" s="2">
        <f>MU!X80</f>
        <v>15</v>
      </c>
      <c r="Y101" s="2">
        <f>MU!Y80+UMSL!Y51</f>
        <v>21</v>
      </c>
      <c r="Z101" s="2">
        <f>MU!Z80+UMSL!Z51</f>
        <v>17</v>
      </c>
      <c r="AA101" s="2">
        <f>MU!AA80+UMSL!AA51</f>
        <v>17</v>
      </c>
      <c r="AB101" s="2">
        <f>MU!AB80+UMSL!AB51</f>
        <v>29</v>
      </c>
      <c r="AC101" s="2">
        <f>MU!AC80+UMSL!AC51</f>
        <v>21</v>
      </c>
      <c r="AD101" s="2">
        <f>MU!AD80+UMSL!AD51</f>
        <v>25</v>
      </c>
      <c r="AE101" s="2">
        <f>MU!AE80+UMSL!AE51</f>
        <v>18</v>
      </c>
      <c r="AF101" s="2">
        <f>MU!AF80+UMSL!AF51</f>
        <v>18</v>
      </c>
      <c r="AG101" s="2">
        <f>MU!AG80+UMSL!AG51</f>
        <v>28</v>
      </c>
      <c r="AH101" s="2">
        <f>MU!AH80+UMSL!AH51</f>
        <v>33</v>
      </c>
      <c r="AI101" s="2">
        <f>MU!AI80+UMSL!AI51</f>
        <v>31</v>
      </c>
      <c r="AJ101" s="2">
        <f>MU!AJ80+UMSL!AJ51</f>
        <v>27</v>
      </c>
      <c r="AK101" s="2">
        <f>MU!AK80+UMSL!AK51</f>
        <v>35</v>
      </c>
      <c r="AL101" s="2">
        <f>MU!AL80+UMSL!AL51</f>
        <v>33</v>
      </c>
      <c r="AM101" s="2">
        <f>MU!AM80+UMSL!AM51</f>
        <v>35</v>
      </c>
      <c r="AN101" s="2">
        <f>MU!AN80+UMSL!AN51</f>
        <v>30</v>
      </c>
      <c r="AO101" s="2">
        <f>MU!AO80+UMSL!AO51</f>
        <v>39</v>
      </c>
      <c r="AP101" s="2">
        <f>MU!AP80+UMSL!AP51</f>
        <v>35</v>
      </c>
      <c r="AQ101" s="2">
        <f>MU!AQ80+UMSL!AQ51</f>
        <v>38</v>
      </c>
      <c r="AR101" s="2">
        <f>MU!AR80+UMSL!AR51</f>
        <v>46</v>
      </c>
      <c r="AS101" s="2">
        <f>MU!AS80+UMSL!AS51</f>
        <v>51</v>
      </c>
      <c r="AT101" s="2">
        <f>MU!AT80+UMSL!AT51</f>
        <v>41</v>
      </c>
      <c r="AU101" s="2">
        <f>MU!AU80+UMSL!AU51</f>
        <v>27</v>
      </c>
      <c r="AV101" s="2">
        <f>MU!AV80+UMSL!AV51</f>
        <v>42</v>
      </c>
      <c r="AW101" s="2">
        <f>MU!AW80+UMSL!AW51</f>
        <v>37</v>
      </c>
      <c r="AX101" s="2">
        <f>MU!AX80+UMSL!AX51</f>
        <v>30</v>
      </c>
      <c r="AY101" s="2">
        <f>MU!AY80+UMSL!AY51</f>
        <v>46</v>
      </c>
      <c r="AZ101" s="2">
        <f>MU!AZ80+UMSL!AZ51</f>
        <v>38</v>
      </c>
      <c r="BA101" s="2">
        <f>MU!BA80+UMSL!BA51</f>
        <v>35</v>
      </c>
      <c r="BB101" s="2">
        <f>MU!BB80+UMSL!BB51</f>
        <v>42</v>
      </c>
      <c r="BC101" s="8"/>
    </row>
    <row r="102" spans="1:55" ht="13.5" customHeight="1" x14ac:dyDescent="0.2">
      <c r="A102" s="7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1">
        <f t="shared" ref="W102:AA102" si="68">SUM(W98:W101)</f>
        <v>298</v>
      </c>
      <c r="X102" s="11">
        <f t="shared" si="68"/>
        <v>268</v>
      </c>
      <c r="Y102" s="11">
        <f t="shared" si="68"/>
        <v>282</v>
      </c>
      <c r="Z102" s="11">
        <f t="shared" si="68"/>
        <v>288</v>
      </c>
      <c r="AA102" s="11">
        <f t="shared" si="68"/>
        <v>300</v>
      </c>
      <c r="AB102" s="11">
        <f t="shared" ref="AB102:AD102" si="69">SUM(AB98:AB101)</f>
        <v>346</v>
      </c>
      <c r="AC102" s="11">
        <f t="shared" si="69"/>
        <v>389</v>
      </c>
      <c r="AD102" s="11">
        <f t="shared" si="69"/>
        <v>394</v>
      </c>
      <c r="AE102" s="11">
        <f t="shared" ref="AE102:AG102" si="70">SUM(AE98:AE101)</f>
        <v>462</v>
      </c>
      <c r="AF102" s="11">
        <f t="shared" si="70"/>
        <v>441</v>
      </c>
      <c r="AG102" s="11">
        <f t="shared" si="70"/>
        <v>486</v>
      </c>
      <c r="AH102" s="11">
        <f t="shared" ref="AH102:AU102" si="71">SUM(AH98:AH101)</f>
        <v>508</v>
      </c>
      <c r="AI102" s="11">
        <f t="shared" si="71"/>
        <v>530</v>
      </c>
      <c r="AJ102" s="11">
        <f t="shared" si="71"/>
        <v>494</v>
      </c>
      <c r="AK102" s="11">
        <f t="shared" si="71"/>
        <v>443</v>
      </c>
      <c r="AL102" s="11">
        <f t="shared" si="71"/>
        <v>437</v>
      </c>
      <c r="AM102" s="11">
        <f t="shared" si="71"/>
        <v>462</v>
      </c>
      <c r="AN102" s="11">
        <f t="shared" si="71"/>
        <v>436</v>
      </c>
      <c r="AO102" s="11">
        <f t="shared" si="71"/>
        <v>487</v>
      </c>
      <c r="AP102" s="11">
        <f t="shared" si="71"/>
        <v>513</v>
      </c>
      <c r="AQ102" s="11">
        <f t="shared" si="71"/>
        <v>587</v>
      </c>
      <c r="AR102" s="11">
        <f t="shared" si="71"/>
        <v>553</v>
      </c>
      <c r="AS102" s="11">
        <f t="shared" si="71"/>
        <v>573</v>
      </c>
      <c r="AT102" s="11">
        <f t="shared" si="71"/>
        <v>641</v>
      </c>
      <c r="AU102" s="11">
        <f t="shared" si="71"/>
        <v>573</v>
      </c>
      <c r="AV102" s="11">
        <f>SUM(AV98:AV101)</f>
        <v>672</v>
      </c>
      <c r="AW102" s="11">
        <f t="shared" ref="AW102:BB102" si="72">SUM(AW97:AW101)</f>
        <v>726</v>
      </c>
      <c r="AX102" s="11">
        <f t="shared" si="72"/>
        <v>653</v>
      </c>
      <c r="AY102" s="11">
        <f t="shared" si="72"/>
        <v>759</v>
      </c>
      <c r="AZ102" s="11">
        <f t="shared" si="72"/>
        <v>695</v>
      </c>
      <c r="BA102" s="11">
        <f t="shared" si="72"/>
        <v>718</v>
      </c>
      <c r="BB102" s="11">
        <f t="shared" si="72"/>
        <v>776</v>
      </c>
      <c r="BC102" s="8"/>
    </row>
    <row r="103" spans="1:55" ht="13.5" customHeight="1" x14ac:dyDescent="0.2">
      <c r="A103" s="7"/>
      <c r="B103" s="10" t="s">
        <v>85</v>
      </c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8"/>
    </row>
    <row r="104" spans="1:55" ht="13.5" customHeight="1" x14ac:dyDescent="0.2">
      <c r="A104" s="7"/>
      <c r="B104" s="10"/>
      <c r="C104" s="3" t="s">
        <v>10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>
        <f>UMSL!AW54</f>
        <v>0</v>
      </c>
      <c r="AX104" s="2">
        <f>UMSL!AX54</f>
        <v>2</v>
      </c>
      <c r="AY104" s="2">
        <f>UMSL!AY54</f>
        <v>3</v>
      </c>
      <c r="AZ104" s="2">
        <f>UMSL!AZ54</f>
        <v>5</v>
      </c>
      <c r="BA104" s="2">
        <f>UMSL!BA54</f>
        <v>6</v>
      </c>
      <c r="BB104" s="2">
        <f>UMSL!BB54</f>
        <v>2</v>
      </c>
      <c r="BC104" s="8"/>
    </row>
    <row r="105" spans="1:55" ht="13.5" customHeight="1" x14ac:dyDescent="0.2">
      <c r="A105" s="7"/>
      <c r="B105" s="2"/>
      <c r="C105" s="3" t="s">
        <v>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f>MU!W83+UMKC!W64+'S&amp;T'!W44+UMSL!W55</f>
        <v>40</v>
      </c>
      <c r="X105" s="2">
        <f>MU!X83+UMKC!X64+'S&amp;T'!X44+UMSL!X55</f>
        <v>44</v>
      </c>
      <c r="Y105" s="2">
        <f>MU!Y83+UMKC!Y64+'S&amp;T'!Y44+UMSL!Y55</f>
        <v>58</v>
      </c>
      <c r="Z105" s="2">
        <f>MU!Z83+UMKC!Z64+'S&amp;T'!Z44+UMSL!Z55</f>
        <v>49</v>
      </c>
      <c r="AA105" s="2">
        <f>MU!AA83+UMKC!AA64+'S&amp;T'!AA44+UMSL!AA55</f>
        <v>54</v>
      </c>
      <c r="AB105" s="2">
        <f>MU!AB83+UMKC!AB64+'S&amp;T'!AB44+UMSL!AB55</f>
        <v>49</v>
      </c>
      <c r="AC105" s="2">
        <f>MU!AC83+UMKC!AC64+'S&amp;T'!AC44+UMSL!AC55</f>
        <v>58</v>
      </c>
      <c r="AD105" s="2">
        <f>MU!AD83+UMKC!AD64+'S&amp;T'!AD44+UMSL!AD55</f>
        <v>56</v>
      </c>
      <c r="AE105" s="2">
        <f>MU!AE83+UMKC!AE64+'S&amp;T'!AE44+UMSL!AE55</f>
        <v>61</v>
      </c>
      <c r="AF105" s="2">
        <f>MU!AF83+UMKC!AF64+'S&amp;T'!AF44+UMSL!AF55</f>
        <v>66</v>
      </c>
      <c r="AG105" s="2">
        <f>MU!AG83+UMKC!AG64+'S&amp;T'!AG44+UMSL!AG55</f>
        <v>59</v>
      </c>
      <c r="AH105" s="2">
        <f>MU!AH83+UMKC!AH64+'S&amp;T'!AH44+UMSL!AH55</f>
        <v>44</v>
      </c>
      <c r="AI105" s="2">
        <f>MU!AI83+UMKC!AI64+'S&amp;T'!AI44+UMSL!AI55</f>
        <v>57</v>
      </c>
      <c r="AJ105" s="2">
        <f>MU!AJ83+UMKC!AJ64+'S&amp;T'!AJ44+UMSL!AJ55</f>
        <v>60</v>
      </c>
      <c r="AK105" s="2">
        <f>MU!AK83+UMKC!AK64+'S&amp;T'!AK44+UMSL!AK55</f>
        <v>46</v>
      </c>
      <c r="AL105" s="2">
        <f>MU!AL83+UMKC!AL64+'S&amp;T'!AL44+UMSL!AL55</f>
        <v>59</v>
      </c>
      <c r="AM105" s="2">
        <f>MU!AM83+UMKC!AM64+'S&amp;T'!AM44+UMSL!AM55</f>
        <v>63</v>
      </c>
      <c r="AN105" s="2">
        <f>MU!AN83+UMKC!AN64+'S&amp;T'!AN44+UMSL!AN55</f>
        <v>70</v>
      </c>
      <c r="AO105" s="2">
        <f>MU!AO83+UMKC!AO64+'S&amp;T'!AO44+UMSL!AO55</f>
        <v>65</v>
      </c>
      <c r="AP105" s="2">
        <f>MU!AP83+UMKC!AP64+'S&amp;T'!AP44+UMSL!AP55</f>
        <v>78</v>
      </c>
      <c r="AQ105" s="2">
        <f>MU!AQ83+UMKC!AQ64+'S&amp;T'!AQ44+UMSL!AQ55</f>
        <v>89</v>
      </c>
      <c r="AR105" s="2">
        <f>MU!AR83+UMKC!AR64+'S&amp;T'!AR44+UMSL!AR55</f>
        <v>71</v>
      </c>
      <c r="AS105" s="2">
        <f>MU!AS83+UMKC!AS64+'S&amp;T'!AS44+UMSL!AS55</f>
        <v>73</v>
      </c>
      <c r="AT105" s="2">
        <f>MU!AT83+UMKC!AT64+'S&amp;T'!AT44+UMSL!AT55</f>
        <v>80</v>
      </c>
      <c r="AU105" s="2">
        <f>MU!AU83+UMKC!AU64+'S&amp;T'!AU44+UMSL!AU55</f>
        <v>77</v>
      </c>
      <c r="AV105" s="2">
        <f>MU!AV83+UMKC!AV64+'S&amp;T'!AV44+UMSL!AV55</f>
        <v>92</v>
      </c>
      <c r="AW105" s="2">
        <f>MU!AW83+UMKC!AW64+'S&amp;T'!AW44+UMSL!AW55</f>
        <v>99</v>
      </c>
      <c r="AX105" s="2">
        <f>MU!AX83+UMKC!AX64+'S&amp;T'!AX44+UMSL!AX55</f>
        <v>100</v>
      </c>
      <c r="AY105" s="2">
        <f>MU!AY83+UMKC!AY64+'S&amp;T'!AY44+UMSL!AY55</f>
        <v>121</v>
      </c>
      <c r="AZ105" s="2">
        <f>MU!AZ83+UMKC!AZ64+'S&amp;T'!AZ44+UMSL!AZ55</f>
        <v>112</v>
      </c>
      <c r="BA105" s="2">
        <f>MU!BA83+UMKC!BA64+'S&amp;T'!BA44+UMSL!BA55</f>
        <v>143</v>
      </c>
      <c r="BB105" s="2">
        <f>MU!BB83+UMKC!BB64+'S&amp;T'!BB44+UMSL!BB55</f>
        <v>148</v>
      </c>
      <c r="BC105" s="8"/>
    </row>
    <row r="106" spans="1:55" ht="13.5" customHeight="1" x14ac:dyDescent="0.2">
      <c r="A106" s="7"/>
      <c r="B106" s="2"/>
      <c r="C106" s="3" t="s">
        <v>9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3"/>
      <c r="AQ106" s="2">
        <f>'S&amp;T'!AQ45</f>
        <v>1</v>
      </c>
      <c r="AR106" s="2">
        <f>'S&amp;T'!AR45</f>
        <v>2</v>
      </c>
      <c r="AS106" s="2">
        <f>'S&amp;T'!AS45</f>
        <v>1</v>
      </c>
      <c r="AT106" s="2">
        <f>'S&amp;T'!AT45</f>
        <v>2</v>
      </c>
      <c r="AU106" s="2">
        <f>'S&amp;T'!AU45</f>
        <v>1</v>
      </c>
      <c r="AV106" s="2">
        <f>'S&amp;T'!AV45</f>
        <v>1</v>
      </c>
      <c r="AW106" s="2">
        <f>'S&amp;T'!AW45</f>
        <v>1</v>
      </c>
      <c r="AX106" s="2">
        <f>'S&amp;T'!AX45</f>
        <v>3</v>
      </c>
      <c r="AY106" s="2">
        <f>'S&amp;T'!AY45</f>
        <v>2</v>
      </c>
      <c r="AZ106" s="2">
        <f>'S&amp;T'!AZ45</f>
        <v>2</v>
      </c>
      <c r="BA106" s="2">
        <f>'S&amp;T'!BA45</f>
        <v>1</v>
      </c>
      <c r="BB106" s="2">
        <f>'S&amp;T'!BB45</f>
        <v>1</v>
      </c>
      <c r="BC106" s="8"/>
    </row>
    <row r="107" spans="1:55" ht="13.5" customHeight="1" x14ac:dyDescent="0.2">
      <c r="A107" s="7"/>
      <c r="B107" s="2"/>
      <c r="C107" s="3" t="s">
        <v>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>
        <f>MU!W84+UMKC!W65+'S&amp;T'!W46+UMSL!W56</f>
        <v>26</v>
      </c>
      <c r="X107" s="2">
        <f>MU!X84+UMKC!X65+'S&amp;T'!X46+UMSL!X56</f>
        <v>23</v>
      </c>
      <c r="Y107" s="2">
        <f>MU!Y84+UMKC!Y65+'S&amp;T'!Y46+UMSL!Y56</f>
        <v>20</v>
      </c>
      <c r="Z107" s="2">
        <f>MU!Z84+UMKC!Z65+'S&amp;T'!Z46+UMSL!Z56</f>
        <v>14</v>
      </c>
      <c r="AA107" s="2">
        <f>MU!AA84+UMKC!AA65+'S&amp;T'!AA46+UMSL!AA56</f>
        <v>26</v>
      </c>
      <c r="AB107" s="2">
        <f>MU!AB84+UMKC!AB65+'S&amp;T'!AB46+UMSL!AB56</f>
        <v>24</v>
      </c>
      <c r="AC107" s="2">
        <f>MU!AC84+UMKC!AC65+'S&amp;T'!AC46+UMSL!AC56</f>
        <v>26</v>
      </c>
      <c r="AD107" s="2">
        <f>MU!AD84+UMKC!AD65+'S&amp;T'!AD46+UMSL!AD56</f>
        <v>34</v>
      </c>
      <c r="AE107" s="2">
        <f>MU!AE84+UMKC!AE65+'S&amp;T'!AE46+UMSL!AE56</f>
        <v>35</v>
      </c>
      <c r="AF107" s="2">
        <f>MU!AF84+UMKC!AF65+'S&amp;T'!AF46+UMSL!AF56</f>
        <v>26</v>
      </c>
      <c r="AG107" s="2">
        <f>MU!AG84+UMKC!AG65+'S&amp;T'!AG46+UMSL!AG56</f>
        <v>16</v>
      </c>
      <c r="AH107" s="2">
        <f>MU!AH84+UMKC!AH65+'S&amp;T'!AH46+UMSL!AH56</f>
        <v>23</v>
      </c>
      <c r="AI107" s="2">
        <f>MU!AI84+UMKC!AI65+'S&amp;T'!AI46+UMSL!AI56</f>
        <v>29</v>
      </c>
      <c r="AJ107" s="2">
        <f>MU!AJ84+UMKC!AJ65+'S&amp;T'!AJ46+UMSL!AJ56</f>
        <v>28</v>
      </c>
      <c r="AK107" s="2">
        <f>MU!AK84+UMKC!AK65+'S&amp;T'!AK46+UMSL!AK56</f>
        <v>19</v>
      </c>
      <c r="AL107" s="2">
        <f>MU!AL84+UMKC!AL65+'S&amp;T'!AL46+UMSL!AL56</f>
        <v>24</v>
      </c>
      <c r="AM107" s="2">
        <f>MU!AM84+UMKC!AM65+'S&amp;T'!AM46+UMSL!AM56</f>
        <v>44</v>
      </c>
      <c r="AN107" s="2">
        <f>MU!AN84+UMKC!AN65+'S&amp;T'!AN46+UMSL!AN56</f>
        <v>33</v>
      </c>
      <c r="AO107" s="2">
        <f>MU!AO84+UMKC!AO65+'S&amp;T'!AO46+UMSL!AO56</f>
        <v>35</v>
      </c>
      <c r="AP107" s="2">
        <f>MU!AP84+UMKC!AP65+'S&amp;T'!AP46+UMSL!AP56</f>
        <v>39</v>
      </c>
      <c r="AQ107" s="2">
        <f>MU!AQ84+UMKC!AQ65+'S&amp;T'!AQ46+UMSL!AQ56</f>
        <v>37</v>
      </c>
      <c r="AR107" s="2">
        <f>MU!AR84+UMKC!AR65+'S&amp;T'!AR46+UMSL!AR56</f>
        <v>43</v>
      </c>
      <c r="AS107" s="2">
        <f>MU!AS84+UMKC!AS65+'S&amp;T'!AS46+UMSL!AS56</f>
        <v>58</v>
      </c>
      <c r="AT107" s="2">
        <f>MU!AT84+UMKC!AT65+'S&amp;T'!AT46+UMSL!AT56</f>
        <v>39</v>
      </c>
      <c r="AU107" s="2">
        <f>MU!AU84+UMKC!AU65+'S&amp;T'!AU46+UMSL!AU56</f>
        <v>56</v>
      </c>
      <c r="AV107" s="2">
        <f>MU!AV84+UMKC!AV65+'S&amp;T'!AV46+UMSL!AV56</f>
        <v>49</v>
      </c>
      <c r="AW107" s="2">
        <f>MU!AW84+UMKC!AW65+'S&amp;T'!AW46+UMSL!AW56</f>
        <v>55</v>
      </c>
      <c r="AX107" s="2">
        <f>MU!AX84+UMKC!AX65+'S&amp;T'!AX46+UMSL!AX56</f>
        <v>87</v>
      </c>
      <c r="AY107" s="2">
        <f>MU!AY84+UMKC!AY65+'S&amp;T'!AY46+UMSL!AY56</f>
        <v>102</v>
      </c>
      <c r="AZ107" s="2">
        <f>MU!AZ84+UMKC!AZ65+'S&amp;T'!AZ46+UMSL!AZ56</f>
        <v>66</v>
      </c>
      <c r="BA107" s="2">
        <f>MU!BA84+UMKC!BA65+'S&amp;T'!BA46+UMSL!BA56</f>
        <v>76</v>
      </c>
      <c r="BB107" s="2">
        <f>MU!BB84+UMKC!BB65+'S&amp;T'!BB46+UMSL!BB56</f>
        <v>62</v>
      </c>
      <c r="BC107" s="8"/>
    </row>
    <row r="108" spans="1:55" ht="13.5" customHeight="1" x14ac:dyDescent="0.2">
      <c r="A108" s="7"/>
      <c r="B108" s="2"/>
      <c r="C108" s="3" t="s">
        <v>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>
        <f>MU!W85+UMKC!W66+'S&amp;T'!W47</f>
        <v>7</v>
      </c>
      <c r="X108" s="2">
        <f>MU!X85+UMKC!X66+'S&amp;T'!X47</f>
        <v>5</v>
      </c>
      <c r="Y108" s="2">
        <f>MU!Y85+UMKC!Y66+'S&amp;T'!Y47</f>
        <v>5</v>
      </c>
      <c r="Z108" s="2">
        <f>MU!Z85+UMKC!Z66+'S&amp;T'!Z47</f>
        <v>5</v>
      </c>
      <c r="AA108" s="2">
        <f>MU!AA85+UMKC!AA66+'S&amp;T'!AA47</f>
        <v>6</v>
      </c>
      <c r="AB108" s="2">
        <f>MU!AB85+UMKC!AB66+'S&amp;T'!AB47</f>
        <v>7</v>
      </c>
      <c r="AC108" s="2">
        <f>MU!AC85+UMKC!AC66+'S&amp;T'!AC47</f>
        <v>5</v>
      </c>
      <c r="AD108" s="2">
        <f>MU!AD85+UMKC!AD66+'S&amp;T'!AD47</f>
        <v>5</v>
      </c>
      <c r="AE108" s="2">
        <f>MU!AE85+UMKC!AE66+'S&amp;T'!AE47</f>
        <v>4</v>
      </c>
      <c r="AF108" s="2">
        <f>MU!AF85+UMKC!AF66+'S&amp;T'!AF47</f>
        <v>8</v>
      </c>
      <c r="AG108" s="2">
        <f>MU!AG85+UMKC!AG66+'S&amp;T'!AG47</f>
        <v>13</v>
      </c>
      <c r="AH108" s="2">
        <f>MU!AH85+UMKC!AH66+'S&amp;T'!AH47+UMSL!AH57</f>
        <v>14</v>
      </c>
      <c r="AI108" s="2">
        <f>MU!AI85+UMKC!AI66+'S&amp;T'!AI47+UMSL!AI57</f>
        <v>9</v>
      </c>
      <c r="AJ108" s="2">
        <f>MU!AJ85+UMKC!AJ66+'S&amp;T'!AJ47+UMSL!AJ57</f>
        <v>13</v>
      </c>
      <c r="AK108" s="2">
        <f>MU!AK85+UMKC!AK66+'S&amp;T'!AK47+UMSL!AK57</f>
        <v>8</v>
      </c>
      <c r="AL108" s="2">
        <f>MU!AL85+UMKC!AL66+'S&amp;T'!AL47+UMSL!AL57</f>
        <v>11</v>
      </c>
      <c r="AM108" s="2">
        <f>MU!AM85+UMKC!AM66+'S&amp;T'!AM47+UMSL!AM57</f>
        <v>7</v>
      </c>
      <c r="AN108" s="2">
        <f>MU!AN85+'S&amp;T'!AN47+UMSL!AN57</f>
        <v>8</v>
      </c>
      <c r="AO108" s="2">
        <f>MU!AO85+'S&amp;T'!AO47+UMSL!AO57</f>
        <v>12</v>
      </c>
      <c r="AP108" s="2">
        <f>MU!AP85+'S&amp;T'!AP47+UMSL!AP57</f>
        <v>18</v>
      </c>
      <c r="AQ108" s="2">
        <f>MU!AQ85+'S&amp;T'!AQ47+UMSL!AQ57</f>
        <v>15</v>
      </c>
      <c r="AR108" s="2">
        <f>MU!AR85+'S&amp;T'!AR47+UMSL!AR57</f>
        <v>16</v>
      </c>
      <c r="AS108" s="2">
        <f>MU!AS85+'S&amp;T'!AS47+UMSL!AS57</f>
        <v>14</v>
      </c>
      <c r="AT108" s="2">
        <f>MU!AT85+'S&amp;T'!AT47+UMSL!AT57</f>
        <v>17</v>
      </c>
      <c r="AU108" s="2">
        <f>MU!AU85+'S&amp;T'!AU47+UMSL!AU57</f>
        <v>13</v>
      </c>
      <c r="AV108" s="2">
        <f>MU!AV85+'S&amp;T'!AV47+UMSL!AV57</f>
        <v>17</v>
      </c>
      <c r="AW108" s="2">
        <f>MU!AW85+'S&amp;T'!AW47+UMSL!AW57</f>
        <v>23</v>
      </c>
      <c r="AX108" s="2">
        <f>MU!AX85+'S&amp;T'!AX47+UMSL!AX57</f>
        <v>18</v>
      </c>
      <c r="AY108" s="2">
        <f>MU!AY85+'S&amp;T'!AY47+UMSL!AY57</f>
        <v>20</v>
      </c>
      <c r="AZ108" s="2">
        <f>MU!AZ85+'S&amp;T'!AZ47+UMSL!AZ57</f>
        <v>23</v>
      </c>
      <c r="BA108" s="2">
        <f>MU!BA85+'S&amp;T'!BA47+UMSL!BA57</f>
        <v>20</v>
      </c>
      <c r="BB108" s="2">
        <f>MU!BB85+'S&amp;T'!BB47+UMSL!BB57</f>
        <v>26</v>
      </c>
      <c r="BC108" s="8"/>
    </row>
    <row r="109" spans="1:55" ht="13.5" customHeight="1" x14ac:dyDescent="0.2">
      <c r="A109" s="7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11">
        <f t="shared" ref="W109:AA109" si="73">SUM(W105:W108)</f>
        <v>73</v>
      </c>
      <c r="X109" s="11">
        <f t="shared" si="73"/>
        <v>72</v>
      </c>
      <c r="Y109" s="11">
        <f t="shared" si="73"/>
        <v>83</v>
      </c>
      <c r="Z109" s="11">
        <f t="shared" si="73"/>
        <v>68</v>
      </c>
      <c r="AA109" s="11">
        <f t="shared" si="73"/>
        <v>86</v>
      </c>
      <c r="AB109" s="11">
        <f t="shared" ref="AB109:AD109" si="74">SUM(AB105:AB108)</f>
        <v>80</v>
      </c>
      <c r="AC109" s="11">
        <f t="shared" si="74"/>
        <v>89</v>
      </c>
      <c r="AD109" s="11">
        <f t="shared" si="74"/>
        <v>95</v>
      </c>
      <c r="AE109" s="11">
        <f t="shared" ref="AE109:AG109" si="75">SUM(AE105:AE108)</f>
        <v>100</v>
      </c>
      <c r="AF109" s="11">
        <f t="shared" si="75"/>
        <v>100</v>
      </c>
      <c r="AG109" s="11">
        <f t="shared" si="75"/>
        <v>88</v>
      </c>
      <c r="AH109" s="11">
        <f t="shared" ref="AH109:AV109" si="76">SUM(AH105:AH108)</f>
        <v>81</v>
      </c>
      <c r="AI109" s="11">
        <f t="shared" si="76"/>
        <v>95</v>
      </c>
      <c r="AJ109" s="11">
        <f t="shared" si="76"/>
        <v>101</v>
      </c>
      <c r="AK109" s="11">
        <f t="shared" si="76"/>
        <v>73</v>
      </c>
      <c r="AL109" s="11">
        <f t="shared" si="76"/>
        <v>94</v>
      </c>
      <c r="AM109" s="11">
        <f t="shared" si="76"/>
        <v>114</v>
      </c>
      <c r="AN109" s="11">
        <f t="shared" si="76"/>
        <v>111</v>
      </c>
      <c r="AO109" s="11">
        <f t="shared" si="76"/>
        <v>112</v>
      </c>
      <c r="AP109" s="11">
        <f t="shared" si="76"/>
        <v>135</v>
      </c>
      <c r="AQ109" s="11">
        <f t="shared" si="76"/>
        <v>142</v>
      </c>
      <c r="AR109" s="11">
        <f t="shared" si="76"/>
        <v>132</v>
      </c>
      <c r="AS109" s="11">
        <f t="shared" si="76"/>
        <v>146</v>
      </c>
      <c r="AT109" s="11">
        <f t="shared" si="76"/>
        <v>138</v>
      </c>
      <c r="AU109" s="11">
        <f t="shared" si="76"/>
        <v>147</v>
      </c>
      <c r="AV109" s="11">
        <f t="shared" si="76"/>
        <v>159</v>
      </c>
      <c r="AW109" s="11">
        <f t="shared" ref="AW109:BB109" si="77">SUM(AW105:AW108)</f>
        <v>178</v>
      </c>
      <c r="AX109" s="11">
        <f t="shared" si="77"/>
        <v>208</v>
      </c>
      <c r="AY109" s="11">
        <f t="shared" si="77"/>
        <v>245</v>
      </c>
      <c r="AZ109" s="11">
        <f t="shared" si="77"/>
        <v>203</v>
      </c>
      <c r="BA109" s="11">
        <f t="shared" si="77"/>
        <v>240</v>
      </c>
      <c r="BB109" s="11">
        <f t="shared" si="77"/>
        <v>237</v>
      </c>
      <c r="BC109" s="8"/>
    </row>
    <row r="110" spans="1:55" ht="13.5" customHeight="1" x14ac:dyDescent="0.2">
      <c r="A110" s="7"/>
      <c r="B110" s="33" t="s">
        <v>111</v>
      </c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8"/>
    </row>
    <row r="111" spans="1:55" ht="13.5" customHeight="1" x14ac:dyDescent="0.2">
      <c r="A111" s="7"/>
      <c r="B111" s="3"/>
      <c r="C111" s="3" t="s">
        <v>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>
        <f>UMSL!AY60</f>
        <v>1</v>
      </c>
      <c r="AZ111" s="2">
        <f>UMSL!AZ60</f>
        <v>0</v>
      </c>
      <c r="BA111" s="2">
        <f>UMSL!BA60</f>
        <v>0</v>
      </c>
      <c r="BB111" s="2">
        <f>UMSL!BB60</f>
        <v>0</v>
      </c>
      <c r="BC111" s="8"/>
    </row>
    <row r="112" spans="1:55" ht="13.5" customHeight="1" x14ac:dyDescent="0.2">
      <c r="A112" s="7"/>
      <c r="B112" s="33" t="s">
        <v>84</v>
      </c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8"/>
    </row>
    <row r="113" spans="1:55" ht="13.5" customHeight="1" x14ac:dyDescent="0.2">
      <c r="A113" s="7"/>
      <c r="B113" s="33"/>
      <c r="C113" s="3" t="s">
        <v>10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>
        <f>UMSL!AW62</f>
        <v>0</v>
      </c>
      <c r="AX113" s="2">
        <f>UMSL!AX62</f>
        <v>0</v>
      </c>
      <c r="AY113" s="2">
        <f>UMSL!AY62</f>
        <v>1</v>
      </c>
      <c r="AZ113" s="2">
        <f>UMSL!AZ62</f>
        <v>0</v>
      </c>
      <c r="BA113" s="2">
        <f>UMKC!BA69+UMSL!BA62</f>
        <v>2</v>
      </c>
      <c r="BB113" s="2">
        <f>UMKC!BB69+UMSL!BB62</f>
        <v>6</v>
      </c>
      <c r="BC113" s="8"/>
    </row>
    <row r="114" spans="1:55" ht="13.5" customHeight="1" x14ac:dyDescent="0.2">
      <c r="A114" s="7"/>
      <c r="B114" s="3"/>
      <c r="C114" s="3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>
        <f>MU!W88+UMKC!W70</f>
        <v>32</v>
      </c>
      <c r="X114" s="2">
        <f>MU!X88+UMKC!X70</f>
        <v>27</v>
      </c>
      <c r="Y114" s="2">
        <f>MU!Y88+UMKC!Y70</f>
        <v>68</v>
      </c>
      <c r="Z114" s="2">
        <f>MU!Z88+UMKC!Z70</f>
        <v>69</v>
      </c>
      <c r="AA114" s="2">
        <f>MU!AA88+UMKC!AA70</f>
        <v>89</v>
      </c>
      <c r="AB114" s="2">
        <f>MU!AB88+UMKC!AB70</f>
        <v>93</v>
      </c>
      <c r="AC114" s="2">
        <f>MU!AC88+UMKC!AC70</f>
        <v>74</v>
      </c>
      <c r="AD114" s="2">
        <f>MU!AD88+UMKC!AD70</f>
        <v>75</v>
      </c>
      <c r="AE114" s="2">
        <f>MU!AE88+UMKC!AE70</f>
        <v>71</v>
      </c>
      <c r="AF114" s="2">
        <f>MU!AF88+UMKC!AF70</f>
        <v>72</v>
      </c>
      <c r="AG114" s="2">
        <f>MU!AG88+UMKC!AG70</f>
        <v>91</v>
      </c>
      <c r="AH114" s="2">
        <f>MU!AH88+UMKC!AH70</f>
        <v>105</v>
      </c>
      <c r="AI114" s="2">
        <f>MU!AI88+UMKC!AI70</f>
        <v>131</v>
      </c>
      <c r="AJ114" s="2">
        <f>MU!AJ88+UMKC!AJ70</f>
        <v>168</v>
      </c>
      <c r="AK114" s="2">
        <f>MU!AK88+UMKC!AK70</f>
        <v>158</v>
      </c>
      <c r="AL114" s="2">
        <f>MU!AL88+UMKC!AL70</f>
        <v>150</v>
      </c>
      <c r="AM114" s="2">
        <f>MU!AM88+UMKC!AM70</f>
        <v>183</v>
      </c>
      <c r="AN114" s="2">
        <f>MU!AN88+UMKC!AN70</f>
        <v>160</v>
      </c>
      <c r="AO114" s="2">
        <f>MU!AO88+UMKC!AO70</f>
        <v>135</v>
      </c>
      <c r="AP114" s="2">
        <f>MU!AP88+UMKC!AP70</f>
        <v>138</v>
      </c>
      <c r="AQ114" s="2">
        <f>MU!AQ88+UMKC!AQ70+UMSL!AQ63</f>
        <v>163</v>
      </c>
      <c r="AR114" s="2">
        <f>MU!AR88+UMKC!AR70+UMSL!AR63</f>
        <v>154</v>
      </c>
      <c r="AS114" s="2">
        <f>MU!AS88+UMKC!AS70+UMSL!AS63</f>
        <v>152</v>
      </c>
      <c r="AT114" s="2">
        <f>MU!AT88+UMKC!AT70+UMSL!AT63</f>
        <v>118</v>
      </c>
      <c r="AU114" s="2">
        <f>MU!AU88+UMKC!AU70+UMSL!AU63</f>
        <v>106</v>
      </c>
      <c r="AV114" s="2">
        <f>MU!AV88+UMKC!AV70+UMSL!AV63</f>
        <v>104</v>
      </c>
      <c r="AW114" s="2">
        <f>MU!AW88+UMKC!AW70+UMSL!AW63</f>
        <v>117</v>
      </c>
      <c r="AX114" s="2">
        <f>MU!AX88+UMKC!AX70+UMSL!AX63</f>
        <v>126</v>
      </c>
      <c r="AY114" s="2">
        <f>MU!AY88+UMKC!AY70+UMSL!AY63</f>
        <v>124</v>
      </c>
      <c r="AZ114" s="2">
        <f>MU!AZ88+UMKC!AZ70+UMSL!AZ63</f>
        <v>167</v>
      </c>
      <c r="BA114" s="2">
        <f>MU!BA88+UMSL!BA63</f>
        <v>142</v>
      </c>
      <c r="BB114" s="2">
        <f>MU!BB88+UMSL!BB63</f>
        <v>128</v>
      </c>
      <c r="BC114" s="8"/>
    </row>
    <row r="115" spans="1:55" ht="13.5" customHeight="1" x14ac:dyDescent="0.2">
      <c r="A115" s="7"/>
      <c r="B115" s="3"/>
      <c r="C115" s="3" t="s">
        <v>9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>
        <f>UMSL!AG64</f>
        <v>6</v>
      </c>
      <c r="AH115" s="2">
        <f>UMSL!AH64</f>
        <v>5</v>
      </c>
      <c r="AI115" s="2">
        <f>UMSL!AI64</f>
        <v>1</v>
      </c>
      <c r="AJ115" s="2">
        <f>UMSL!AJ64</f>
        <v>3</v>
      </c>
      <c r="AK115" s="2">
        <f>UMSL!AK64</f>
        <v>3</v>
      </c>
      <c r="AL115" s="2">
        <f>UMSL!AL64</f>
        <v>0</v>
      </c>
      <c r="AM115" s="2">
        <f>UMSL!AM64</f>
        <v>10</v>
      </c>
      <c r="AN115" s="2">
        <f>UMSL!AN64</f>
        <v>3</v>
      </c>
      <c r="AO115" s="2">
        <f>'S&amp;T'!AO50+UMSL!AO64</f>
        <v>9</v>
      </c>
      <c r="AP115" s="2">
        <f>UMKC!AP71+'S&amp;T'!AP50+UMSL!AP64</f>
        <v>9</v>
      </c>
      <c r="AQ115" s="2">
        <f>UMKC!AQ71+'S&amp;T'!AQ50+UMSL!AQ64</f>
        <v>7</v>
      </c>
      <c r="AR115" s="2">
        <f>UMKC!AR71+'S&amp;T'!AR50+UMSL!AR64</f>
        <v>6</v>
      </c>
      <c r="AS115" s="2">
        <f>UMKC!AS71+'S&amp;T'!AS50+UMSL!AS64</f>
        <v>9</v>
      </c>
      <c r="AT115" s="2">
        <f>UMKC!AT71+'S&amp;T'!AT50+UMSL!AT64</f>
        <v>20</v>
      </c>
      <c r="AU115" s="2">
        <f>UMKC!AU71+'S&amp;T'!AU50+UMSL!AU64</f>
        <v>15</v>
      </c>
      <c r="AV115" s="2">
        <f>UMKC!AV71+'S&amp;T'!AV50+UMSL!AV64</f>
        <v>18</v>
      </c>
      <c r="AW115" s="2">
        <f>UMKC!AW71+'S&amp;T'!AW50+UMSL!AW64</f>
        <v>28</v>
      </c>
      <c r="AX115" s="2">
        <f>MU!AX89+UMKC!AX71+UMSL!AX64</f>
        <v>4</v>
      </c>
      <c r="AY115" s="2">
        <f>MU!AY89+UMKC!AY71+UMSL!AY64</f>
        <v>18</v>
      </c>
      <c r="AZ115" s="2">
        <f>MU!AZ89+UMKC!AZ71+UMSL!AZ64</f>
        <v>25</v>
      </c>
      <c r="BA115" s="2">
        <f>MU!BA89+UMKC!BA71+UMSL!BA64</f>
        <v>17</v>
      </c>
      <c r="BB115" s="2">
        <f>MU!BB89+UMKC!BB71+UMSL!BB64</f>
        <v>29</v>
      </c>
      <c r="BC115" s="8"/>
    </row>
    <row r="116" spans="1:55" ht="13.5" customHeight="1" x14ac:dyDescent="0.2">
      <c r="A116" s="7"/>
      <c r="B116" s="3"/>
      <c r="C116" s="3" t="s">
        <v>5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2">
        <f>UMSL!Y65</f>
        <v>2</v>
      </c>
      <c r="Z116" s="2">
        <f>UMSL!Z65</f>
        <v>1</v>
      </c>
      <c r="AA116" s="2">
        <f>UMSL!AA65</f>
        <v>1</v>
      </c>
      <c r="AB116" s="2">
        <f>UMSL!AB65</f>
        <v>4</v>
      </c>
      <c r="AC116" s="2">
        <f>UMSL!AC65</f>
        <v>3</v>
      </c>
      <c r="AD116" s="2">
        <f>UMSL!AD65</f>
        <v>6</v>
      </c>
      <c r="AE116" s="2">
        <f>UMSL!AE65</f>
        <v>6</v>
      </c>
      <c r="AF116" s="2">
        <f>UMSL!AF65</f>
        <v>6</v>
      </c>
      <c r="AG116" s="2">
        <f>UMSL!AG65</f>
        <v>6</v>
      </c>
      <c r="AH116" s="2">
        <f>UMSL!AH65</f>
        <v>1</v>
      </c>
      <c r="AI116" s="2">
        <f>UMSL!AI65</f>
        <v>3</v>
      </c>
      <c r="AJ116" s="2">
        <f>UMSL!AJ65</f>
        <v>1</v>
      </c>
      <c r="AK116" s="2">
        <f>MU!AK90+UMSL!AK65</f>
        <v>8</v>
      </c>
      <c r="AL116" s="2">
        <f>MU!AL90+UMSL!AL65</f>
        <v>1</v>
      </c>
      <c r="AM116" s="2">
        <f>MU!AM90+UMSL!AM65</f>
        <v>5</v>
      </c>
      <c r="AN116" s="2">
        <f>MU!AN90+UMSL!AN65</f>
        <v>6</v>
      </c>
      <c r="AO116" s="2">
        <f>MU!AO90+UMSL!AO65</f>
        <v>6</v>
      </c>
      <c r="AP116" s="2">
        <f>MU!AP90+UMSL!AP65</f>
        <v>4</v>
      </c>
      <c r="AQ116" s="2">
        <f>MU!AQ90+UMSL!AQ65</f>
        <v>7</v>
      </c>
      <c r="AR116" s="2">
        <f>MU!AR90+UMSL!AR65</f>
        <v>10</v>
      </c>
      <c r="AS116" s="2">
        <f>MU!AS90+UMSL!AS65</f>
        <v>7</v>
      </c>
      <c r="AT116" s="2">
        <f>MU!AT90+UMSL!AT65</f>
        <v>8</v>
      </c>
      <c r="AU116" s="2">
        <f>MU!AU90+UMSL!AU65</f>
        <v>11</v>
      </c>
      <c r="AV116" s="2">
        <f>MU!AV90+UMSL!AV65</f>
        <v>10</v>
      </c>
      <c r="AW116" s="2">
        <f>MU!AW90+UMSL!AW65</f>
        <v>11</v>
      </c>
      <c r="AX116" s="2">
        <f>MU!AX90+UMSL!AX65</f>
        <v>5</v>
      </c>
      <c r="AY116" s="2">
        <f>MU!AY90+UMSL!AY65</f>
        <v>13</v>
      </c>
      <c r="AZ116" s="2">
        <f>MU!AZ90+UMSL!AZ65</f>
        <v>11</v>
      </c>
      <c r="BA116" s="2">
        <f>MU!BA90+UMSL!BA65</f>
        <v>8</v>
      </c>
      <c r="BB116" s="2">
        <f>MU!BB90+UMSL!BB65</f>
        <v>11</v>
      </c>
      <c r="BC116" s="8"/>
    </row>
    <row r="117" spans="1:55" ht="13.5" customHeight="1" x14ac:dyDescent="0.2">
      <c r="A117" s="7"/>
      <c r="B117" s="3"/>
      <c r="C117" s="3" t="s">
        <v>11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>
        <f>MU!BB91</f>
        <v>5</v>
      </c>
      <c r="BC117" s="8"/>
    </row>
    <row r="118" spans="1:55" ht="13.5" customHeight="1" x14ac:dyDescent="0.2">
      <c r="A118" s="7"/>
      <c r="B118" s="3"/>
      <c r="C118" s="3" t="s">
        <v>7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3"/>
      <c r="AB118" s="2">
        <f>UMKC!AB72</f>
        <v>1</v>
      </c>
      <c r="AC118" s="2">
        <f>UMKC!AC72</f>
        <v>1</v>
      </c>
      <c r="AD118" s="2">
        <f>UMKC!AD72</f>
        <v>8</v>
      </c>
      <c r="AE118" s="2">
        <f>UMKC!AE72</f>
        <v>6</v>
      </c>
      <c r="AF118" s="2">
        <f>UMKC!AF72</f>
        <v>16</v>
      </c>
      <c r="AG118" s="2">
        <f>UMKC!AG72</f>
        <v>19</v>
      </c>
      <c r="AH118" s="2">
        <f>UMKC!AH72</f>
        <v>23</v>
      </c>
      <c r="AI118" s="2">
        <f>UMKC!AI72</f>
        <v>35</v>
      </c>
      <c r="AJ118" s="2">
        <f>UMKC!AJ72</f>
        <v>38</v>
      </c>
      <c r="AK118" s="2">
        <f>UMKC!AK72</f>
        <v>42</v>
      </c>
      <c r="AL118" s="2">
        <f>MU!AL92+UMKC!AL72</f>
        <v>38</v>
      </c>
      <c r="AM118" s="2">
        <f>MU!AM92+UMKC!AM72</f>
        <v>37</v>
      </c>
      <c r="AN118" s="2">
        <f>MU!AN92+UMKC!AN72</f>
        <v>35</v>
      </c>
      <c r="AO118" s="2">
        <f>MU!AO92+UMKC!AO72</f>
        <v>29</v>
      </c>
      <c r="AP118" s="2">
        <f>MU!AP92+UMKC!AP72</f>
        <v>43</v>
      </c>
      <c r="AQ118" s="2">
        <f>MU!AQ92+UMKC!AQ72</f>
        <v>44</v>
      </c>
      <c r="AR118" s="2">
        <f>MU!AR92+UMKC!AR72</f>
        <v>33</v>
      </c>
      <c r="AS118" s="2">
        <f>MU!AS92+UMKC!AS72</f>
        <v>25</v>
      </c>
      <c r="AT118" s="2">
        <f>MU!AT92+UMKC!AT72</f>
        <v>33</v>
      </c>
      <c r="AU118" s="2">
        <f>MU!AU92+UMKC!AU72</f>
        <v>33</v>
      </c>
      <c r="AV118" s="2">
        <f>MU!AV92+UMKC!AV72</f>
        <v>42</v>
      </c>
      <c r="AW118" s="2">
        <f>MU!AW92+UMKC!AW72</f>
        <v>45</v>
      </c>
      <c r="AX118" s="2">
        <f>MU!AX92+UMKC!AX72</f>
        <v>55</v>
      </c>
      <c r="AY118" s="2">
        <f>MU!AY92+UMKC!AY72</f>
        <v>47</v>
      </c>
      <c r="AZ118" s="2">
        <f>MU!AZ92+UMKC!AZ72</f>
        <v>48</v>
      </c>
      <c r="BA118" s="2">
        <f>MU!BA92+UMKC!BA72</f>
        <v>49</v>
      </c>
      <c r="BB118" s="2">
        <f>MU!BB92+UMKC!BB72</f>
        <v>44</v>
      </c>
      <c r="BC118" s="8"/>
    </row>
    <row r="119" spans="1:55" ht="13.5" customHeight="1" x14ac:dyDescent="0.2">
      <c r="A119" s="7"/>
      <c r="B119" s="3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11">
        <f>W114</f>
        <v>32</v>
      </c>
      <c r="X119" s="11">
        <f>X114</f>
        <v>27</v>
      </c>
      <c r="Y119" s="11">
        <f t="shared" ref="Y119:Z119" si="78">SUM(Y114:Y116)</f>
        <v>70</v>
      </c>
      <c r="Z119" s="11">
        <f t="shared" si="78"/>
        <v>70</v>
      </c>
      <c r="AA119" s="11">
        <f>SUM(AA114:AA116)</f>
        <v>90</v>
      </c>
      <c r="AB119" s="11">
        <f t="shared" ref="AB119:AD119" si="79">SUM(AB114:AB118)</f>
        <v>98</v>
      </c>
      <c r="AC119" s="11">
        <f t="shared" si="79"/>
        <v>78</v>
      </c>
      <c r="AD119" s="11">
        <f t="shared" si="79"/>
        <v>89</v>
      </c>
      <c r="AE119" s="11">
        <f t="shared" ref="AE119:AG119" si="80">SUM(AE114:AE118)</f>
        <v>83</v>
      </c>
      <c r="AF119" s="11">
        <f t="shared" si="80"/>
        <v>94</v>
      </c>
      <c r="AG119" s="11">
        <f t="shared" si="80"/>
        <v>122</v>
      </c>
      <c r="AH119" s="11">
        <f t="shared" ref="AH119:AV119" si="81">SUM(AH114:AH118)</f>
        <v>134</v>
      </c>
      <c r="AI119" s="11">
        <f t="shared" si="81"/>
        <v>170</v>
      </c>
      <c r="AJ119" s="11">
        <f t="shared" si="81"/>
        <v>210</v>
      </c>
      <c r="AK119" s="11">
        <f t="shared" si="81"/>
        <v>211</v>
      </c>
      <c r="AL119" s="11">
        <f t="shared" si="81"/>
        <v>189</v>
      </c>
      <c r="AM119" s="11">
        <f t="shared" si="81"/>
        <v>235</v>
      </c>
      <c r="AN119" s="11">
        <f t="shared" si="81"/>
        <v>204</v>
      </c>
      <c r="AO119" s="11">
        <f>SUM(AO114:AO118)</f>
        <v>179</v>
      </c>
      <c r="AP119" s="11">
        <f t="shared" si="81"/>
        <v>194</v>
      </c>
      <c r="AQ119" s="11">
        <f t="shared" si="81"/>
        <v>221</v>
      </c>
      <c r="AR119" s="11">
        <f t="shared" si="81"/>
        <v>203</v>
      </c>
      <c r="AS119" s="11">
        <f t="shared" si="81"/>
        <v>193</v>
      </c>
      <c r="AT119" s="11">
        <f t="shared" si="81"/>
        <v>179</v>
      </c>
      <c r="AU119" s="11">
        <f t="shared" si="81"/>
        <v>165</v>
      </c>
      <c r="AV119" s="11">
        <f t="shared" si="81"/>
        <v>174</v>
      </c>
      <c r="AW119" s="11">
        <f t="shared" ref="AW119:AX119" si="82">SUM(AW113:AW118)</f>
        <v>201</v>
      </c>
      <c r="AX119" s="11">
        <f t="shared" si="82"/>
        <v>190</v>
      </c>
      <c r="AY119" s="11">
        <f>SUM(AY113:AY118)</f>
        <v>203</v>
      </c>
      <c r="AZ119" s="11">
        <f>SUM(AZ113:AZ118)</f>
        <v>251</v>
      </c>
      <c r="BA119" s="11">
        <f>SUM(BA113:BA118)</f>
        <v>218</v>
      </c>
      <c r="BB119" s="11">
        <f>SUM(BB113:BB118)</f>
        <v>223</v>
      </c>
      <c r="BC119" s="8"/>
    </row>
    <row r="120" spans="1:55" ht="13.5" customHeight="1" x14ac:dyDescent="0.2">
      <c r="A120" s="7"/>
      <c r="B120" s="33" t="s">
        <v>83</v>
      </c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8"/>
    </row>
    <row r="121" spans="1:55" ht="13.5" customHeight="1" x14ac:dyDescent="0.2">
      <c r="A121" s="7"/>
      <c r="B121" s="3"/>
      <c r="C121" s="3" t="s">
        <v>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>
        <f>MU!W95</f>
        <v>52</v>
      </c>
      <c r="X121" s="2">
        <f>MU!X95</f>
        <v>51</v>
      </c>
      <c r="Y121" s="2">
        <f>MU!Y95</f>
        <v>32</v>
      </c>
      <c r="Z121" s="2">
        <f>MU!Z95</f>
        <v>40</v>
      </c>
      <c r="AA121" s="2">
        <f>MU!AA95</f>
        <v>38</v>
      </c>
      <c r="AB121" s="2">
        <f>MU!AB95</f>
        <v>58</v>
      </c>
      <c r="AC121" s="2">
        <f>MU!AC95</f>
        <v>85</v>
      </c>
      <c r="AD121" s="2">
        <f>MU!AD95</f>
        <v>71</v>
      </c>
      <c r="AE121" s="2">
        <f>MU!AE95</f>
        <v>78</v>
      </c>
      <c r="AF121" s="2">
        <f>MU!AF95</f>
        <v>61</v>
      </c>
      <c r="AG121" s="2">
        <f>MU!AG95</f>
        <v>63</v>
      </c>
      <c r="AH121" s="2">
        <f>MU!AH95</f>
        <v>70</v>
      </c>
      <c r="AI121" s="2">
        <f>MU!AI95</f>
        <v>74</v>
      </c>
      <c r="AJ121" s="2">
        <f>MU!AJ95</f>
        <v>67</v>
      </c>
      <c r="AK121" s="2">
        <f>MU!AK95</f>
        <v>39</v>
      </c>
      <c r="AL121" s="2">
        <f>MU!AL95</f>
        <v>52</v>
      </c>
      <c r="AM121" s="2">
        <f>MU!AM95</f>
        <v>50</v>
      </c>
      <c r="AN121" s="2">
        <f>MU!AN95</f>
        <v>38</v>
      </c>
      <c r="AO121" s="2">
        <f>MU!AO95</f>
        <v>42</v>
      </c>
      <c r="AP121" s="2">
        <f>MU!AP95</f>
        <v>27</v>
      </c>
      <c r="AQ121" s="2">
        <f>MU!AQ95</f>
        <v>40</v>
      </c>
      <c r="AR121" s="2">
        <f>MU!AR95</f>
        <v>29</v>
      </c>
      <c r="AS121" s="2">
        <f>MU!AS95</f>
        <v>33</v>
      </c>
      <c r="AT121" s="2">
        <f>MU!AT95</f>
        <v>26</v>
      </c>
      <c r="AU121" s="2">
        <f>MU!AU95</f>
        <v>27</v>
      </c>
      <c r="AV121" s="2">
        <f>MU!AV95</f>
        <v>26</v>
      </c>
      <c r="AW121" s="2">
        <f>MU!AW95</f>
        <v>44</v>
      </c>
      <c r="AX121" s="2">
        <f>MU!AX95</f>
        <v>99</v>
      </c>
      <c r="AY121" s="2">
        <f>MU!AY95</f>
        <v>172</v>
      </c>
      <c r="AZ121" s="2">
        <f>MU!AZ95</f>
        <v>132</v>
      </c>
      <c r="BA121" s="2">
        <f>MU!BA95</f>
        <v>124</v>
      </c>
      <c r="BB121" s="2">
        <f>MU!BB95</f>
        <v>112</v>
      </c>
      <c r="BC121" s="8"/>
    </row>
    <row r="122" spans="1:55" ht="13.5" customHeight="1" x14ac:dyDescent="0.2">
      <c r="A122" s="7"/>
      <c r="B122" s="3"/>
      <c r="C122" s="3" t="s">
        <v>5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>
        <f>MU!W96</f>
        <v>2</v>
      </c>
      <c r="X122" s="2">
        <f>MU!X96</f>
        <v>10</v>
      </c>
      <c r="Y122" s="2">
        <f>MU!Y96</f>
        <v>3</v>
      </c>
      <c r="Z122" s="2">
        <f>MU!Z96</f>
        <v>4</v>
      </c>
      <c r="AA122" s="2">
        <f>MU!AA96</f>
        <v>6</v>
      </c>
      <c r="AB122" s="2">
        <f>MU!AB96</f>
        <v>3</v>
      </c>
      <c r="AC122" s="2">
        <f>MU!AC96</f>
        <v>4</v>
      </c>
      <c r="AD122" s="2">
        <f>MU!AD96</f>
        <v>6</v>
      </c>
      <c r="AE122" s="2">
        <f>MU!AE96</f>
        <v>9</v>
      </c>
      <c r="AF122" s="2">
        <f>MU!AF96</f>
        <v>7</v>
      </c>
      <c r="AG122" s="2">
        <f>MU!AG96</f>
        <v>9</v>
      </c>
      <c r="AH122" s="2">
        <f>MU!AH96</f>
        <v>3</v>
      </c>
      <c r="AI122" s="2">
        <f>MU!AI96</f>
        <v>7</v>
      </c>
      <c r="AJ122" s="2">
        <f>MU!AJ96</f>
        <v>8</v>
      </c>
      <c r="AK122" s="2">
        <f>MU!AK96</f>
        <v>4</v>
      </c>
      <c r="AL122" s="2">
        <f>MU!AL96</f>
        <v>6</v>
      </c>
      <c r="AM122" s="2">
        <f>MU!AM96</f>
        <v>6</v>
      </c>
      <c r="AN122" s="2">
        <f>MU!AN96</f>
        <v>5</v>
      </c>
      <c r="AO122" s="2">
        <f>MU!AO96</f>
        <v>8</v>
      </c>
      <c r="AP122" s="2">
        <f>MU!AP96</f>
        <v>5</v>
      </c>
      <c r="AQ122" s="2">
        <f>MU!AQ96</f>
        <v>7</v>
      </c>
      <c r="AR122" s="2">
        <f>MU!AR96</f>
        <v>4</v>
      </c>
      <c r="AS122" s="2">
        <f>MU!AS96</f>
        <v>7</v>
      </c>
      <c r="AT122" s="2">
        <f>MU!AT96</f>
        <v>11</v>
      </c>
      <c r="AU122" s="2">
        <f>MU!AU96</f>
        <v>3</v>
      </c>
      <c r="AV122" s="2">
        <f>MU!AV96</f>
        <v>7</v>
      </c>
      <c r="AW122" s="2">
        <f>MU!AW96</f>
        <v>5</v>
      </c>
      <c r="AX122" s="2">
        <f>MU!AX96</f>
        <v>5</v>
      </c>
      <c r="AY122" s="2">
        <f>MU!AY96</f>
        <v>3</v>
      </c>
      <c r="AZ122" s="2">
        <f>MU!AZ96</f>
        <v>1</v>
      </c>
      <c r="BA122" s="2">
        <f>MU!BA96</f>
        <v>7</v>
      </c>
      <c r="BB122" s="2">
        <f>MU!BB96</f>
        <v>3</v>
      </c>
      <c r="BC122" s="8"/>
    </row>
    <row r="123" spans="1:55" ht="13.5" hidden="1" customHeight="1" x14ac:dyDescent="0.2">
      <c r="A123" s="7"/>
      <c r="B123" s="3"/>
      <c r="C123" s="3" t="s">
        <v>7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2">
        <f>MU!AH97</f>
        <v>3</v>
      </c>
      <c r="AI123" s="2">
        <f>MU!AI97</f>
        <v>0</v>
      </c>
      <c r="AJ123" s="2">
        <f>MU!AJ97</f>
        <v>0</v>
      </c>
      <c r="AK123" s="2">
        <f>MU!AK97</f>
        <v>0</v>
      </c>
      <c r="AL123" s="2">
        <f>MU!AL97</f>
        <v>0</v>
      </c>
      <c r="AM123" s="2">
        <f>MU!AM97</f>
        <v>1</v>
      </c>
      <c r="AN123" s="2">
        <f>MU!AN97</f>
        <v>0</v>
      </c>
      <c r="AO123" s="2">
        <f>MU!AO97</f>
        <v>0</v>
      </c>
      <c r="AP123" s="2">
        <f>MU!AP97</f>
        <v>0</v>
      </c>
      <c r="AQ123" s="3">
        <f>MU!AQ97</f>
        <v>1</v>
      </c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8"/>
    </row>
    <row r="124" spans="1:55" ht="13.5" customHeight="1" x14ac:dyDescent="0.2">
      <c r="A124" s="7"/>
      <c r="B124" s="3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11">
        <f t="shared" ref="W124:AA124" si="83">SUM(W121:W122)</f>
        <v>54</v>
      </c>
      <c r="X124" s="11">
        <f t="shared" si="83"/>
        <v>61</v>
      </c>
      <c r="Y124" s="11">
        <f t="shared" si="83"/>
        <v>35</v>
      </c>
      <c r="Z124" s="11">
        <f t="shared" si="83"/>
        <v>44</v>
      </c>
      <c r="AA124" s="11">
        <f t="shared" si="83"/>
        <v>44</v>
      </c>
      <c r="AB124" s="11">
        <f t="shared" ref="AB124:AD124" si="84">SUM(AB121:AB122)</f>
        <v>61</v>
      </c>
      <c r="AC124" s="11">
        <f t="shared" si="84"/>
        <v>89</v>
      </c>
      <c r="AD124" s="11">
        <f t="shared" si="84"/>
        <v>77</v>
      </c>
      <c r="AE124" s="11">
        <f t="shared" ref="AE124:AF124" si="85">SUM(AE121:AE122)</f>
        <v>87</v>
      </c>
      <c r="AF124" s="11">
        <f t="shared" si="85"/>
        <v>68</v>
      </c>
      <c r="AG124" s="11">
        <f>SUM(AG121:AG122)</f>
        <v>72</v>
      </c>
      <c r="AH124" s="11">
        <f t="shared" ref="AH124:AQ124" si="86">SUM(AH121:AH123)</f>
        <v>76</v>
      </c>
      <c r="AI124" s="11">
        <f t="shared" si="86"/>
        <v>81</v>
      </c>
      <c r="AJ124" s="11">
        <f t="shared" si="86"/>
        <v>75</v>
      </c>
      <c r="AK124" s="11">
        <f t="shared" si="86"/>
        <v>43</v>
      </c>
      <c r="AL124" s="11">
        <f t="shared" si="86"/>
        <v>58</v>
      </c>
      <c r="AM124" s="11">
        <f t="shared" si="86"/>
        <v>57</v>
      </c>
      <c r="AN124" s="11">
        <f t="shared" si="86"/>
        <v>43</v>
      </c>
      <c r="AO124" s="11">
        <f t="shared" si="86"/>
        <v>50</v>
      </c>
      <c r="AP124" s="11">
        <f t="shared" si="86"/>
        <v>32</v>
      </c>
      <c r="AQ124" s="11">
        <f t="shared" si="86"/>
        <v>48</v>
      </c>
      <c r="AR124" s="11">
        <f>SUM(AR121:AR122)</f>
        <v>33</v>
      </c>
      <c r="AS124" s="11">
        <f t="shared" ref="AS124:AU124" si="87">SUM(AS121:AS122)</f>
        <v>40</v>
      </c>
      <c r="AT124" s="11">
        <f t="shared" si="87"/>
        <v>37</v>
      </c>
      <c r="AU124" s="11">
        <f t="shared" si="87"/>
        <v>30</v>
      </c>
      <c r="AV124" s="11">
        <f t="shared" ref="AV124:BA124" si="88">SUM(AV121:AV122)</f>
        <v>33</v>
      </c>
      <c r="AW124" s="11">
        <f t="shared" si="88"/>
        <v>49</v>
      </c>
      <c r="AX124" s="11">
        <f t="shared" si="88"/>
        <v>104</v>
      </c>
      <c r="AY124" s="11">
        <f t="shared" si="88"/>
        <v>175</v>
      </c>
      <c r="AZ124" s="11">
        <f t="shared" si="88"/>
        <v>133</v>
      </c>
      <c r="BA124" s="11">
        <f t="shared" si="88"/>
        <v>131</v>
      </c>
      <c r="BB124" s="11">
        <f t="shared" ref="BB124" si="89">SUM(BB121:BB122)</f>
        <v>115</v>
      </c>
      <c r="BC124" s="8"/>
    </row>
    <row r="125" spans="1:55" ht="13.5" customHeight="1" x14ac:dyDescent="0.2">
      <c r="A125" s="7"/>
      <c r="B125" s="33" t="s">
        <v>82</v>
      </c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8"/>
    </row>
    <row r="126" spans="1:55" ht="13.5" customHeight="1" x14ac:dyDescent="0.2">
      <c r="A126" s="7"/>
      <c r="B126" s="3"/>
      <c r="C126" s="3" t="s">
        <v>0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>
        <f>MU!W100+UMKC!W75+'S&amp;T'!W52+UMSL!W68</f>
        <v>20</v>
      </c>
      <c r="X126" s="2">
        <f>MU!X100+UMKC!X75+'S&amp;T'!X52+UMSL!X68</f>
        <v>11</v>
      </c>
      <c r="Y126" s="2">
        <f>MU!Y100+UMKC!Y75+'S&amp;T'!Y52+UMSL!Y68</f>
        <v>15</v>
      </c>
      <c r="Z126" s="2">
        <f>MU!Z100+UMKC!Z75+'S&amp;T'!Z52+UMSL!Z68</f>
        <v>16</v>
      </c>
      <c r="AA126" s="2">
        <f>MU!AA100+UMKC!AA75+'S&amp;T'!AA52+UMSL!AA68</f>
        <v>28</v>
      </c>
      <c r="AB126" s="2">
        <f>MU!AB100+UMKC!AB75+'S&amp;T'!AB52+UMSL!AB68</f>
        <v>49</v>
      </c>
      <c r="AC126" s="2">
        <f>MU!AC100+UMKC!AC75+'S&amp;T'!AC52+UMSL!AC68</f>
        <v>48</v>
      </c>
      <c r="AD126" s="2">
        <f>MU!AD100+UMKC!AD75+'S&amp;T'!AD52+UMSL!AD68</f>
        <v>45</v>
      </c>
      <c r="AE126" s="2">
        <f>MU!AE100+UMKC!AE75+'S&amp;T'!AE52+UMSL!AE68</f>
        <v>44</v>
      </c>
      <c r="AF126" s="2">
        <f>MU!AF100+UMKC!AF75+'S&amp;T'!AF52+UMSL!AF68</f>
        <v>27</v>
      </c>
      <c r="AG126" s="2">
        <f>MU!AG100+UMKC!AG75+'S&amp;T'!AG52+UMSL!AG68</f>
        <v>35</v>
      </c>
      <c r="AH126" s="2">
        <f>MU!AH100+UMKC!AH75+'S&amp;T'!AH52+UMSL!AH68</f>
        <v>51</v>
      </c>
      <c r="AI126" s="2">
        <f>MU!AI100+UMKC!AI75+'S&amp;T'!AI52+UMSL!AI68</f>
        <v>39</v>
      </c>
      <c r="AJ126" s="2">
        <f>MU!AJ100+UMKC!AJ75+'S&amp;T'!AJ52+UMSL!AJ68</f>
        <v>46</v>
      </c>
      <c r="AK126" s="2">
        <f>MU!AK100+UMKC!AK75+'S&amp;T'!AK52+UMSL!AK68</f>
        <v>41</v>
      </c>
      <c r="AL126" s="2">
        <f>MU!AL100+UMKC!AL75+'S&amp;T'!AL52+UMSL!AL68</f>
        <v>44</v>
      </c>
      <c r="AM126" s="2">
        <f>MU!AM100+UMKC!AM75+'S&amp;T'!AM52+UMSL!AM68</f>
        <v>48</v>
      </c>
      <c r="AN126" s="2">
        <f>MU!AN100+UMKC!AN75+'S&amp;T'!AN52+UMSL!AN68</f>
        <v>49</v>
      </c>
      <c r="AO126" s="2">
        <f>MU!AO100+UMKC!AO75+'S&amp;T'!AO52+UMSL!AO68</f>
        <v>59</v>
      </c>
      <c r="AP126" s="2">
        <f>MU!AP100+UMKC!AP75+'S&amp;T'!AP52+UMSL!AP68</f>
        <v>52</v>
      </c>
      <c r="AQ126" s="2">
        <f>MU!AQ100+UMKC!AQ75+'S&amp;T'!AQ52+UMSL!AQ68</f>
        <v>62</v>
      </c>
      <c r="AR126" s="2">
        <f>MU!AR100+UMKC!AR75+'S&amp;T'!AR52+UMSL!AR68</f>
        <v>49</v>
      </c>
      <c r="AS126" s="2">
        <f>MU!AS100+UMKC!AS75+'S&amp;T'!AS52+UMSL!AS68</f>
        <v>62</v>
      </c>
      <c r="AT126" s="2">
        <f>MU!AT100+UMKC!AT75+'S&amp;T'!AT52+UMSL!AT68</f>
        <v>64</v>
      </c>
      <c r="AU126" s="2">
        <f>MU!AU100+UMKC!AU75+'S&amp;T'!AU52+UMSL!AU68</f>
        <v>52</v>
      </c>
      <c r="AV126" s="2">
        <f>MU!AV100+UMKC!AV75+'S&amp;T'!AV52+UMSL!AV68</f>
        <v>48</v>
      </c>
      <c r="AW126" s="2">
        <f>MU!AW100+UMKC!AW75+'S&amp;T'!AW52+UMSL!AW68</f>
        <v>44</v>
      </c>
      <c r="AX126" s="2">
        <f>MU!AX100+UMKC!AX75+'S&amp;T'!AX52+UMSL!AX68</f>
        <v>57</v>
      </c>
      <c r="AY126" s="2">
        <f>MU!AY100+UMKC!AY75+'S&amp;T'!AY52+UMSL!AY68</f>
        <v>56</v>
      </c>
      <c r="AZ126" s="2">
        <f>MU!AZ100+UMKC!AZ75+'S&amp;T'!AZ52+UMSL!AZ68</f>
        <v>56</v>
      </c>
      <c r="BA126" s="2">
        <f>MU!BA100+UMKC!BA75+'S&amp;T'!BA52+UMSL!BA68</f>
        <v>47</v>
      </c>
      <c r="BB126" s="2">
        <f>MU!BB100+UMKC!BB75+'S&amp;T'!BB52+UMSL!BB68</f>
        <v>34</v>
      </c>
      <c r="BC126" s="8"/>
    </row>
    <row r="127" spans="1:55" ht="13.5" customHeight="1" x14ac:dyDescent="0.2">
      <c r="A127" s="7"/>
      <c r="B127" s="3"/>
      <c r="C127" s="3" t="s">
        <v>9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>
        <f>UMKC!AV76</f>
        <v>0</v>
      </c>
      <c r="AW127" s="2">
        <f>UMKC!AW76</f>
        <v>0</v>
      </c>
      <c r="AX127" s="2">
        <f>UMKC!AX76</f>
        <v>0</v>
      </c>
      <c r="AY127" s="2">
        <f>UMKC!AY76</f>
        <v>1</v>
      </c>
      <c r="AZ127" s="2">
        <f>UMKC!AZ76</f>
        <v>0</v>
      </c>
      <c r="BA127" s="2">
        <f>UMKC!BA76</f>
        <v>0</v>
      </c>
      <c r="BB127" s="2">
        <f>UMKC!BB76</f>
        <v>1</v>
      </c>
      <c r="BC127" s="8"/>
    </row>
    <row r="128" spans="1:55" ht="13.5" customHeight="1" x14ac:dyDescent="0.2">
      <c r="A128" s="7"/>
      <c r="B128" s="3"/>
      <c r="C128" s="3" t="s">
        <v>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>
        <f>MU!W101</f>
        <v>0</v>
      </c>
      <c r="X128" s="2">
        <f>MU!X101</f>
        <v>0</v>
      </c>
      <c r="Y128" s="2">
        <f>MU!Y101</f>
        <v>2</v>
      </c>
      <c r="Z128" s="2">
        <f>MU!Z101</f>
        <v>2</v>
      </c>
      <c r="AA128" s="2">
        <f>MU!AA101</f>
        <v>6</v>
      </c>
      <c r="AB128" s="2">
        <f>MU!AB101</f>
        <v>2</v>
      </c>
      <c r="AC128" s="2">
        <f>MU!AC101</f>
        <v>1</v>
      </c>
      <c r="AD128" s="2">
        <f>MU!AD101</f>
        <v>6</v>
      </c>
      <c r="AE128" s="2">
        <f>MU!AE101</f>
        <v>6</v>
      </c>
      <c r="AF128" s="2">
        <f>MU!AF101</f>
        <v>6</v>
      </c>
      <c r="AG128" s="2">
        <f>MU!AG101</f>
        <v>1</v>
      </c>
      <c r="AH128" s="2">
        <f>MU!AH101</f>
        <v>4</v>
      </c>
      <c r="AI128" s="2">
        <f>MU!AI101</f>
        <v>3</v>
      </c>
      <c r="AJ128" s="2">
        <f>MU!AJ101</f>
        <v>3</v>
      </c>
      <c r="AK128" s="2">
        <f>MU!AK101+UMSL!AK69</f>
        <v>4</v>
      </c>
      <c r="AL128" s="2">
        <f>MU!AL101+UMSL!AL69</f>
        <v>8</v>
      </c>
      <c r="AM128" s="2">
        <f>MU!AM101+UMSL!AM69</f>
        <v>7</v>
      </c>
      <c r="AN128" s="2">
        <f>MU!AN101+UMSL!AN69</f>
        <v>5</v>
      </c>
      <c r="AO128" s="2">
        <f>MU!AO101+UMSL!AO69</f>
        <v>5</v>
      </c>
      <c r="AP128" s="2">
        <f>MU!AP101+UMSL!AP69</f>
        <v>20</v>
      </c>
      <c r="AQ128" s="2">
        <f>MU!AQ101+UMSL!AQ69</f>
        <v>17</v>
      </c>
      <c r="AR128" s="2">
        <f>MU!AR101+UMSL!AR69</f>
        <v>17</v>
      </c>
      <c r="AS128" s="2">
        <f>MU!AS101+UMSL!AS69</f>
        <v>21</v>
      </c>
      <c r="AT128" s="2">
        <f>MU!AT101+UMSL!AT69</f>
        <v>23</v>
      </c>
      <c r="AU128" s="2">
        <f>MU!AU101+UMSL!AU69</f>
        <v>21</v>
      </c>
      <c r="AV128" s="2">
        <f>MU!AV101+UMSL!AV69</f>
        <v>21</v>
      </c>
      <c r="AW128" s="2">
        <f>MU!AW101+UMSL!AW69</f>
        <v>30</v>
      </c>
      <c r="AX128" s="2">
        <f>MU!AX101+UMSL!AX69</f>
        <v>15</v>
      </c>
      <c r="AY128" s="2">
        <f>MU!AY101+UMSL!AY69</f>
        <v>16</v>
      </c>
      <c r="AZ128" s="2">
        <f>MU!AZ101+UMSL!AZ69</f>
        <v>16</v>
      </c>
      <c r="BA128" s="2">
        <f>MU!BA101+UMSL!BA69</f>
        <v>11</v>
      </c>
      <c r="BB128" s="2">
        <f>MU!BB101+UMSL!BB69</f>
        <v>11</v>
      </c>
      <c r="BC128" s="8"/>
    </row>
    <row r="129" spans="1:55" ht="13.5" customHeight="1" x14ac:dyDescent="0.2">
      <c r="A129" s="7"/>
      <c r="B129" s="3"/>
      <c r="C129" s="3" t="s">
        <v>7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>
        <f>MU!W102</f>
        <v>1</v>
      </c>
      <c r="X129" s="2">
        <f>MU!X102</f>
        <v>1</v>
      </c>
      <c r="Y129" s="2">
        <f>MU!Y102</f>
        <v>1</v>
      </c>
      <c r="Z129" s="2">
        <f>MU!Z102</f>
        <v>0</v>
      </c>
      <c r="AA129" s="2">
        <f>MU!AA102</f>
        <v>3</v>
      </c>
      <c r="AB129" s="2">
        <f>MU!AB102</f>
        <v>3</v>
      </c>
      <c r="AC129" s="2">
        <f>MU!AC102</f>
        <v>1</v>
      </c>
      <c r="AD129" s="2">
        <f>MU!AD102</f>
        <v>3</v>
      </c>
      <c r="AE129" s="2">
        <f>MU!AE102</f>
        <v>2</v>
      </c>
      <c r="AF129" s="2">
        <f>MU!AF102</f>
        <v>3</v>
      </c>
      <c r="AG129" s="2">
        <f>MU!AG102</f>
        <v>1</v>
      </c>
      <c r="AH129" s="2">
        <f>MU!AH102</f>
        <v>1</v>
      </c>
      <c r="AI129" s="2">
        <f>MU!AI102</f>
        <v>0</v>
      </c>
      <c r="AJ129" s="2">
        <f>MU!AJ102</f>
        <v>2</v>
      </c>
      <c r="AK129" s="2">
        <f>MU!AK102</f>
        <v>4</v>
      </c>
      <c r="AL129" s="2">
        <f>MU!AL102</f>
        <v>2</v>
      </c>
      <c r="AM129" s="2">
        <f>MU!AM102</f>
        <v>1</v>
      </c>
      <c r="AN129" s="2">
        <f>MU!AN102</f>
        <v>0</v>
      </c>
      <c r="AO129" s="2">
        <f>MU!AO102</f>
        <v>3</v>
      </c>
      <c r="AP129" s="2">
        <f>MU!AP102</f>
        <v>2</v>
      </c>
      <c r="AQ129" s="2">
        <f>MU!AQ102</f>
        <v>5</v>
      </c>
      <c r="AR129" s="2">
        <f>MU!AR102</f>
        <v>7</v>
      </c>
      <c r="AS129" s="2">
        <f>MU!AS102</f>
        <v>6</v>
      </c>
      <c r="AT129" s="2">
        <f>MU!AT102</f>
        <v>3</v>
      </c>
      <c r="AU129" s="2">
        <f>MU!AU102</f>
        <v>1</v>
      </c>
      <c r="AV129" s="2">
        <f>MU!AV102</f>
        <v>7</v>
      </c>
      <c r="AW129" s="2">
        <f>MU!AW102</f>
        <v>0</v>
      </c>
      <c r="AX129" s="2">
        <f>MU!AX102</f>
        <v>4</v>
      </c>
      <c r="AY129" s="2">
        <f>MU!AY102</f>
        <v>2</v>
      </c>
      <c r="AZ129" s="2">
        <f>MU!AZ102</f>
        <v>4</v>
      </c>
      <c r="BA129" s="2">
        <f>MU!BA102</f>
        <v>3</v>
      </c>
      <c r="BB129" s="2">
        <f>MU!BB102</f>
        <v>5</v>
      </c>
      <c r="BC129" s="8"/>
    </row>
    <row r="130" spans="1:55" ht="13.5" customHeight="1" x14ac:dyDescent="0.2">
      <c r="A130" s="7"/>
      <c r="B130" s="3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11">
        <f t="shared" ref="W130:AA130" si="90">SUM(W126:W129)</f>
        <v>21</v>
      </c>
      <c r="X130" s="11">
        <f t="shared" si="90"/>
        <v>12</v>
      </c>
      <c r="Y130" s="11">
        <f t="shared" si="90"/>
        <v>18</v>
      </c>
      <c r="Z130" s="11">
        <f t="shared" si="90"/>
        <v>18</v>
      </c>
      <c r="AA130" s="11">
        <f t="shared" si="90"/>
        <v>37</v>
      </c>
      <c r="AB130" s="11">
        <f t="shared" ref="AB130:AD130" si="91">SUM(AB126:AB129)</f>
        <v>54</v>
      </c>
      <c r="AC130" s="11">
        <f t="shared" si="91"/>
        <v>50</v>
      </c>
      <c r="AD130" s="11">
        <f t="shared" si="91"/>
        <v>54</v>
      </c>
      <c r="AE130" s="11">
        <f t="shared" ref="AE130:AG130" si="92">SUM(AE126:AE129)</f>
        <v>52</v>
      </c>
      <c r="AF130" s="11">
        <f t="shared" si="92"/>
        <v>36</v>
      </c>
      <c r="AG130" s="11">
        <f t="shared" si="92"/>
        <v>37</v>
      </c>
      <c r="AH130" s="11">
        <f>SUM(AH126:AH129)</f>
        <v>56</v>
      </c>
      <c r="AI130" s="11">
        <f t="shared" ref="AI130:AW130" si="93">SUM(AI126:AI129)</f>
        <v>42</v>
      </c>
      <c r="AJ130" s="11">
        <f t="shared" si="93"/>
        <v>51</v>
      </c>
      <c r="AK130" s="11">
        <f t="shared" si="93"/>
        <v>49</v>
      </c>
      <c r="AL130" s="11">
        <f t="shared" si="93"/>
        <v>54</v>
      </c>
      <c r="AM130" s="11">
        <f t="shared" si="93"/>
        <v>56</v>
      </c>
      <c r="AN130" s="11">
        <f t="shared" si="93"/>
        <v>54</v>
      </c>
      <c r="AO130" s="11">
        <f t="shared" si="93"/>
        <v>67</v>
      </c>
      <c r="AP130" s="11">
        <f t="shared" si="93"/>
        <v>74</v>
      </c>
      <c r="AQ130" s="11">
        <f t="shared" si="93"/>
        <v>84</v>
      </c>
      <c r="AR130" s="11">
        <f t="shared" si="93"/>
        <v>73</v>
      </c>
      <c r="AS130" s="11">
        <f t="shared" si="93"/>
        <v>89</v>
      </c>
      <c r="AT130" s="11">
        <f t="shared" si="93"/>
        <v>90</v>
      </c>
      <c r="AU130" s="11">
        <f t="shared" si="93"/>
        <v>74</v>
      </c>
      <c r="AV130" s="11">
        <f t="shared" si="93"/>
        <v>76</v>
      </c>
      <c r="AW130" s="11">
        <f t="shared" si="93"/>
        <v>74</v>
      </c>
      <c r="AX130" s="11">
        <f t="shared" ref="AX130" si="94">SUM(AX126:AX129)</f>
        <v>76</v>
      </c>
      <c r="AY130" s="11">
        <f>SUM(AY126:AY129)</f>
        <v>75</v>
      </c>
      <c r="AZ130" s="11">
        <f>SUM(AZ126:AZ129)</f>
        <v>76</v>
      </c>
      <c r="BA130" s="11">
        <f>SUM(BA126:BA129)</f>
        <v>61</v>
      </c>
      <c r="BB130" s="11">
        <f>SUM(BB126:BB129)</f>
        <v>51</v>
      </c>
      <c r="BC130" s="8"/>
    </row>
    <row r="131" spans="1:55" ht="13.5" customHeight="1" x14ac:dyDescent="0.2">
      <c r="A131" s="7"/>
      <c r="B131" s="33" t="s">
        <v>81</v>
      </c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8"/>
    </row>
    <row r="132" spans="1:55" ht="13.5" customHeight="1" x14ac:dyDescent="0.2">
      <c r="A132" s="7"/>
      <c r="B132" s="3"/>
      <c r="C132" s="3" t="s">
        <v>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>
        <f>MU!W105+UMKC!W79+'S&amp;T'!W54+UMSL!W72</f>
        <v>128</v>
      </c>
      <c r="X132" s="2">
        <f>MU!X105+UMKC!X79+'S&amp;T'!X54+UMSL!X72</f>
        <v>115</v>
      </c>
      <c r="Y132" s="2">
        <f>MU!Y105+UMKC!Y79+'S&amp;T'!Y54+UMSL!Y72</f>
        <v>102</v>
      </c>
      <c r="Z132" s="2">
        <f>MU!Z105+UMKC!Z79+'S&amp;T'!Z54+UMSL!Z72</f>
        <v>81</v>
      </c>
      <c r="AA132" s="2">
        <f>MU!AA105+UMKC!AA79+'S&amp;T'!AA54+UMSL!AA72</f>
        <v>75</v>
      </c>
      <c r="AB132" s="2">
        <f>MU!AB105+UMKC!AB79+'S&amp;T'!AB54+UMSL!AB72</f>
        <v>108</v>
      </c>
      <c r="AC132" s="2">
        <f>MU!AC105+UMKC!AC79+'S&amp;T'!AC54+UMSL!AC72</f>
        <v>123</v>
      </c>
      <c r="AD132" s="2">
        <f>MU!AD105+UMKC!AD79+'S&amp;T'!AD54+UMSL!AD72</f>
        <v>144</v>
      </c>
      <c r="AE132" s="2">
        <f>MU!AE105+UMKC!AE79+'S&amp;T'!AE54+UMSL!AE72</f>
        <v>130</v>
      </c>
      <c r="AF132" s="2">
        <f>MU!AF105+UMKC!AF79+'S&amp;T'!AF54+UMSL!AF72</f>
        <v>127</v>
      </c>
      <c r="AG132" s="2">
        <f>MU!AG105+UMKC!AG79+'S&amp;T'!AG54+UMSL!AG72</f>
        <v>139</v>
      </c>
      <c r="AH132" s="2">
        <f>MU!AH105+UMKC!AH79+'S&amp;T'!AH54+UMSL!AH72</f>
        <v>116</v>
      </c>
      <c r="AI132" s="2">
        <f>MU!AI105+UMKC!AI79+'S&amp;T'!AI54+UMSL!AI72</f>
        <v>148</v>
      </c>
      <c r="AJ132" s="2">
        <f>MU!AJ105+UMKC!AJ79+'S&amp;T'!AJ54+UMSL!AJ72</f>
        <v>126</v>
      </c>
      <c r="AK132" s="2">
        <f>MU!AK105+UMKC!AK79+'S&amp;T'!AK54+UMSL!AK72</f>
        <v>129</v>
      </c>
      <c r="AL132" s="2">
        <f>MU!AL105+UMKC!AL79+'S&amp;T'!AL54+UMSL!AL72</f>
        <v>139</v>
      </c>
      <c r="AM132" s="2">
        <f>MU!AM105+UMKC!AM79+'S&amp;T'!AM54+UMSL!AM72</f>
        <v>154</v>
      </c>
      <c r="AN132" s="2">
        <f>MU!AN105+UMKC!AN79+'S&amp;T'!AN54+UMSL!AN72</f>
        <v>146</v>
      </c>
      <c r="AO132" s="2">
        <f>MU!AO105+UMKC!AO79+'S&amp;T'!AO54+UMSL!AO72</f>
        <v>134</v>
      </c>
      <c r="AP132" s="2">
        <f>MU!AP105+UMKC!AP79+'S&amp;T'!AP54+UMSL!AP72</f>
        <v>180</v>
      </c>
      <c r="AQ132" s="2">
        <f>MU!AQ105+UMKC!AQ79+'S&amp;T'!AQ54+UMSL!AQ72</f>
        <v>161</v>
      </c>
      <c r="AR132" s="2">
        <f>MU!AR105+UMKC!AR79+'S&amp;T'!AR54+UMSL!AR72</f>
        <v>172</v>
      </c>
      <c r="AS132" s="2">
        <f>MU!AS105+UMKC!AS79+'S&amp;T'!AS54+UMSL!AS72</f>
        <v>204</v>
      </c>
      <c r="AT132" s="2">
        <f>MU!AT105+UMKC!AT79+'S&amp;T'!AT54+UMSL!AT72</f>
        <v>197</v>
      </c>
      <c r="AU132" s="2">
        <f>MU!AU105+UMKC!AU79+'S&amp;T'!AU54+UMSL!AU72</f>
        <v>194</v>
      </c>
      <c r="AV132" s="2">
        <f>MU!AV105+UMKC!AV79+'S&amp;T'!AV54+UMSL!AV72</f>
        <v>239</v>
      </c>
      <c r="AW132" s="2">
        <f>MU!AW105+UMKC!AW79+'S&amp;T'!AW54+UMSL!AW72</f>
        <v>270</v>
      </c>
      <c r="AX132" s="2">
        <f>MU!AX105+UMKC!AX79+'S&amp;T'!AX54+UMSL!AX72</f>
        <v>300</v>
      </c>
      <c r="AY132" s="2">
        <f>MU!AY105+UMKC!AY79+'S&amp;T'!AY54+UMSL!AY72</f>
        <v>305</v>
      </c>
      <c r="AZ132" s="2">
        <f>MU!AZ105+UMKC!AZ79+'S&amp;T'!AZ54+UMSL!AZ72</f>
        <v>304</v>
      </c>
      <c r="BA132" s="2">
        <f>MU!BA105+UMKC!BA79+'S&amp;T'!BA54+UMSL!BA72</f>
        <v>289</v>
      </c>
      <c r="BB132" s="2">
        <f>MU!BB105+UMKC!BB79+'S&amp;T'!BB54+UMSL!BB72</f>
        <v>301</v>
      </c>
      <c r="BC132" s="8"/>
    </row>
    <row r="133" spans="1:55" ht="13.5" customHeight="1" x14ac:dyDescent="0.2">
      <c r="A133" s="7"/>
      <c r="B133" s="3"/>
      <c r="C133" s="3" t="s">
        <v>9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>
        <f>MU!AU106</f>
        <v>0</v>
      </c>
      <c r="AV133" s="2">
        <f>MU!AV106</f>
        <v>0</v>
      </c>
      <c r="AW133" s="2">
        <f>MU!AW106</f>
        <v>0</v>
      </c>
      <c r="AX133" s="2">
        <f>MU!AX106</f>
        <v>0</v>
      </c>
      <c r="AY133" s="2">
        <f>MU!AY106</f>
        <v>29</v>
      </c>
      <c r="AZ133" s="2">
        <f>MU!AZ106</f>
        <v>0</v>
      </c>
      <c r="BA133" s="2">
        <f>MU!BA106</f>
        <v>0</v>
      </c>
      <c r="BB133" s="2">
        <f>MU!BB106</f>
        <v>0</v>
      </c>
      <c r="BC133" s="8"/>
    </row>
    <row r="134" spans="1:55" ht="13.5" customHeight="1" x14ac:dyDescent="0.2">
      <c r="A134" s="7"/>
      <c r="B134" s="3"/>
      <c r="C134" s="3" t="s">
        <v>5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>
        <f>MU!W107+UMKC!W80+'S&amp;T'!W55+UMSL!W73</f>
        <v>61</v>
      </c>
      <c r="X134" s="2">
        <f>MU!X107+UMKC!X80+'S&amp;T'!X55+UMSL!X73</f>
        <v>62</v>
      </c>
      <c r="Y134" s="2">
        <f>MU!Y107+UMKC!Y80+'S&amp;T'!Y55+UMSL!Y73</f>
        <v>61</v>
      </c>
      <c r="Z134" s="2">
        <f>MU!Z107+UMKC!Z80+'S&amp;T'!Z55+UMSL!Z73</f>
        <v>51</v>
      </c>
      <c r="AA134" s="2">
        <f>MU!AA107+UMKC!AA80+'S&amp;T'!AA55+UMSL!AA73</f>
        <v>50</v>
      </c>
      <c r="AB134" s="2">
        <f>MU!AB107+UMKC!AB80+'S&amp;T'!AB55+UMSL!AB73</f>
        <v>51</v>
      </c>
      <c r="AC134" s="2">
        <f>MU!AC107+UMKC!AC80+'S&amp;T'!AC55+UMSL!AC73</f>
        <v>60</v>
      </c>
      <c r="AD134" s="2">
        <f>MU!AD107+UMKC!AD80+'S&amp;T'!AD55+UMSL!AD73</f>
        <v>62</v>
      </c>
      <c r="AE134" s="2">
        <f>MU!AE107+UMKC!AE80+'S&amp;T'!AE55+UMSL!AE73</f>
        <v>56</v>
      </c>
      <c r="AF134" s="2">
        <f>MU!AF107+UMKC!AF80+'S&amp;T'!AF55+UMSL!AF73</f>
        <v>70</v>
      </c>
      <c r="AG134" s="2">
        <f>MU!AG107+UMKC!AG80+'S&amp;T'!AG55+UMSL!AG73</f>
        <v>57</v>
      </c>
      <c r="AH134" s="2">
        <f>MU!AH107+UMKC!AH80+'S&amp;T'!AH55+UMSL!AH73</f>
        <v>50</v>
      </c>
      <c r="AI134" s="2">
        <f>MU!AI107+UMKC!AI80+'S&amp;T'!AI55+UMSL!AI73</f>
        <v>56</v>
      </c>
      <c r="AJ134" s="2">
        <f>MU!AJ107+UMKC!AJ80+'S&amp;T'!AJ55+UMSL!AJ73</f>
        <v>48</v>
      </c>
      <c r="AK134" s="2">
        <f>MU!AK107+UMKC!AK80+'S&amp;T'!AK55+UMSL!AK73</f>
        <v>63</v>
      </c>
      <c r="AL134" s="2">
        <f>MU!AL107+UMKC!AL80+'S&amp;T'!AL55+UMSL!AL73</f>
        <v>56</v>
      </c>
      <c r="AM134" s="2">
        <f>MU!AM107+UMKC!AM80+'S&amp;T'!AM55+UMSL!AM73</f>
        <v>48</v>
      </c>
      <c r="AN134" s="2">
        <f>MU!AN107+UMKC!AN80+'S&amp;T'!AN55+UMSL!AN73</f>
        <v>66</v>
      </c>
      <c r="AO134" s="2">
        <f>MU!AO107+UMKC!AO80+'S&amp;T'!AO55+UMSL!AO73</f>
        <v>82</v>
      </c>
      <c r="AP134" s="2">
        <f>MU!AP107+UMKC!AP80+'S&amp;T'!AP55+UMSL!AP73</f>
        <v>75</v>
      </c>
      <c r="AQ134" s="2">
        <f>MU!AQ107+UMKC!AQ80+'S&amp;T'!AQ55+UMSL!AQ73</f>
        <v>69</v>
      </c>
      <c r="AR134" s="2">
        <f>MU!AR107+UMKC!AR80+'S&amp;T'!AR55+UMSL!AR73</f>
        <v>53</v>
      </c>
      <c r="AS134" s="2">
        <f>MU!AS107+UMKC!AS80+'S&amp;T'!AS55+UMSL!AS73</f>
        <v>51</v>
      </c>
      <c r="AT134" s="2">
        <f>MU!AT107+UMKC!AT80+'S&amp;T'!AT55+UMSL!AT73</f>
        <v>53</v>
      </c>
      <c r="AU134" s="2">
        <f>MU!AU107+UMKC!AU80+'S&amp;T'!AU55+UMSL!AU73</f>
        <v>61</v>
      </c>
      <c r="AV134" s="2">
        <f>MU!AV107+UMKC!AV80+'S&amp;T'!AV55+UMSL!AV73</f>
        <v>89</v>
      </c>
      <c r="AW134" s="2">
        <f>MU!AW107+UMKC!AW80+'S&amp;T'!AW55+UMSL!AW73</f>
        <v>76</v>
      </c>
      <c r="AX134" s="2">
        <f>MU!AX107+UMKC!AX80+'S&amp;T'!AX55+UMSL!AX73</f>
        <v>84</v>
      </c>
      <c r="AY134" s="2">
        <f>MU!AY107+UMKC!AY80+'S&amp;T'!AY55+UMSL!AY73</f>
        <v>92</v>
      </c>
      <c r="AZ134" s="2">
        <f>MU!AZ107+UMKC!AZ80+'S&amp;T'!AZ55+UMSL!AZ73</f>
        <v>104</v>
      </c>
      <c r="BA134" s="2">
        <f>MU!BA107+UMKC!BA80+'S&amp;T'!BA55+UMSL!BA73</f>
        <v>80</v>
      </c>
      <c r="BB134" s="2">
        <f>MU!BB107+UMKC!BB80+'S&amp;T'!BB55+UMSL!BB73</f>
        <v>58</v>
      </c>
      <c r="BC134" s="8"/>
    </row>
    <row r="135" spans="1:55" ht="13.5" customHeight="1" x14ac:dyDescent="0.2">
      <c r="A135" s="7"/>
      <c r="B135" s="3"/>
      <c r="C135" s="3" t="s">
        <v>7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>
        <f>MU!W108+UMKC!W81+'S&amp;T'!W56+UMSL!W74</f>
        <v>24</v>
      </c>
      <c r="X135" s="2">
        <f>MU!X108+UMKC!X81+'S&amp;T'!X56+UMSL!X74</f>
        <v>27</v>
      </c>
      <c r="Y135" s="2">
        <f>MU!Y108+UMKC!Y81+'S&amp;T'!Y56+UMSL!Y74</f>
        <v>21</v>
      </c>
      <c r="Z135" s="2">
        <f>MU!Z108+UMKC!Z81+'S&amp;T'!Z56+UMSL!Z74</f>
        <v>31</v>
      </c>
      <c r="AA135" s="2">
        <f>MU!AA108+UMKC!AA81+'S&amp;T'!AA56+UMSL!AA74</f>
        <v>36</v>
      </c>
      <c r="AB135" s="2">
        <f>MU!AB108+UMKC!AB81+'S&amp;T'!AB56+UMSL!AB74</f>
        <v>37</v>
      </c>
      <c r="AC135" s="2">
        <f>MU!AC108+UMKC!AC81+'S&amp;T'!AC56+UMSL!AC74</f>
        <v>28</v>
      </c>
      <c r="AD135" s="2">
        <f>MU!AD108+UMKC!AD81+'S&amp;T'!AD56+UMSL!AD74</f>
        <v>49</v>
      </c>
      <c r="AE135" s="2">
        <f>MU!AE108+UMKC!AE81+'S&amp;T'!AE56+UMSL!AE74</f>
        <v>36</v>
      </c>
      <c r="AF135" s="2">
        <f>MU!AF108+UMKC!AF81+'S&amp;T'!AF56+UMSL!AF74</f>
        <v>41</v>
      </c>
      <c r="AG135" s="2">
        <f>MU!AG108+UMKC!AG81+'S&amp;T'!AG56+UMSL!AG74</f>
        <v>42</v>
      </c>
      <c r="AH135" s="2">
        <f>MU!AH108+UMKC!AH81+'S&amp;T'!AH56+UMSL!AH74</f>
        <v>46</v>
      </c>
      <c r="AI135" s="2">
        <f>MU!AI108+'S&amp;T'!AI56+UMSL!AI74</f>
        <v>27</v>
      </c>
      <c r="AJ135" s="2">
        <f>MU!AJ108+'S&amp;T'!AJ56+UMSL!AJ74</f>
        <v>36</v>
      </c>
      <c r="AK135" s="2">
        <f>MU!AK108+'S&amp;T'!AK56+UMSL!AK74</f>
        <v>34</v>
      </c>
      <c r="AL135" s="2">
        <f>MU!AL108+'S&amp;T'!AL56+UMSL!AL74</f>
        <v>41</v>
      </c>
      <c r="AM135" s="2">
        <f>MU!AM108+'S&amp;T'!AM56+UMSL!AM74</f>
        <v>32</v>
      </c>
      <c r="AN135" s="2">
        <f>MU!AN108+'S&amp;T'!AN56+UMSL!AN74</f>
        <v>43</v>
      </c>
      <c r="AO135" s="2">
        <f>MU!AO108+'S&amp;T'!AO56+UMSL!AO74</f>
        <v>32</v>
      </c>
      <c r="AP135" s="2">
        <f>MU!AP108+'S&amp;T'!AP56+UMSL!AP74</f>
        <v>51</v>
      </c>
      <c r="AQ135" s="2">
        <f>MU!AQ108+'S&amp;T'!AQ56+UMSL!AQ74</f>
        <v>34</v>
      </c>
      <c r="AR135" s="2">
        <f>MU!AR108+'S&amp;T'!AR56+UMSL!AR74</f>
        <v>45</v>
      </c>
      <c r="AS135" s="2">
        <f>MU!AS108+'S&amp;T'!AS56+UMSL!AS74</f>
        <v>35</v>
      </c>
      <c r="AT135" s="2">
        <f>MU!AT108+'S&amp;T'!AT56+UMSL!AT74</f>
        <v>52</v>
      </c>
      <c r="AU135" s="2">
        <f>MU!AU108+'S&amp;T'!AU56+UMSL!AU74</f>
        <v>40</v>
      </c>
      <c r="AV135" s="2">
        <f>MU!AV108+'S&amp;T'!AV56+UMSL!AV74</f>
        <v>50</v>
      </c>
      <c r="AW135" s="2">
        <f>MU!AW108+'S&amp;T'!AW56+UMSL!AW74</f>
        <v>42</v>
      </c>
      <c r="AX135" s="2">
        <f>MU!AX108+'S&amp;T'!AX56+UMSL!AX74</f>
        <v>53</v>
      </c>
      <c r="AY135" s="2">
        <f>MU!AY108+'S&amp;T'!AY56+UMSL!AY74</f>
        <v>63</v>
      </c>
      <c r="AZ135" s="2">
        <f>MU!AZ108+'S&amp;T'!AZ56+UMSL!AZ74</f>
        <v>61</v>
      </c>
      <c r="BA135" s="2">
        <f>MU!BA108+'S&amp;T'!BA56+UMSL!BA74</f>
        <v>57</v>
      </c>
      <c r="BB135" s="2">
        <f>MU!BB108+'S&amp;T'!BB56+UMSL!BB74</f>
        <v>59</v>
      </c>
      <c r="BC135" s="8"/>
    </row>
    <row r="136" spans="1:55" ht="13.5" customHeight="1" x14ac:dyDescent="0.2">
      <c r="A136" s="7"/>
      <c r="B136" s="3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11">
        <f t="shared" ref="W136:AA136" si="95">SUM(W132:W135)</f>
        <v>213</v>
      </c>
      <c r="X136" s="11">
        <f t="shared" si="95"/>
        <v>204</v>
      </c>
      <c r="Y136" s="11">
        <f t="shared" si="95"/>
        <v>184</v>
      </c>
      <c r="Z136" s="11">
        <f t="shared" si="95"/>
        <v>163</v>
      </c>
      <c r="AA136" s="11">
        <f t="shared" si="95"/>
        <v>161</v>
      </c>
      <c r="AB136" s="11">
        <f t="shared" ref="AB136:AD136" si="96">SUM(AB132:AB135)</f>
        <v>196</v>
      </c>
      <c r="AC136" s="11">
        <f t="shared" si="96"/>
        <v>211</v>
      </c>
      <c r="AD136" s="11">
        <f t="shared" si="96"/>
        <v>255</v>
      </c>
      <c r="AE136" s="11">
        <f t="shared" ref="AE136:AG136" si="97">SUM(AE132:AE135)</f>
        <v>222</v>
      </c>
      <c r="AF136" s="11">
        <f t="shared" si="97"/>
        <v>238</v>
      </c>
      <c r="AG136" s="11">
        <f t="shared" si="97"/>
        <v>238</v>
      </c>
      <c r="AH136" s="11">
        <f t="shared" ref="AH136:AV136" si="98">SUM(AH132:AH135)</f>
        <v>212</v>
      </c>
      <c r="AI136" s="11">
        <f t="shared" si="98"/>
        <v>231</v>
      </c>
      <c r="AJ136" s="11">
        <f t="shared" si="98"/>
        <v>210</v>
      </c>
      <c r="AK136" s="11">
        <f t="shared" si="98"/>
        <v>226</v>
      </c>
      <c r="AL136" s="11">
        <f t="shared" si="98"/>
        <v>236</v>
      </c>
      <c r="AM136" s="11">
        <f t="shared" si="98"/>
        <v>234</v>
      </c>
      <c r="AN136" s="11">
        <f t="shared" si="98"/>
        <v>255</v>
      </c>
      <c r="AO136" s="11">
        <f t="shared" si="98"/>
        <v>248</v>
      </c>
      <c r="AP136" s="11">
        <f t="shared" si="98"/>
        <v>306</v>
      </c>
      <c r="AQ136" s="11">
        <f t="shared" si="98"/>
        <v>264</v>
      </c>
      <c r="AR136" s="11">
        <f t="shared" si="98"/>
        <v>270</v>
      </c>
      <c r="AS136" s="11">
        <f t="shared" si="98"/>
        <v>290</v>
      </c>
      <c r="AT136" s="11">
        <f t="shared" si="98"/>
        <v>302</v>
      </c>
      <c r="AU136" s="11">
        <f t="shared" si="98"/>
        <v>295</v>
      </c>
      <c r="AV136" s="11">
        <f t="shared" si="98"/>
        <v>378</v>
      </c>
      <c r="AW136" s="11">
        <f t="shared" ref="AW136:BB136" si="99">SUM(AW132:AW135)</f>
        <v>388</v>
      </c>
      <c r="AX136" s="11">
        <f t="shared" si="99"/>
        <v>437</v>
      </c>
      <c r="AY136" s="11">
        <f t="shared" si="99"/>
        <v>489</v>
      </c>
      <c r="AZ136" s="11">
        <f t="shared" si="99"/>
        <v>469</v>
      </c>
      <c r="BA136" s="11">
        <f t="shared" si="99"/>
        <v>426</v>
      </c>
      <c r="BB136" s="11">
        <f t="shared" si="99"/>
        <v>418</v>
      </c>
      <c r="BC136" s="8"/>
    </row>
    <row r="137" spans="1:55" ht="13.5" customHeight="1" x14ac:dyDescent="0.2">
      <c r="A137" s="7"/>
      <c r="B137" s="33" t="s">
        <v>80</v>
      </c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8"/>
    </row>
    <row r="138" spans="1:55" ht="13.5" customHeight="1" x14ac:dyDescent="0.2">
      <c r="A138" s="7"/>
      <c r="B138" s="33"/>
      <c r="C138" s="3" t="s">
        <v>10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>
        <f>UMSL!AY77</f>
        <v>7</v>
      </c>
      <c r="AZ138" s="2">
        <f>UMSL!AZ77</f>
        <v>2</v>
      </c>
      <c r="BA138" s="2">
        <f>UMSL!BA77</f>
        <v>9</v>
      </c>
      <c r="BB138" s="2">
        <f>UMSL!BB77</f>
        <v>6</v>
      </c>
      <c r="BC138" s="8"/>
    </row>
    <row r="139" spans="1:55" ht="13.5" customHeight="1" x14ac:dyDescent="0.2">
      <c r="A139" s="7"/>
      <c r="B139" s="3"/>
      <c r="C139" s="3" t="s">
        <v>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>
        <f>MU!W111+UMKC!W84+'S&amp;T'!W59+UMSL!W78</f>
        <v>228</v>
      </c>
      <c r="X139" s="2">
        <f>MU!X111+UMKC!X84+'S&amp;T'!X59+UMSL!X78</f>
        <v>209</v>
      </c>
      <c r="Y139" s="2">
        <f>MU!Y111+UMKC!Y84+'S&amp;T'!Y59+UMSL!Y78</f>
        <v>244</v>
      </c>
      <c r="Z139" s="2">
        <f>MU!Z111+UMKC!Z84+'S&amp;T'!Z59+UMSL!Z78</f>
        <v>262</v>
      </c>
      <c r="AA139" s="2">
        <f>MU!AA111+UMKC!AA84+'S&amp;T'!AA59+UMSL!AA78</f>
        <v>300</v>
      </c>
      <c r="AB139" s="2">
        <f>MU!AB111+UMKC!AB84+'S&amp;T'!AB59+UMSL!AB78</f>
        <v>325</v>
      </c>
      <c r="AC139" s="2">
        <f>MU!AC111+UMKC!AC84+'S&amp;T'!AC59+UMSL!AC78</f>
        <v>398</v>
      </c>
      <c r="AD139" s="2">
        <f>MU!AD111+UMKC!AD84+'S&amp;T'!AD59+UMSL!AD78</f>
        <v>356</v>
      </c>
      <c r="AE139" s="2">
        <f>MU!AE111+UMKC!AE84+'S&amp;T'!AE59+UMSL!AE78</f>
        <v>366</v>
      </c>
      <c r="AF139" s="2">
        <f>MU!AF111+UMKC!AF84+'S&amp;T'!AF59+UMSL!AF78</f>
        <v>347</v>
      </c>
      <c r="AG139" s="2">
        <f>MU!AG111+UMKC!AG84+'S&amp;T'!AG59+UMSL!AG78</f>
        <v>328</v>
      </c>
      <c r="AH139" s="2">
        <f>MU!AH111+UMKC!AH84+'S&amp;T'!AH59+UMSL!AH78</f>
        <v>386</v>
      </c>
      <c r="AI139" s="2">
        <f>MU!AI111+UMKC!AI84+'S&amp;T'!AI59+UMSL!AI78</f>
        <v>379</v>
      </c>
      <c r="AJ139" s="2">
        <f>MU!AJ111+UMKC!AJ84+'S&amp;T'!AJ59+UMSL!AJ78</f>
        <v>417</v>
      </c>
      <c r="AK139" s="2">
        <f>MU!AK111+UMKC!AK84+'S&amp;T'!AK59+UMSL!AK78</f>
        <v>419</v>
      </c>
      <c r="AL139" s="2">
        <f>MU!AL111+UMKC!AL84+'S&amp;T'!AL59+UMSL!AL78</f>
        <v>431</v>
      </c>
      <c r="AM139" s="2">
        <f>MU!AM111+UMKC!AM84+'S&amp;T'!AM59+UMSL!AM78</f>
        <v>433</v>
      </c>
      <c r="AN139" s="2">
        <f>MU!AN111+UMKC!AN84+'S&amp;T'!AN59+UMSL!AN78</f>
        <v>451</v>
      </c>
      <c r="AO139" s="2">
        <f>MU!AO111+UMKC!AO84+'S&amp;T'!AO59+UMSL!AO78</f>
        <v>454</v>
      </c>
      <c r="AP139" s="2">
        <f>MU!AP111+UMKC!AP84+'S&amp;T'!AP59+UMSL!AP78</f>
        <v>459</v>
      </c>
      <c r="AQ139" s="2">
        <f>MU!AQ111+UMKC!AQ84+'S&amp;T'!AQ59+UMSL!AQ78</f>
        <v>525</v>
      </c>
      <c r="AR139" s="2">
        <f>MU!AR111+UMKC!AR84+'S&amp;T'!AR59+UMSL!AR78</f>
        <v>470</v>
      </c>
      <c r="AS139" s="2">
        <f>MU!AS111+UMKC!AS84+'S&amp;T'!AS59+UMSL!AS78</f>
        <v>489</v>
      </c>
      <c r="AT139" s="2">
        <f>MU!AT111+UMKC!AT84+'S&amp;T'!AT59+UMSL!AT78</f>
        <v>492</v>
      </c>
      <c r="AU139" s="2">
        <f>MU!AU111+UMKC!AU84+'S&amp;T'!AU59+UMSL!AU78</f>
        <v>542</v>
      </c>
      <c r="AV139" s="2">
        <f>MU!AV111+UMKC!AV84+'S&amp;T'!AV59+UMSL!AV78</f>
        <v>596</v>
      </c>
      <c r="AW139" s="2">
        <f>MU!AW111+UMKC!AW84+'S&amp;T'!AW59+UMSL!AW78</f>
        <v>595</v>
      </c>
      <c r="AX139" s="2">
        <f>MU!AX111+UMKC!AX84+'S&amp;T'!AX59+UMSL!AX78</f>
        <v>540</v>
      </c>
      <c r="AY139" s="2">
        <f>MU!AY111+UMKC!AY84+'S&amp;T'!AY59+UMSL!AY78</f>
        <v>602</v>
      </c>
      <c r="AZ139" s="2">
        <f>MU!AZ111+UMKC!AZ84+'S&amp;T'!AZ59+UMSL!AZ78</f>
        <v>590</v>
      </c>
      <c r="BA139" s="2">
        <f>MU!BA111+UMKC!BA84+'S&amp;T'!BA59+UMSL!BA78</f>
        <v>585</v>
      </c>
      <c r="BB139" s="2">
        <f>MU!BB111+UMKC!BB84+'S&amp;T'!BB59+UMSL!BB78</f>
        <v>618</v>
      </c>
      <c r="BC139" s="8"/>
    </row>
    <row r="140" spans="1:55" ht="13.5" customHeight="1" x14ac:dyDescent="0.2">
      <c r="A140" s="7"/>
      <c r="B140" s="3"/>
      <c r="C140" s="3" t="s">
        <v>9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2">
        <f>UMSL!AF79</f>
        <v>0</v>
      </c>
      <c r="AG140" s="2">
        <f>UMSL!AG79</f>
        <v>0</v>
      </c>
      <c r="AH140" s="2">
        <f>UMSL!AH79</f>
        <v>0</v>
      </c>
      <c r="AI140" s="2">
        <f>UMSL!AI79</f>
        <v>0</v>
      </c>
      <c r="AJ140" s="2">
        <f>UMSL!AJ79</f>
        <v>0</v>
      </c>
      <c r="AK140" s="2">
        <f>UMSL!AK79</f>
        <v>0</v>
      </c>
      <c r="AL140" s="2">
        <f>UMSL!AL79</f>
        <v>0</v>
      </c>
      <c r="AM140" s="2">
        <f>UMSL!AM79</f>
        <v>0</v>
      </c>
      <c r="AN140" s="2">
        <f>UMSL!AN79</f>
        <v>1</v>
      </c>
      <c r="AO140" s="2">
        <f>UMSL!AO79</f>
        <v>0</v>
      </c>
      <c r="AP140" s="2">
        <f>UMSL!AP79</f>
        <v>2</v>
      </c>
      <c r="AQ140" s="2">
        <f>'S&amp;T'!AQ60+UMSL!AQ79</f>
        <v>7</v>
      </c>
      <c r="AR140" s="2">
        <f>'S&amp;T'!AR60+UMSL!AR79</f>
        <v>0</v>
      </c>
      <c r="AS140" s="2">
        <f>'S&amp;T'!AS60+UMSL!AS79</f>
        <v>4</v>
      </c>
      <c r="AT140" s="2">
        <f>'S&amp;T'!AT60+UMSL!AT79</f>
        <v>0</v>
      </c>
      <c r="AU140" s="2">
        <f>'S&amp;T'!AU60+UMSL!AU79</f>
        <v>3</v>
      </c>
      <c r="AV140" s="2">
        <f>MU!AV112+UMKC!AV85+'S&amp;T'!AV60+UMSL!AV79</f>
        <v>1</v>
      </c>
      <c r="AW140" s="2">
        <f>MU!AW112+UMKC!AW85+'S&amp;T'!AW60+UMSL!AW79</f>
        <v>2</v>
      </c>
      <c r="AX140" s="2">
        <f>MU!AX112+UMKC!AX85+'S&amp;T'!AX60+UMSL!AX79</f>
        <v>1</v>
      </c>
      <c r="AY140" s="2">
        <f>MU!AY112+UMKC!AY85+'S&amp;T'!AY60+UMSL!AY79</f>
        <v>3</v>
      </c>
      <c r="AZ140" s="2">
        <f>MU!AZ112+UMKC!AZ85+'S&amp;T'!AZ60+UMSL!AZ79</f>
        <v>7</v>
      </c>
      <c r="BA140" s="2">
        <f>MU!BA112+UMKC!BA85+'S&amp;T'!BA60+UMSL!BA79</f>
        <v>27</v>
      </c>
      <c r="BB140" s="2">
        <f>MU!BB112+UMKC!BB85+'S&amp;T'!BB60+UMSL!BB79</f>
        <v>24</v>
      </c>
      <c r="BC140" s="8"/>
    </row>
    <row r="141" spans="1:55" ht="13.5" customHeight="1" x14ac:dyDescent="0.2">
      <c r="A141" s="7"/>
      <c r="B141" s="3"/>
      <c r="C141" s="3" t="s">
        <v>5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>
        <f>MU!W113+UMKC!W86+UMSL!W80</f>
        <v>46</v>
      </c>
      <c r="X141" s="2">
        <f>MU!X113+UMKC!X86+UMSL!X80</f>
        <v>48</v>
      </c>
      <c r="Y141" s="2">
        <f>MU!Y113+UMKC!Y86+UMSL!Y80</f>
        <v>51</v>
      </c>
      <c r="Z141" s="2">
        <f>MU!Z113+UMKC!Z86+UMSL!Z80</f>
        <v>38</v>
      </c>
      <c r="AA141" s="2">
        <f>MU!AA113+UMKC!AA86+UMSL!AA80</f>
        <v>38</v>
      </c>
      <c r="AB141" s="2">
        <f>MU!AB113+UMKC!AB86+UMSL!AB80</f>
        <v>39</v>
      </c>
      <c r="AC141" s="2">
        <f>MU!AC113+UMKC!AC86+UMSL!AC80</f>
        <v>39</v>
      </c>
      <c r="AD141" s="2">
        <f>MU!AD113+UMKC!AD86+UMSL!AD80</f>
        <v>38</v>
      </c>
      <c r="AE141" s="2">
        <f>MU!AE113+UMKC!AE86+UMSL!AE80</f>
        <v>40</v>
      </c>
      <c r="AF141" s="2">
        <f>MU!AF113+UMKC!AF86+UMSL!AF80</f>
        <v>31</v>
      </c>
      <c r="AG141" s="2">
        <f>MU!AG113+UMKC!AG86+UMSL!AG80</f>
        <v>28</v>
      </c>
      <c r="AH141" s="2">
        <f>MU!AH113+UMKC!AH86+UMSL!AH80</f>
        <v>30</v>
      </c>
      <c r="AI141" s="2">
        <f>MU!AI113+UMKC!AI86+UMSL!AI80</f>
        <v>26</v>
      </c>
      <c r="AJ141" s="2">
        <f>MU!AJ113+UMKC!AJ86+UMSL!AJ80</f>
        <v>19</v>
      </c>
      <c r="AK141" s="2">
        <f>MU!AK113+UMKC!AK86+UMSL!AK80</f>
        <v>24</v>
      </c>
      <c r="AL141" s="2">
        <f>MU!AL113+UMKC!AL86+UMSL!AL80</f>
        <v>22</v>
      </c>
      <c r="AM141" s="2">
        <f>MU!AM113+UMKC!AM86+UMSL!AM80</f>
        <v>30</v>
      </c>
      <c r="AN141" s="2">
        <f>MU!AN113+UMKC!AN86+UMSL!AN80</f>
        <v>25</v>
      </c>
      <c r="AO141" s="2">
        <f>MU!AO113+UMKC!AO86+UMSL!AO80</f>
        <v>26</v>
      </c>
      <c r="AP141" s="2">
        <f>MU!AP113+UMKC!AP86+UMSL!AP80</f>
        <v>21</v>
      </c>
      <c r="AQ141" s="2">
        <f>MU!AQ113+UMKC!AQ86+UMSL!AQ80</f>
        <v>33</v>
      </c>
      <c r="AR141" s="2">
        <f>MU!AR113+UMKC!AR86+UMSL!AR80</f>
        <v>27</v>
      </c>
      <c r="AS141" s="2">
        <f>MU!AS113+UMKC!AS86+UMSL!AS80</f>
        <v>35</v>
      </c>
      <c r="AT141" s="2">
        <f>MU!AT113+UMKC!AT86+UMSL!AT80</f>
        <v>27</v>
      </c>
      <c r="AU141" s="2">
        <f>MU!AU113+UMKC!AU86+UMSL!AU80</f>
        <v>40</v>
      </c>
      <c r="AV141" s="2">
        <f>MU!AV113+UMKC!AV86+UMSL!AV80</f>
        <v>32</v>
      </c>
      <c r="AW141" s="2">
        <f>MU!AW113+UMKC!AW86+UMSL!AW80</f>
        <v>36</v>
      </c>
      <c r="AX141" s="2">
        <f>MU!AX113+UMKC!AX86+'S&amp;T'!AX61+UMSL!AX80</f>
        <v>48</v>
      </c>
      <c r="AY141" s="2">
        <f>MU!AY113+UMKC!AY86+'S&amp;T'!AY61+UMSL!AY80</f>
        <v>38</v>
      </c>
      <c r="AZ141" s="2">
        <f>MU!AZ113+UMKC!AZ86+'S&amp;T'!AZ61+UMSL!AZ80</f>
        <v>44</v>
      </c>
      <c r="BA141" s="2">
        <f>MU!BA113+UMKC!BA86+'S&amp;T'!BA61+UMSL!BA80</f>
        <v>52</v>
      </c>
      <c r="BB141" s="2">
        <f>MU!BB113+UMKC!BB86+'S&amp;T'!BB61+UMSL!BB80</f>
        <v>57</v>
      </c>
      <c r="BC141" s="8"/>
    </row>
    <row r="142" spans="1:55" ht="13.5" customHeight="1" x14ac:dyDescent="0.2">
      <c r="A142" s="7"/>
      <c r="B142" s="3"/>
      <c r="C142" s="3" t="s">
        <v>11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>
        <f>UMSL!AO81</f>
        <v>0</v>
      </c>
      <c r="AP142" s="2">
        <f>UMSL!AP81</f>
        <v>2</v>
      </c>
      <c r="AQ142" s="2">
        <f>UMSL!AQ81</f>
        <v>2</v>
      </c>
      <c r="AR142" s="2">
        <f>UMSL!AR81</f>
        <v>6</v>
      </c>
      <c r="AS142" s="2">
        <f>UMSL!AS81</f>
        <v>17</v>
      </c>
      <c r="AT142" s="2">
        <f>UMSL!AT81</f>
        <v>9</v>
      </c>
      <c r="AU142" s="2">
        <f>UMSL!AU81</f>
        <v>6</v>
      </c>
      <c r="AV142" s="2">
        <f>UMSL!AV81</f>
        <v>13</v>
      </c>
      <c r="AW142" s="2">
        <f>UMSL!AW81</f>
        <v>8</v>
      </c>
      <c r="AX142" s="2">
        <f>UMSL!AX81</f>
        <v>9</v>
      </c>
      <c r="AY142" s="2">
        <f>UMSL!AY81</f>
        <v>7</v>
      </c>
      <c r="AZ142" s="2">
        <f>UMSL!AZ81</f>
        <v>9</v>
      </c>
      <c r="BA142" s="2">
        <f>UMSL!BA81</f>
        <v>13</v>
      </c>
      <c r="BB142" s="2">
        <f>UMSL!BB81</f>
        <v>7</v>
      </c>
      <c r="BC142" s="8"/>
    </row>
    <row r="143" spans="1:55" ht="13.5" customHeight="1" x14ac:dyDescent="0.2">
      <c r="A143" s="7"/>
      <c r="B143" s="3"/>
      <c r="C143" s="3" t="s">
        <v>7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>
        <f>MU!W114+UMKC!W87+UMSL!W82</f>
        <v>36</v>
      </c>
      <c r="X143" s="2">
        <f>MU!X114+UMKC!X87+UMSL!X82</f>
        <v>28</v>
      </c>
      <c r="Y143" s="2">
        <f>MU!Y114+UMKC!Y87+UMSL!Y82</f>
        <v>32</v>
      </c>
      <c r="Z143" s="2">
        <f>MU!Z114+UMKC!Z87+UMSL!Z82</f>
        <v>31</v>
      </c>
      <c r="AA143" s="2">
        <f>MU!AA114+UMKC!AA87+UMSL!AA82</f>
        <v>44</v>
      </c>
      <c r="AB143" s="2">
        <f>MU!AB114+UMKC!AB87+UMSL!AB82</f>
        <v>40</v>
      </c>
      <c r="AC143" s="2">
        <f>MU!AC114+UMKC!AC87+UMSL!AC82</f>
        <v>33</v>
      </c>
      <c r="AD143" s="2">
        <f>MU!AD114+UMKC!AD87+UMSL!AD82</f>
        <v>29</v>
      </c>
      <c r="AE143" s="2">
        <f>MU!AE114+UMKC!AE87+UMSL!AE82</f>
        <v>34</v>
      </c>
      <c r="AF143" s="2">
        <f>MU!AF114+UMKC!AF87+UMSL!AF82</f>
        <v>27</v>
      </c>
      <c r="AG143" s="2">
        <f>MU!AG114+UMKC!AG87+UMSL!AG82</f>
        <v>32</v>
      </c>
      <c r="AH143" s="2">
        <f>MU!AH114+UMKC!AH87+UMSL!AH82</f>
        <v>37</v>
      </c>
      <c r="AI143" s="2">
        <f>MU!AI114+UMKC!AI87+UMSL!AI82</f>
        <v>22</v>
      </c>
      <c r="AJ143" s="2">
        <f>MU!AJ114+UMKC!AJ87+UMSL!AJ82</f>
        <v>29</v>
      </c>
      <c r="AK143" s="2">
        <f>MU!AK114+UMKC!AK87+UMSL!AK82</f>
        <v>27</v>
      </c>
      <c r="AL143" s="2">
        <f>MU!AL114+UMKC!AL87+UMSL!AL82</f>
        <v>23</v>
      </c>
      <c r="AM143" s="2">
        <f>MU!AM114+UMKC!AM87+UMSL!AM82</f>
        <v>17</v>
      </c>
      <c r="AN143" s="2">
        <f>MU!AN114+UMKC!AN87+UMSL!AN82</f>
        <v>24</v>
      </c>
      <c r="AO143" s="2">
        <f>MU!AO114+UMKC!AO87+UMSL!AO82</f>
        <v>27</v>
      </c>
      <c r="AP143" s="2">
        <f>MU!AP114+UMKC!AP87+UMSL!AP82</f>
        <v>26</v>
      </c>
      <c r="AQ143" s="2">
        <f>MU!AQ114+UMKC!AQ87+UMSL!AQ82</f>
        <v>21</v>
      </c>
      <c r="AR143" s="2">
        <f>MU!AR114+UMKC!AR87+UMSL!AR82</f>
        <v>29</v>
      </c>
      <c r="AS143" s="2">
        <f>MU!AS114+UMKC!AS87+UMSL!AS82</f>
        <v>28</v>
      </c>
      <c r="AT143" s="2">
        <f>MU!AT114+UMKC!AT87+UMSL!AT82</f>
        <v>26</v>
      </c>
      <c r="AU143" s="2">
        <f>MU!AU114+UMKC!AU87+UMSL!AU82</f>
        <v>23</v>
      </c>
      <c r="AV143" s="2">
        <f>MU!AV114+UMKC!AV87+UMSL!AV82</f>
        <v>28</v>
      </c>
      <c r="AW143" s="2">
        <f>MU!AW114+UMKC!AW87+UMSL!AW82</f>
        <v>25</v>
      </c>
      <c r="AX143" s="2">
        <f>MU!AX114+UMKC!AX87+UMSL!AX82</f>
        <v>36</v>
      </c>
      <c r="AY143" s="2">
        <f>MU!AY114+UMKC!AY87+UMSL!AY82</f>
        <v>27</v>
      </c>
      <c r="AZ143" s="2">
        <f>MU!AZ114+UMKC!AZ87+UMSL!AZ82</f>
        <v>36</v>
      </c>
      <c r="BA143" s="2">
        <f>MU!BA114+UMKC!BA87+UMSL!BA82</f>
        <v>33</v>
      </c>
      <c r="BB143" s="2">
        <f>MU!BB114+UMKC!BB87+UMSL!BB82</f>
        <v>28</v>
      </c>
      <c r="BC143" s="8"/>
    </row>
    <row r="144" spans="1:55" ht="13.5" customHeight="1" x14ac:dyDescent="0.2">
      <c r="A144" s="7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11">
        <f t="shared" ref="W144:AA144" si="100">SUM(W139:W143)</f>
        <v>310</v>
      </c>
      <c r="X144" s="11">
        <f t="shared" si="100"/>
        <v>285</v>
      </c>
      <c r="Y144" s="11">
        <f t="shared" si="100"/>
        <v>327</v>
      </c>
      <c r="Z144" s="11">
        <f t="shared" si="100"/>
        <v>331</v>
      </c>
      <c r="AA144" s="11">
        <f t="shared" si="100"/>
        <v>382</v>
      </c>
      <c r="AB144" s="11">
        <f t="shared" ref="AB144:AD144" si="101">SUM(AB139:AB143)</f>
        <v>404</v>
      </c>
      <c r="AC144" s="11">
        <f t="shared" si="101"/>
        <v>470</v>
      </c>
      <c r="AD144" s="11">
        <f t="shared" si="101"/>
        <v>423</v>
      </c>
      <c r="AE144" s="11">
        <f t="shared" ref="AE144:AG144" si="102">SUM(AE139:AE143)</f>
        <v>440</v>
      </c>
      <c r="AF144" s="11">
        <f t="shared" si="102"/>
        <v>405</v>
      </c>
      <c r="AG144" s="11">
        <f t="shared" si="102"/>
        <v>388</v>
      </c>
      <c r="AH144" s="11">
        <f t="shared" ref="AH144:AV144" si="103">SUM(AH139:AH143)</f>
        <v>453</v>
      </c>
      <c r="AI144" s="11">
        <f t="shared" si="103"/>
        <v>427</v>
      </c>
      <c r="AJ144" s="11">
        <f t="shared" si="103"/>
        <v>465</v>
      </c>
      <c r="AK144" s="11">
        <f t="shared" si="103"/>
        <v>470</v>
      </c>
      <c r="AL144" s="11">
        <f t="shared" si="103"/>
        <v>476</v>
      </c>
      <c r="AM144" s="11">
        <f t="shared" si="103"/>
        <v>480</v>
      </c>
      <c r="AN144" s="11">
        <f t="shared" si="103"/>
        <v>501</v>
      </c>
      <c r="AO144" s="11">
        <f t="shared" si="103"/>
        <v>507</v>
      </c>
      <c r="AP144" s="11">
        <f t="shared" si="103"/>
        <v>510</v>
      </c>
      <c r="AQ144" s="11">
        <f t="shared" si="103"/>
        <v>588</v>
      </c>
      <c r="AR144" s="11">
        <f t="shared" si="103"/>
        <v>532</v>
      </c>
      <c r="AS144" s="11">
        <f t="shared" si="103"/>
        <v>573</v>
      </c>
      <c r="AT144" s="11">
        <f t="shared" si="103"/>
        <v>554</v>
      </c>
      <c r="AU144" s="11">
        <f t="shared" si="103"/>
        <v>614</v>
      </c>
      <c r="AV144" s="11">
        <f t="shared" si="103"/>
        <v>670</v>
      </c>
      <c r="AW144" s="11">
        <f>SUM(AW139:AW143)</f>
        <v>666</v>
      </c>
      <c r="AX144" s="11">
        <f>SUM(AX139:AX143)</f>
        <v>634</v>
      </c>
      <c r="AY144" s="11">
        <f>SUM(AY138:AY143)</f>
        <v>684</v>
      </c>
      <c r="AZ144" s="11">
        <f>SUM(AZ138:AZ143)</f>
        <v>688</v>
      </c>
      <c r="BA144" s="11">
        <f>SUM(BA138:BA143)</f>
        <v>719</v>
      </c>
      <c r="BB144" s="11">
        <f>SUM(BB138:BB143)</f>
        <v>740</v>
      </c>
      <c r="BC144" s="8"/>
    </row>
    <row r="145" spans="1:55" ht="13.5" customHeight="1" x14ac:dyDescent="0.2">
      <c r="A145" s="7"/>
      <c r="B145" s="33" t="s">
        <v>79</v>
      </c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8"/>
    </row>
    <row r="146" spans="1:55" ht="13.5" customHeight="1" x14ac:dyDescent="0.2">
      <c r="A146" s="7"/>
      <c r="B146" s="3"/>
      <c r="C146" s="3" t="s">
        <v>0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>
        <f>UMKC!W90+UMSL!W85</f>
        <v>66</v>
      </c>
      <c r="X146" s="2">
        <f>UMKC!X90+UMSL!X85</f>
        <v>75</v>
      </c>
      <c r="Y146" s="2">
        <f>UMKC!Y90+UMSL!Y85</f>
        <v>82</v>
      </c>
      <c r="Z146" s="2">
        <f>UMKC!Z90+UMSL!Z85</f>
        <v>64</v>
      </c>
      <c r="AA146" s="2">
        <f>UMKC!AA90+UMSL!AA85</f>
        <v>84</v>
      </c>
      <c r="AB146" s="2">
        <f>UMKC!AB90</f>
        <v>21</v>
      </c>
      <c r="AC146" s="2">
        <f>UMKC!AC90</f>
        <v>28</v>
      </c>
      <c r="AD146" s="2">
        <f>UMKC!AD90</f>
        <v>38</v>
      </c>
      <c r="AE146" s="2">
        <f>UMKC!AE90</f>
        <v>33</v>
      </c>
      <c r="AF146" s="2">
        <f>UMKC!AF90</f>
        <v>28</v>
      </c>
      <c r="AG146" s="2">
        <f>UMKC!AG90</f>
        <v>35</v>
      </c>
      <c r="AH146" s="2">
        <f>UMKC!AH90</f>
        <v>27</v>
      </c>
      <c r="AI146" s="2">
        <f>UMKC!AI90</f>
        <v>49</v>
      </c>
      <c r="AJ146" s="2">
        <f>UMKC!AJ90</f>
        <v>27</v>
      </c>
      <c r="AK146" s="2">
        <f>UMKC!AK90</f>
        <v>30</v>
      </c>
      <c r="AL146" s="2">
        <f>UMKC!AL90</f>
        <v>34</v>
      </c>
      <c r="AM146" s="2">
        <f>UMKC!AM90</f>
        <v>29</v>
      </c>
      <c r="AN146" s="2">
        <f>UMKC!AN90</f>
        <v>31</v>
      </c>
      <c r="AO146" s="2">
        <f>UMKC!AO90</f>
        <v>25</v>
      </c>
      <c r="AP146" s="2">
        <f>UMKC!AP90</f>
        <v>41</v>
      </c>
      <c r="AQ146" s="2">
        <f>UMKC!AQ90</f>
        <v>33</v>
      </c>
      <c r="AR146" s="2">
        <f>UMKC!AR90</f>
        <v>34</v>
      </c>
      <c r="AS146" s="2">
        <f>UMKC!AS90</f>
        <v>42</v>
      </c>
      <c r="AT146" s="2">
        <f>UMKC!AT90</f>
        <v>39</v>
      </c>
      <c r="AU146" s="2">
        <f>UMKC!AU90</f>
        <v>46</v>
      </c>
      <c r="AV146" s="2">
        <f>UMKC!AV90</f>
        <v>50</v>
      </c>
      <c r="AW146" s="2">
        <f>UMKC!AW90</f>
        <v>55</v>
      </c>
      <c r="AX146" s="2">
        <f>UMKC!AX90</f>
        <v>52</v>
      </c>
      <c r="AY146" s="2">
        <f>UMKC!AY90</f>
        <v>47</v>
      </c>
      <c r="AZ146" s="2">
        <f>UMKC!AZ90</f>
        <v>53</v>
      </c>
      <c r="BA146" s="2">
        <f>UMKC!BA90</f>
        <v>57</v>
      </c>
      <c r="BB146" s="2">
        <f>UMKC!BB90</f>
        <v>37</v>
      </c>
      <c r="BC146" s="8"/>
    </row>
    <row r="147" spans="1:55" ht="13.5" customHeight="1" x14ac:dyDescent="0.2">
      <c r="A147" s="7"/>
      <c r="B147" s="3"/>
      <c r="C147" s="3" t="s">
        <v>5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>
        <f>UMKC!W91</f>
        <v>1</v>
      </c>
      <c r="X147" s="2">
        <f>UMKC!X91</f>
        <v>2</v>
      </c>
      <c r="Y147" s="2">
        <f>UMKC!Y91+UMSL!Y86</f>
        <v>7</v>
      </c>
      <c r="Z147" s="2">
        <f>UMKC!Z91+UMSL!Z86</f>
        <v>3</v>
      </c>
      <c r="AA147" s="2">
        <f>UMKC!AA91+UMSL!AA86</f>
        <v>8</v>
      </c>
      <c r="AB147" s="2">
        <f>UMKC!AB91</f>
        <v>1</v>
      </c>
      <c r="AC147" s="2">
        <f>UMKC!AC91</f>
        <v>0</v>
      </c>
      <c r="AD147" s="2">
        <f>UMKC!AD91</f>
        <v>3</v>
      </c>
      <c r="AE147" s="2">
        <f>UMKC!AE91</f>
        <v>2</v>
      </c>
      <c r="AF147" s="2">
        <f>UMKC!AF91</f>
        <v>1</v>
      </c>
      <c r="AG147" s="2">
        <f>UMKC!AG91</f>
        <v>3</v>
      </c>
      <c r="AH147" s="2">
        <f>UMKC!AH91</f>
        <v>4</v>
      </c>
      <c r="AI147" s="2">
        <f>UMKC!AI91</f>
        <v>7</v>
      </c>
      <c r="AJ147" s="2">
        <f>UMKC!AJ91</f>
        <v>7</v>
      </c>
      <c r="AK147" s="2">
        <f>UMKC!AK91</f>
        <v>4</v>
      </c>
      <c r="AL147" s="2">
        <f>UMKC!AL91</f>
        <v>4</v>
      </c>
      <c r="AM147" s="2">
        <f>UMKC!AM91</f>
        <v>5</v>
      </c>
      <c r="AN147" s="2">
        <f>UMKC!AN91</f>
        <v>2</v>
      </c>
      <c r="AO147" s="2">
        <f>UMKC!AO91</f>
        <v>2</v>
      </c>
      <c r="AP147" s="2">
        <f>UMKC!AP91</f>
        <v>8</v>
      </c>
      <c r="AQ147" s="2">
        <f>UMKC!AQ91</f>
        <v>6</v>
      </c>
      <c r="AR147" s="2">
        <f>UMKC!AR91</f>
        <v>3</v>
      </c>
      <c r="AS147" s="2">
        <f>UMKC!AS91</f>
        <v>11</v>
      </c>
      <c r="AT147" s="2">
        <f>UMKC!AT91</f>
        <v>7</v>
      </c>
      <c r="AU147" s="2">
        <f>UMKC!AU91</f>
        <v>9</v>
      </c>
      <c r="AV147" s="2">
        <f>UMKC!AV91</f>
        <v>10</v>
      </c>
      <c r="AW147" s="2">
        <f>UMKC!AW91</f>
        <v>6</v>
      </c>
      <c r="AX147" s="2">
        <f>UMKC!AX91</f>
        <v>8</v>
      </c>
      <c r="AY147" s="2">
        <f>UMKC!AY91</f>
        <v>5</v>
      </c>
      <c r="AZ147" s="2">
        <f>UMKC!AZ91</f>
        <v>6</v>
      </c>
      <c r="BA147" s="2">
        <f>UMKC!BA91</f>
        <v>5</v>
      </c>
      <c r="BB147" s="2">
        <f>UMKC!BB91</f>
        <v>11</v>
      </c>
      <c r="BC147" s="8"/>
    </row>
    <row r="148" spans="1:55" ht="13.5" customHeight="1" x14ac:dyDescent="0.2">
      <c r="A148" s="7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11">
        <f t="shared" ref="W148:AA148" si="104">SUM(W146:W147)</f>
        <v>67</v>
      </c>
      <c r="X148" s="11">
        <f t="shared" si="104"/>
        <v>77</v>
      </c>
      <c r="Y148" s="11">
        <f t="shared" si="104"/>
        <v>89</v>
      </c>
      <c r="Z148" s="11">
        <f t="shared" si="104"/>
        <v>67</v>
      </c>
      <c r="AA148" s="11">
        <f t="shared" si="104"/>
        <v>92</v>
      </c>
      <c r="AB148" s="11">
        <f t="shared" ref="AB148:AD148" si="105">SUM(AB146:AB147)</f>
        <v>22</v>
      </c>
      <c r="AC148" s="11">
        <f t="shared" si="105"/>
        <v>28</v>
      </c>
      <c r="AD148" s="11">
        <f t="shared" si="105"/>
        <v>41</v>
      </c>
      <c r="AE148" s="11">
        <f t="shared" ref="AE148:AG148" si="106">SUM(AE146:AE147)</f>
        <v>35</v>
      </c>
      <c r="AF148" s="11">
        <f t="shared" si="106"/>
        <v>29</v>
      </c>
      <c r="AG148" s="11">
        <f t="shared" si="106"/>
        <v>38</v>
      </c>
      <c r="AH148" s="11">
        <f t="shared" ref="AH148:AV148" si="107">SUM(AH146:AH147)</f>
        <v>31</v>
      </c>
      <c r="AI148" s="11">
        <f t="shared" si="107"/>
        <v>56</v>
      </c>
      <c r="AJ148" s="11">
        <f t="shared" si="107"/>
        <v>34</v>
      </c>
      <c r="AK148" s="11">
        <f t="shared" si="107"/>
        <v>34</v>
      </c>
      <c r="AL148" s="11">
        <f t="shared" si="107"/>
        <v>38</v>
      </c>
      <c r="AM148" s="11">
        <f t="shared" si="107"/>
        <v>34</v>
      </c>
      <c r="AN148" s="11">
        <f t="shared" si="107"/>
        <v>33</v>
      </c>
      <c r="AO148" s="11">
        <f t="shared" si="107"/>
        <v>27</v>
      </c>
      <c r="AP148" s="11">
        <f t="shared" si="107"/>
        <v>49</v>
      </c>
      <c r="AQ148" s="11">
        <f t="shared" si="107"/>
        <v>39</v>
      </c>
      <c r="AR148" s="11">
        <f t="shared" si="107"/>
        <v>37</v>
      </c>
      <c r="AS148" s="11">
        <f t="shared" si="107"/>
        <v>53</v>
      </c>
      <c r="AT148" s="11">
        <f t="shared" si="107"/>
        <v>46</v>
      </c>
      <c r="AU148" s="11">
        <f t="shared" si="107"/>
        <v>55</v>
      </c>
      <c r="AV148" s="11">
        <f t="shared" si="107"/>
        <v>60</v>
      </c>
      <c r="AW148" s="11">
        <f t="shared" ref="AW148:BB148" si="108">SUM(AW146:AW147)</f>
        <v>61</v>
      </c>
      <c r="AX148" s="11">
        <f t="shared" si="108"/>
        <v>60</v>
      </c>
      <c r="AY148" s="11">
        <f t="shared" si="108"/>
        <v>52</v>
      </c>
      <c r="AZ148" s="11">
        <f t="shared" si="108"/>
        <v>59</v>
      </c>
      <c r="BA148" s="11">
        <f t="shared" si="108"/>
        <v>62</v>
      </c>
      <c r="BB148" s="11">
        <f t="shared" si="108"/>
        <v>48</v>
      </c>
      <c r="BC148" s="8"/>
    </row>
    <row r="149" spans="1:55" ht="13.5" customHeight="1" x14ac:dyDescent="0.2">
      <c r="A149" s="7"/>
      <c r="B149" s="33" t="s">
        <v>78</v>
      </c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8"/>
    </row>
    <row r="150" spans="1:55" ht="13.5" customHeight="1" x14ac:dyDescent="0.2">
      <c r="A150" s="7"/>
      <c r="B150" s="3"/>
      <c r="C150" s="3" t="s">
        <v>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>
        <f>MU!W117+UMSL!W89</f>
        <v>79</v>
      </c>
      <c r="X150" s="2">
        <f>MU!X117+UMSL!X89</f>
        <v>55</v>
      </c>
      <c r="Y150" s="2">
        <f>MU!Y117+UMSL!Y89</f>
        <v>78</v>
      </c>
      <c r="Z150" s="2">
        <f>MU!Z117+UMSL!Z89</f>
        <v>81</v>
      </c>
      <c r="AA150" s="2">
        <f>MU!AA117+UMSL!AA89</f>
        <v>85</v>
      </c>
      <c r="AB150" s="2">
        <f>MU!AB117+UMSL!AB89</f>
        <v>88</v>
      </c>
      <c r="AC150" s="2">
        <f>MU!AC117+UMSL!AC89</f>
        <v>83</v>
      </c>
      <c r="AD150" s="2">
        <f>MU!AD117+UMSL!AD89</f>
        <v>76</v>
      </c>
      <c r="AE150" s="2">
        <f>MU!AE117+UMSL!AE89</f>
        <v>98</v>
      </c>
      <c r="AF150" s="2">
        <f>MU!AF117+UMSL!AF89</f>
        <v>88</v>
      </c>
      <c r="AG150" s="2">
        <f>MU!AG117+UMSL!AG89</f>
        <v>74</v>
      </c>
      <c r="AH150" s="2">
        <f>MU!AH117+UMSL!AH89</f>
        <v>91</v>
      </c>
      <c r="AI150" s="2">
        <f>MU!AI117+UMSL!AI89</f>
        <v>107</v>
      </c>
      <c r="AJ150" s="2">
        <f>MU!AJ117+UMSL!AJ89</f>
        <v>82</v>
      </c>
      <c r="AK150" s="2">
        <f>MU!AK117+UMSL!AK89</f>
        <v>100</v>
      </c>
      <c r="AL150" s="2">
        <f>MU!AL117+UMSL!AL89</f>
        <v>103</v>
      </c>
      <c r="AM150" s="2">
        <f>MU!AM117+UMSL!AM89</f>
        <v>78</v>
      </c>
      <c r="AN150" s="2">
        <f>MU!AN117+UMSL!AN89</f>
        <v>99</v>
      </c>
      <c r="AO150" s="2">
        <f>MU!AO117+UMSL!AO89</f>
        <v>84</v>
      </c>
      <c r="AP150" s="2">
        <f>MU!AP117+UMSL!AP89</f>
        <v>77</v>
      </c>
      <c r="AQ150" s="2">
        <f>MU!AQ117+UMSL!AQ89</f>
        <v>104</v>
      </c>
      <c r="AR150" s="2">
        <f>MU!AR117+UMSL!AR89</f>
        <v>133</v>
      </c>
      <c r="AS150" s="2">
        <f>MU!AS117+UMSL!AS89</f>
        <v>108</v>
      </c>
      <c r="AT150" s="2">
        <f>MU!AT117+UMSL!AT89</f>
        <v>116</v>
      </c>
      <c r="AU150" s="2">
        <f>MU!AU117+UMSL!AU89</f>
        <v>109</v>
      </c>
      <c r="AV150" s="2">
        <f>MU!AV117+UMSL!AV89</f>
        <v>112</v>
      </c>
      <c r="AW150" s="2">
        <f>MU!AW117+UMSL!AW89</f>
        <v>99</v>
      </c>
      <c r="AX150" s="2">
        <f>MU!AX117+UMSL!AX89</f>
        <v>110</v>
      </c>
      <c r="AY150" s="2">
        <f>MU!AY117+UMSL!AY89</f>
        <v>108</v>
      </c>
      <c r="AZ150" s="2">
        <f>MU!AZ117+UMSL!AZ89</f>
        <v>137</v>
      </c>
      <c r="BA150" s="2">
        <f>MU!BA117+UMSL!BA89</f>
        <v>112</v>
      </c>
      <c r="BB150" s="2">
        <f>MU!BB117+UMSL!BB89</f>
        <v>133</v>
      </c>
      <c r="BC150" s="8"/>
    </row>
    <row r="151" spans="1:55" ht="13.5" customHeight="1" x14ac:dyDescent="0.2">
      <c r="A151" s="7"/>
      <c r="B151" s="3"/>
      <c r="C151" s="3" t="s">
        <v>9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2">
        <f>UMSL!AG90</f>
        <v>0</v>
      </c>
      <c r="AH151" s="2">
        <f>UMSL!AH90</f>
        <v>1</v>
      </c>
      <c r="AI151" s="2">
        <f>UMSL!AI90</f>
        <v>4</v>
      </c>
      <c r="AJ151" s="2">
        <f>UMSL!AJ90</f>
        <v>4</v>
      </c>
      <c r="AK151" s="2">
        <f>UMSL!AK90</f>
        <v>10</v>
      </c>
      <c r="AL151" s="2">
        <f>UMSL!AL90</f>
        <v>16</v>
      </c>
      <c r="AM151" s="2">
        <f>UMSL!AM90</f>
        <v>11</v>
      </c>
      <c r="AN151" s="2">
        <f>MU!AN118+UMSL!AN90</f>
        <v>10</v>
      </c>
      <c r="AO151" s="2">
        <f>MU!AO118+UMSL!AO90</f>
        <v>22</v>
      </c>
      <c r="AP151" s="2">
        <f>MU!AP118+UMSL!AP90</f>
        <v>20</v>
      </c>
      <c r="AQ151" s="2">
        <f>MU!AQ118+UMSL!AQ90</f>
        <v>20</v>
      </c>
      <c r="AR151" s="2">
        <f>MU!AR118+UMSL!AR90</f>
        <v>17</v>
      </c>
      <c r="AS151" s="2">
        <f>MU!AS118+UMSL!AS90</f>
        <v>54</v>
      </c>
      <c r="AT151" s="2">
        <f>MU!AT118+UMSL!AT90</f>
        <v>20</v>
      </c>
      <c r="AU151" s="2">
        <f>MU!AU118+UMSL!AU90</f>
        <v>16</v>
      </c>
      <c r="AV151" s="2">
        <f>MU!AV118+UMSL!AV90</f>
        <v>27</v>
      </c>
      <c r="AW151" s="2">
        <f>MU!AW118+UMKC!AW94+UMSL!AW90</f>
        <v>32</v>
      </c>
      <c r="AX151" s="2">
        <f>MU!AX118+UMKC!AX94+UMSL!AX90</f>
        <v>48</v>
      </c>
      <c r="AY151" s="2">
        <f>MU!AY118+UMKC!AY94+UMSL!AY90</f>
        <v>45</v>
      </c>
      <c r="AZ151" s="2">
        <f>MU!AZ118+UMKC!AZ94+UMSL!AZ90</f>
        <v>57</v>
      </c>
      <c r="BA151" s="2">
        <f>MU!BA118+UMKC!BA94+UMSL!BA90</f>
        <v>51</v>
      </c>
      <c r="BB151" s="2">
        <f>MU!BB118+UMKC!BB94+UMSL!BB90</f>
        <v>43</v>
      </c>
      <c r="BC151" s="8"/>
    </row>
    <row r="152" spans="1:55" ht="13.5" customHeight="1" x14ac:dyDescent="0.2">
      <c r="A152" s="7"/>
      <c r="B152" s="3"/>
      <c r="C152" s="3" t="s">
        <v>5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>
        <f>MU!W119+UMKC!W95+UMSL!W91</f>
        <v>156</v>
      </c>
      <c r="X152" s="2">
        <f>MU!X119+UMKC!X95+UMSL!X91</f>
        <v>139</v>
      </c>
      <c r="Y152" s="2">
        <f>MU!Y119+UMKC!Y95+UMSL!Y91</f>
        <v>155</v>
      </c>
      <c r="Z152" s="2">
        <f>MU!Z119+UMKC!Z95+UMSL!Z91</f>
        <v>162</v>
      </c>
      <c r="AA152" s="2">
        <f>MU!AA119+UMKC!AA95+UMSL!AA91</f>
        <v>159</v>
      </c>
      <c r="AB152" s="2">
        <f>MU!AB119+UMKC!AB95+UMSL!AB91</f>
        <v>198</v>
      </c>
      <c r="AC152" s="2">
        <f>MU!AC119+UMKC!AC95+UMSL!AC91</f>
        <v>171</v>
      </c>
      <c r="AD152" s="2">
        <f>MU!AD119+UMKC!AD95+UMSL!AD91</f>
        <v>170</v>
      </c>
      <c r="AE152" s="2">
        <f>MU!AE119+UMKC!AE95+UMSL!AE91</f>
        <v>158</v>
      </c>
      <c r="AF152" s="2">
        <f>MU!AF119+UMKC!AF95+UMSL!AF91</f>
        <v>180</v>
      </c>
      <c r="AG152" s="2">
        <f>MU!AG119+UMKC!AG95+UMSL!AG91</f>
        <v>133</v>
      </c>
      <c r="AH152" s="2">
        <f>MU!AH119+UMKC!AH95+UMSL!AH91</f>
        <v>131</v>
      </c>
      <c r="AI152" s="2">
        <f>MU!AI119+UMKC!AI95+UMSL!AI91</f>
        <v>139</v>
      </c>
      <c r="AJ152" s="2">
        <f>MU!AJ119+UMKC!AJ95+UMSL!AJ91</f>
        <v>147</v>
      </c>
      <c r="AK152" s="2">
        <f>MU!AK119+UMKC!AK95+UMSL!AK91</f>
        <v>226</v>
      </c>
      <c r="AL152" s="2">
        <f>MU!AL119+UMKC!AL95+UMSL!AL91</f>
        <v>193</v>
      </c>
      <c r="AM152" s="2">
        <f>MU!AM119+UMKC!AM95+UMSL!AM91</f>
        <v>275</v>
      </c>
      <c r="AN152" s="2">
        <f>MU!AN119+UMKC!AN95+UMSL!AN91</f>
        <v>293</v>
      </c>
      <c r="AO152" s="2">
        <f>MU!AO119+UMKC!AO95+UMSL!AO91</f>
        <v>259</v>
      </c>
      <c r="AP152" s="2">
        <f>MU!AP119+UMKC!AP95+UMSL!AP91</f>
        <v>263</v>
      </c>
      <c r="AQ152" s="2">
        <f>MU!AQ119+UMKC!AQ95+UMSL!AQ91</f>
        <v>310</v>
      </c>
      <c r="AR152" s="2">
        <f>MU!AR119+UMKC!AR95+UMSL!AR91</f>
        <v>270</v>
      </c>
      <c r="AS152" s="2">
        <f>MU!AS119+UMKC!AS95+UMSL!AS91</f>
        <v>288</v>
      </c>
      <c r="AT152" s="2">
        <f>MU!AT119+UMKC!AT95+UMSL!AT91</f>
        <v>301</v>
      </c>
      <c r="AU152" s="2">
        <f>MU!AU119+UMKC!AU95+UMSL!AU91</f>
        <v>295</v>
      </c>
      <c r="AV152" s="2">
        <f>MU!AV119+UMKC!AV95+UMSL!AV91</f>
        <v>382</v>
      </c>
      <c r="AW152" s="2">
        <f>MU!AW119+UMKC!AW95+UMSL!AW91</f>
        <v>307</v>
      </c>
      <c r="AX152" s="2">
        <f>MU!AX119+UMKC!AX95+UMSL!AX91</f>
        <v>321</v>
      </c>
      <c r="AY152" s="2">
        <f>MU!AY119+UMKC!AY95+UMSL!AY91</f>
        <v>294</v>
      </c>
      <c r="AZ152" s="2">
        <f>MU!AZ119+UMKC!AZ95+UMSL!AZ91</f>
        <v>322</v>
      </c>
      <c r="BA152" s="2">
        <f>MU!BA119+UMKC!BA95+UMSL!BA91</f>
        <v>352</v>
      </c>
      <c r="BB152" s="2">
        <f>MU!BB119+UMKC!BB95+UMSL!BB91</f>
        <v>313</v>
      </c>
      <c r="BC152" s="8"/>
    </row>
    <row r="153" spans="1:55" ht="13.5" customHeight="1" x14ac:dyDescent="0.2">
      <c r="A153" s="7"/>
      <c r="B153" s="3"/>
      <c r="C153" s="3" t="s">
        <v>7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3"/>
      <c r="AJ153" s="2">
        <f>MU!AJ120</f>
        <v>0</v>
      </c>
      <c r="AK153" s="2">
        <f>MU!AK120</f>
        <v>0</v>
      </c>
      <c r="AL153" s="2">
        <f>MU!AL120</f>
        <v>0</v>
      </c>
      <c r="AM153" s="2">
        <f>MU!AM120</f>
        <v>0</v>
      </c>
      <c r="AN153" s="2">
        <f>MU!AN120</f>
        <v>0</v>
      </c>
      <c r="AO153" s="2">
        <f>MU!AO120</f>
        <v>1</v>
      </c>
      <c r="AP153" s="2">
        <f>MU!AP120</f>
        <v>0</v>
      </c>
      <c r="AQ153" s="2">
        <f>MU!AQ120</f>
        <v>1</v>
      </c>
      <c r="AR153" s="2">
        <f>MU!AR120</f>
        <v>4</v>
      </c>
      <c r="AS153" s="2">
        <f>MU!AS120</f>
        <v>9</v>
      </c>
      <c r="AT153" s="2">
        <f>MU!AT120</f>
        <v>4</v>
      </c>
      <c r="AU153" s="2">
        <f>MU!AU120</f>
        <v>3</v>
      </c>
      <c r="AV153" s="2">
        <f>MU!AV120</f>
        <v>2</v>
      </c>
      <c r="AW153" s="2">
        <f>MU!AW120</f>
        <v>2</v>
      </c>
      <c r="AX153" s="2">
        <f>MU!AX120</f>
        <v>5</v>
      </c>
      <c r="AY153" s="2">
        <f>MU!AY120</f>
        <v>4</v>
      </c>
      <c r="AZ153" s="2">
        <f>MU!AZ120</f>
        <v>4</v>
      </c>
      <c r="BA153" s="2">
        <f>MU!BA120</f>
        <v>5</v>
      </c>
      <c r="BB153" s="2">
        <f>MU!BB120</f>
        <v>7</v>
      </c>
      <c r="BC153" s="8"/>
    </row>
    <row r="154" spans="1:55" ht="13.5" customHeight="1" x14ac:dyDescent="0.2">
      <c r="A154" s="7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11">
        <f t="shared" ref="W154:AA154" si="109">SUM(W150:W152)</f>
        <v>235</v>
      </c>
      <c r="X154" s="11">
        <f t="shared" si="109"/>
        <v>194</v>
      </c>
      <c r="Y154" s="11">
        <f t="shared" si="109"/>
        <v>233</v>
      </c>
      <c r="Z154" s="11">
        <f t="shared" si="109"/>
        <v>243</v>
      </c>
      <c r="AA154" s="11">
        <f t="shared" si="109"/>
        <v>244</v>
      </c>
      <c r="AB154" s="11">
        <f>SUM(AB150:AB152)</f>
        <v>286</v>
      </c>
      <c r="AC154" s="11">
        <f t="shared" ref="AC154:AD154" si="110">SUM(AC150:AC152)</f>
        <v>254</v>
      </c>
      <c r="AD154" s="11">
        <f t="shared" si="110"/>
        <v>246</v>
      </c>
      <c r="AE154" s="11">
        <f t="shared" ref="AE154:AG154" si="111">SUM(AE150:AE152)</f>
        <v>256</v>
      </c>
      <c r="AF154" s="11">
        <f t="shared" si="111"/>
        <v>268</v>
      </c>
      <c r="AG154" s="11">
        <f t="shared" si="111"/>
        <v>207</v>
      </c>
      <c r="AH154" s="11">
        <f>SUM(AH150:AH152)</f>
        <v>223</v>
      </c>
      <c r="AI154" s="11">
        <f>SUM(AI150:AI152)</f>
        <v>250</v>
      </c>
      <c r="AJ154" s="11">
        <f t="shared" ref="AJ154:AV154" si="112">SUM(AJ150:AJ153)</f>
        <v>233</v>
      </c>
      <c r="AK154" s="11">
        <f t="shared" si="112"/>
        <v>336</v>
      </c>
      <c r="AL154" s="11">
        <f t="shared" si="112"/>
        <v>312</v>
      </c>
      <c r="AM154" s="11">
        <f t="shared" si="112"/>
        <v>364</v>
      </c>
      <c r="AN154" s="11">
        <f t="shared" si="112"/>
        <v>402</v>
      </c>
      <c r="AO154" s="11">
        <f t="shared" si="112"/>
        <v>366</v>
      </c>
      <c r="AP154" s="11">
        <f t="shared" si="112"/>
        <v>360</v>
      </c>
      <c r="AQ154" s="11">
        <f t="shared" si="112"/>
        <v>435</v>
      </c>
      <c r="AR154" s="11">
        <f t="shared" si="112"/>
        <v>424</v>
      </c>
      <c r="AS154" s="11">
        <f t="shared" si="112"/>
        <v>459</v>
      </c>
      <c r="AT154" s="11">
        <f t="shared" si="112"/>
        <v>441</v>
      </c>
      <c r="AU154" s="11">
        <f t="shared" si="112"/>
        <v>423</v>
      </c>
      <c r="AV154" s="11">
        <f t="shared" si="112"/>
        <v>523</v>
      </c>
      <c r="AW154" s="11">
        <f t="shared" ref="AW154:BB154" si="113">SUM(AW150:AW153)</f>
        <v>440</v>
      </c>
      <c r="AX154" s="11">
        <f t="shared" si="113"/>
        <v>484</v>
      </c>
      <c r="AY154" s="11">
        <f t="shared" si="113"/>
        <v>451</v>
      </c>
      <c r="AZ154" s="11">
        <f t="shared" si="113"/>
        <v>520</v>
      </c>
      <c r="BA154" s="11">
        <f t="shared" si="113"/>
        <v>520</v>
      </c>
      <c r="BB154" s="11">
        <f t="shared" si="113"/>
        <v>496</v>
      </c>
      <c r="BC154" s="8"/>
    </row>
    <row r="155" spans="1:55" ht="13.5" customHeight="1" x14ac:dyDescent="0.2">
      <c r="A155" s="7"/>
      <c r="B155" s="33" t="s">
        <v>77</v>
      </c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8"/>
    </row>
    <row r="156" spans="1:55" ht="13.5" customHeight="1" x14ac:dyDescent="0.2">
      <c r="A156" s="7"/>
      <c r="B156" s="33"/>
      <c r="C156" s="3" t="s">
        <v>10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>
        <f>UMKC!AY98</f>
        <v>7</v>
      </c>
      <c r="AZ156" s="2">
        <f>UMKC!AZ98</f>
        <v>6</v>
      </c>
      <c r="BA156" s="2">
        <f>UMKC!BA98</f>
        <v>11</v>
      </c>
      <c r="BB156" s="2">
        <f>UMKC!BB98</f>
        <v>18</v>
      </c>
      <c r="BC156" s="8"/>
    </row>
    <row r="157" spans="1:55" ht="13.5" customHeight="1" x14ac:dyDescent="0.2">
      <c r="A157" s="7"/>
      <c r="B157" s="3"/>
      <c r="C157" s="3" t="s">
        <v>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>
        <f>MU!W123+UMKC!W99+'S&amp;T'!W64+UMSL!W94</f>
        <v>349</v>
      </c>
      <c r="X157" s="2">
        <f>MU!X123+UMKC!X99+'S&amp;T'!X64+UMSL!X94</f>
        <v>368</v>
      </c>
      <c r="Y157" s="2">
        <f>MU!Y123+UMKC!Y99+'S&amp;T'!Y64+UMSL!Y94</f>
        <v>408</v>
      </c>
      <c r="Z157" s="2">
        <f>MU!Z123+UMKC!Z99+'S&amp;T'!Z64+UMSL!Z94</f>
        <v>364</v>
      </c>
      <c r="AA157" s="2">
        <f>MU!AA123+UMKC!AA99+'S&amp;T'!AA64+UMSL!AA94</f>
        <v>443</v>
      </c>
      <c r="AB157" s="2">
        <f>MU!AB123+UMKC!AB99+'S&amp;T'!AB64+UMSL!AB94</f>
        <v>505</v>
      </c>
      <c r="AC157" s="2">
        <f>MU!AC123+UMKC!AC99+'S&amp;T'!AC64+UMSL!AC94</f>
        <v>490</v>
      </c>
      <c r="AD157" s="2">
        <f>MU!AD123+UMKC!AD99+'S&amp;T'!AD64+UMSL!AD94</f>
        <v>560</v>
      </c>
      <c r="AE157" s="2">
        <f>MU!AE123+UMKC!AE99+'S&amp;T'!AE64+UMSL!AE94</f>
        <v>499</v>
      </c>
      <c r="AF157" s="2">
        <f>MU!AF123+UMKC!AF99+'S&amp;T'!AF64+UMSL!AF94</f>
        <v>438</v>
      </c>
      <c r="AG157" s="2">
        <f>MU!AG123+UMKC!AG99+'S&amp;T'!AG64+UMSL!AG94</f>
        <v>474</v>
      </c>
      <c r="AH157" s="2">
        <f>MU!AH123+UMKC!AH99+'S&amp;T'!AH64+UMSL!AH94</f>
        <v>475</v>
      </c>
      <c r="AI157" s="2">
        <f>MU!AI123+UMKC!AI99+'S&amp;T'!AI64+UMSL!AI94</f>
        <v>480</v>
      </c>
      <c r="AJ157" s="2">
        <f>MU!AJ123+UMKC!AJ99+'S&amp;T'!AJ64+UMSL!AJ94</f>
        <v>476</v>
      </c>
      <c r="AK157" s="2">
        <f>MU!AK123+UMKC!AK99+'S&amp;T'!AK64+UMSL!AK94</f>
        <v>456</v>
      </c>
      <c r="AL157" s="2">
        <f>MU!AL123+UMKC!AL99+'S&amp;T'!AL64+UMSL!AL94</f>
        <v>491</v>
      </c>
      <c r="AM157" s="2">
        <f>MU!AM123+UMKC!AM99+'S&amp;T'!AM64+UMSL!AM94</f>
        <v>523</v>
      </c>
      <c r="AN157" s="2">
        <f>MU!AN123+UMKC!AN99+'S&amp;T'!AN64+UMSL!AN94</f>
        <v>570</v>
      </c>
      <c r="AO157" s="2">
        <f>MU!AO123+UMKC!AO99+'S&amp;T'!AO64+UMSL!AO94</f>
        <v>584</v>
      </c>
      <c r="AP157" s="2">
        <f>MU!AP123+UMKC!AP99+'S&amp;T'!AP64+UMSL!AP94</f>
        <v>625</v>
      </c>
      <c r="AQ157" s="2">
        <f>MU!AQ123+UMKC!AQ99+'S&amp;T'!AQ64+UMSL!AQ94</f>
        <v>651</v>
      </c>
      <c r="AR157" s="2">
        <f>MU!AR123+UMKC!AR99+'S&amp;T'!AR64+UMSL!AR94</f>
        <v>643</v>
      </c>
      <c r="AS157" s="2">
        <f>MU!AS123+UMKC!AS99+'S&amp;T'!AS64+UMSL!AS94</f>
        <v>570</v>
      </c>
      <c r="AT157" s="2">
        <f>MU!AT123+UMKC!AT99+'S&amp;T'!AT64+UMSL!AT94</f>
        <v>635</v>
      </c>
      <c r="AU157" s="2">
        <f>MU!AU123+UMKC!AU99+'S&amp;T'!AU64+UMSL!AU94</f>
        <v>658</v>
      </c>
      <c r="AV157" s="2">
        <f>MU!AV123+UMKC!AV99+'S&amp;T'!AV64+UMSL!AV94</f>
        <v>689</v>
      </c>
      <c r="AW157" s="2">
        <f>MU!AW123+UMKC!AW99+'S&amp;T'!AW64+UMSL!AW94</f>
        <v>703</v>
      </c>
      <c r="AX157" s="2">
        <f>MU!AX123+UMKC!AX99+'S&amp;T'!AX64+UMSL!AX94</f>
        <v>718</v>
      </c>
      <c r="AY157" s="2">
        <f>MU!AY123+UMKC!AY99+'S&amp;T'!AY64+UMSL!AY94</f>
        <v>646</v>
      </c>
      <c r="AZ157" s="2">
        <f>MU!AZ123+UMKC!AZ99+'S&amp;T'!AZ64+UMSL!AZ94</f>
        <v>659</v>
      </c>
      <c r="BA157" s="2">
        <f>MU!BA123+UMKC!BA99+'S&amp;T'!BA64+UMSL!BA94</f>
        <v>624</v>
      </c>
      <c r="BB157" s="2">
        <f>MU!BB123+UMKC!BB99+'S&amp;T'!BB64+UMSL!BB94</f>
        <v>589</v>
      </c>
      <c r="BC157" s="8"/>
    </row>
    <row r="158" spans="1:55" ht="13.5" customHeight="1" x14ac:dyDescent="0.2">
      <c r="A158" s="7"/>
      <c r="B158" s="3"/>
      <c r="C158" s="3" t="s">
        <v>9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>
        <f>MU!AM124</f>
        <v>0</v>
      </c>
      <c r="AN158" s="2">
        <f>MU!AN124</f>
        <v>1</v>
      </c>
      <c r="AO158" s="2">
        <f>MU!AO124</f>
        <v>12</v>
      </c>
      <c r="AP158" s="2">
        <f>MU!AP124</f>
        <v>3</v>
      </c>
      <c r="AQ158" s="2">
        <f>MU!AQ124</f>
        <v>5</v>
      </c>
      <c r="AR158" s="2">
        <f>MU!AR124</f>
        <v>10</v>
      </c>
      <c r="AS158" s="2">
        <f>MU!AS124</f>
        <v>12</v>
      </c>
      <c r="AT158" s="2">
        <f>MU!AT124</f>
        <v>14</v>
      </c>
      <c r="AU158" s="2">
        <f>MU!AU124</f>
        <v>10</v>
      </c>
      <c r="AV158" s="2">
        <f>MU!AV124</f>
        <v>11</v>
      </c>
      <c r="AW158" s="2">
        <f>MU!AW124</f>
        <v>15</v>
      </c>
      <c r="AX158" s="2">
        <f>MU!AX124</f>
        <v>9</v>
      </c>
      <c r="AY158" s="2">
        <f>MU!AY124+UMKC!AY100</f>
        <v>9</v>
      </c>
      <c r="AZ158" s="2">
        <f>MU!AZ124+UMKC!AZ100</f>
        <v>17</v>
      </c>
      <c r="BA158" s="2">
        <f>MU!BA124+UMKC!BA100</f>
        <v>19</v>
      </c>
      <c r="BB158" s="2">
        <f>MU!BB124+UMKC!BB100</f>
        <v>14</v>
      </c>
      <c r="BC158" s="8"/>
    </row>
    <row r="159" spans="1:55" ht="13.5" customHeight="1" x14ac:dyDescent="0.2">
      <c r="A159" s="7"/>
      <c r="B159" s="3"/>
      <c r="C159" s="3" t="s">
        <v>5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>
        <f>MU!W125+UMKC!W101+UMSL!W96</f>
        <v>51</v>
      </c>
      <c r="X159" s="2">
        <f>MU!X125+UMKC!X101+UMSL!X96</f>
        <v>46</v>
      </c>
      <c r="Y159" s="2">
        <f>MU!Y125+UMKC!Y101+UMSL!Y96</f>
        <v>55</v>
      </c>
      <c r="Z159" s="2">
        <f>MU!Z125+UMKC!Z101+UMSL!Z96</f>
        <v>45</v>
      </c>
      <c r="AA159" s="2">
        <f>MU!AA125+UMKC!AA101+UMSL!AA96</f>
        <v>53</v>
      </c>
      <c r="AB159" s="2">
        <f>MU!AB125+UMKC!AB101+UMSL!AB96</f>
        <v>77</v>
      </c>
      <c r="AC159" s="2">
        <f>MU!AC125+UMKC!AC101+UMSL!AC96</f>
        <v>77</v>
      </c>
      <c r="AD159" s="2">
        <f>MU!AD125+UMKC!AD101+UMSL!AD96</f>
        <v>89</v>
      </c>
      <c r="AE159" s="2">
        <f>MU!AE125+UMKC!AE101+UMSL!AE96</f>
        <v>79</v>
      </c>
      <c r="AF159" s="2">
        <f>MU!AF125+UMKC!AF101+UMSL!AF96</f>
        <v>93</v>
      </c>
      <c r="AG159" s="2">
        <f>MU!AG125+UMKC!AG101+UMSL!AG96</f>
        <v>89</v>
      </c>
      <c r="AH159" s="2">
        <f>MU!AH125+UMKC!AH101+UMSL!AH96</f>
        <v>111</v>
      </c>
      <c r="AI159" s="2">
        <f>MU!AI125+UMKC!AI101+UMSL!AI96</f>
        <v>69</v>
      </c>
      <c r="AJ159" s="2">
        <f>MU!AJ125+UMKC!AJ101+UMSL!AJ96</f>
        <v>61</v>
      </c>
      <c r="AK159" s="2">
        <f>MU!AK125+UMKC!AK101+UMSL!AK96</f>
        <v>74</v>
      </c>
      <c r="AL159" s="2">
        <f>MU!AL125+UMKC!AL101+UMSL!AL96</f>
        <v>105</v>
      </c>
      <c r="AM159" s="2">
        <f>MU!AM125+UMKC!AM101+UMSL!AM96</f>
        <v>81</v>
      </c>
      <c r="AN159" s="2">
        <f>MU!AN125+UMKC!AN101+UMSL!AN96</f>
        <v>78</v>
      </c>
      <c r="AO159" s="2">
        <f>MU!AO125+UMKC!AO101+UMSL!AO96</f>
        <v>94</v>
      </c>
      <c r="AP159" s="2">
        <f>MU!AP125+UMKC!AP101+UMSL!AP96</f>
        <v>100</v>
      </c>
      <c r="AQ159" s="2">
        <f>MU!AQ125+UMKC!AQ101+UMSL!AQ96</f>
        <v>82</v>
      </c>
      <c r="AR159" s="2">
        <f>MU!AR125+UMKC!AR101+UMSL!AR96</f>
        <v>101</v>
      </c>
      <c r="AS159" s="2">
        <f>MU!AS125+UMKC!AS101+UMSL!AS96</f>
        <v>88</v>
      </c>
      <c r="AT159" s="2">
        <f>MU!AT125+UMKC!AT101+UMSL!AT96</f>
        <v>78</v>
      </c>
      <c r="AU159" s="2">
        <f>MU!AU125+UMKC!AU101+UMSL!AU96</f>
        <v>106</v>
      </c>
      <c r="AV159" s="2">
        <f>MU!AV125+UMKC!AV101+UMSL!AV96</f>
        <v>118</v>
      </c>
      <c r="AW159" s="2">
        <f>MU!AW125+UMKC!AW101+UMSL!AW96</f>
        <v>107</v>
      </c>
      <c r="AX159" s="2">
        <f>MU!AX125+UMKC!AX101+UMSL!AX96</f>
        <v>121</v>
      </c>
      <c r="AY159" s="2">
        <f>MU!AY125+UMKC!AY101+UMSL!AY96</f>
        <v>99</v>
      </c>
      <c r="AZ159" s="2">
        <f>MU!AZ125+UMKC!AZ101+UMSL!AZ96</f>
        <v>113</v>
      </c>
      <c r="BA159" s="2">
        <f>MU!BA125+UMKC!BA101+UMSL!BA96</f>
        <v>96</v>
      </c>
      <c r="BB159" s="2">
        <f>MU!BB125+UMKC!BB101+UMSL!BB96</f>
        <v>88</v>
      </c>
      <c r="BC159" s="8"/>
    </row>
    <row r="160" spans="1:55" ht="13.5" customHeight="1" x14ac:dyDescent="0.2">
      <c r="A160" s="7"/>
      <c r="B160" s="3"/>
      <c r="C160" s="3" t="s">
        <v>7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>
        <f>MU!W126+UMSL!W97</f>
        <v>9</v>
      </c>
      <c r="X160" s="2">
        <f>MU!X126+UMSL!X97</f>
        <v>23</v>
      </c>
      <c r="Y160" s="2">
        <f>MU!Y126+UMSL!Y97</f>
        <v>10</v>
      </c>
      <c r="Z160" s="2">
        <f>MU!Z126+UMSL!Z97</f>
        <v>24</v>
      </c>
      <c r="AA160" s="2">
        <f>MU!AA126+UMSL!AA97</f>
        <v>14</v>
      </c>
      <c r="AB160" s="2">
        <f>MU!AB126+UMSL!AB97</f>
        <v>19</v>
      </c>
      <c r="AC160" s="2">
        <f>MU!AC126+UMSL!AC97</f>
        <v>20</v>
      </c>
      <c r="AD160" s="2">
        <f>MU!AD126+UMSL!AD97</f>
        <v>21</v>
      </c>
      <c r="AE160" s="2">
        <f>MU!AE126+UMSL!AE97</f>
        <v>22</v>
      </c>
      <c r="AF160" s="2">
        <f>MU!AF126+UMSL!AF97</f>
        <v>20</v>
      </c>
      <c r="AG160" s="2">
        <f>MU!AG126+UMSL!AG97</f>
        <v>31</v>
      </c>
      <c r="AH160" s="2">
        <f>MU!AH126+UMSL!AH97</f>
        <v>25</v>
      </c>
      <c r="AI160" s="2">
        <f>MU!AI126+UMSL!AI97</f>
        <v>27</v>
      </c>
      <c r="AJ160" s="2">
        <f>MU!AJ126+UMSL!AJ97</f>
        <v>24</v>
      </c>
      <c r="AK160" s="2">
        <f>MU!AK126+UMSL!AK97</f>
        <v>31</v>
      </c>
      <c r="AL160" s="2">
        <f>MU!AL126+UMSL!AL97</f>
        <v>24</v>
      </c>
      <c r="AM160" s="2">
        <f>MU!AM126+UMSL!AM97</f>
        <v>41</v>
      </c>
      <c r="AN160" s="2">
        <f>MU!AN126+UMSL!AN97</f>
        <v>25</v>
      </c>
      <c r="AO160" s="2">
        <f>MU!AO126+UMSL!AO97</f>
        <v>31</v>
      </c>
      <c r="AP160" s="2">
        <f>MU!AP126+UMSL!AP97</f>
        <v>26</v>
      </c>
      <c r="AQ160" s="2">
        <f>MU!AQ126+UMSL!AQ97</f>
        <v>30</v>
      </c>
      <c r="AR160" s="2">
        <f>MU!AR126+UMSL!AR97</f>
        <v>25</v>
      </c>
      <c r="AS160" s="2">
        <f>MU!AS126+UMSL!AS97</f>
        <v>24</v>
      </c>
      <c r="AT160" s="2">
        <f>MU!AT126+UMSL!AT97</f>
        <v>32</v>
      </c>
      <c r="AU160" s="2">
        <f>MU!AU126+UMSL!AU97</f>
        <v>32</v>
      </c>
      <c r="AV160" s="2">
        <f>MU!AV126+UMSL!AV97</f>
        <v>26</v>
      </c>
      <c r="AW160" s="2">
        <f>MU!AW126+UMSL!AW97</f>
        <v>33</v>
      </c>
      <c r="AX160" s="2">
        <f>MU!AX126+UMSL!AX97</f>
        <v>27</v>
      </c>
      <c r="AY160" s="2">
        <f>MU!AY126+UMSL!AY97</f>
        <v>29</v>
      </c>
      <c r="AZ160" s="2">
        <f>MU!AZ126+UMSL!AZ97</f>
        <v>33</v>
      </c>
      <c r="BA160" s="2">
        <f>MU!BA126+UMSL!BA97</f>
        <v>35</v>
      </c>
      <c r="BB160" s="2">
        <f>MU!BB126+UMSL!BB97</f>
        <v>43</v>
      </c>
      <c r="BC160" s="8"/>
    </row>
    <row r="161" spans="1:55" ht="13.5" customHeight="1" x14ac:dyDescent="0.2">
      <c r="A161" s="7"/>
      <c r="B161" s="3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11">
        <f t="shared" ref="W161:AA161" si="114">SUM(W157:W160)</f>
        <v>409</v>
      </c>
      <c r="X161" s="11">
        <f t="shared" si="114"/>
        <v>437</v>
      </c>
      <c r="Y161" s="11">
        <f t="shared" si="114"/>
        <v>473</v>
      </c>
      <c r="Z161" s="11">
        <f t="shared" si="114"/>
        <v>433</v>
      </c>
      <c r="AA161" s="11">
        <f t="shared" si="114"/>
        <v>510</v>
      </c>
      <c r="AB161" s="11">
        <f t="shared" ref="AB161:AD161" si="115">SUM(AB157:AB160)</f>
        <v>601</v>
      </c>
      <c r="AC161" s="11">
        <f t="shared" si="115"/>
        <v>587</v>
      </c>
      <c r="AD161" s="11">
        <f t="shared" si="115"/>
        <v>670</v>
      </c>
      <c r="AE161" s="11">
        <f t="shared" ref="AE161:AG161" si="116">SUM(AE157:AE160)</f>
        <v>600</v>
      </c>
      <c r="AF161" s="11">
        <f t="shared" si="116"/>
        <v>551</v>
      </c>
      <c r="AG161" s="11">
        <f t="shared" si="116"/>
        <v>594</v>
      </c>
      <c r="AH161" s="11">
        <f t="shared" ref="AH161:AV161" si="117">SUM(AH157:AH160)</f>
        <v>611</v>
      </c>
      <c r="AI161" s="11">
        <f t="shared" si="117"/>
        <v>576</v>
      </c>
      <c r="AJ161" s="11">
        <f t="shared" si="117"/>
        <v>561</v>
      </c>
      <c r="AK161" s="11">
        <f t="shared" si="117"/>
        <v>561</v>
      </c>
      <c r="AL161" s="11">
        <f t="shared" si="117"/>
        <v>620</v>
      </c>
      <c r="AM161" s="11">
        <f t="shared" si="117"/>
        <v>645</v>
      </c>
      <c r="AN161" s="11">
        <f t="shared" si="117"/>
        <v>674</v>
      </c>
      <c r="AO161" s="11">
        <f t="shared" si="117"/>
        <v>721</v>
      </c>
      <c r="AP161" s="11">
        <f t="shared" si="117"/>
        <v>754</v>
      </c>
      <c r="AQ161" s="11">
        <f t="shared" si="117"/>
        <v>768</v>
      </c>
      <c r="AR161" s="11">
        <f t="shared" si="117"/>
        <v>779</v>
      </c>
      <c r="AS161" s="11">
        <f t="shared" si="117"/>
        <v>694</v>
      </c>
      <c r="AT161" s="11">
        <f t="shared" si="117"/>
        <v>759</v>
      </c>
      <c r="AU161" s="11">
        <f t="shared" si="117"/>
        <v>806</v>
      </c>
      <c r="AV161" s="11">
        <f t="shared" si="117"/>
        <v>844</v>
      </c>
      <c r="AW161" s="11">
        <f>SUM(AW157:AW160)</f>
        <v>858</v>
      </c>
      <c r="AX161" s="11">
        <f>SUM(AX157:AX160)</f>
        <v>875</v>
      </c>
      <c r="AY161" s="11">
        <f>SUM(AY156:AY160)</f>
        <v>790</v>
      </c>
      <c r="AZ161" s="11">
        <f>SUM(AZ156:AZ160)</f>
        <v>828</v>
      </c>
      <c r="BA161" s="11">
        <f>SUM(BA156:BA160)</f>
        <v>785</v>
      </c>
      <c r="BB161" s="11">
        <f>SUM(BB156:BB160)</f>
        <v>752</v>
      </c>
      <c r="BC161" s="8"/>
    </row>
    <row r="162" spans="1:55" ht="13.5" customHeight="1" x14ac:dyDescent="0.2">
      <c r="A162" s="7"/>
      <c r="B162" s="33" t="s">
        <v>76</v>
      </c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8"/>
    </row>
    <row r="163" spans="1:55" ht="13.5" customHeight="1" x14ac:dyDescent="0.2">
      <c r="A163" s="7"/>
      <c r="B163" s="3"/>
      <c r="C163" s="3" t="s">
        <v>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>
        <f>MU!W129+UMKC!W104+UMSL!W100</f>
        <v>183</v>
      </c>
      <c r="X163" s="2">
        <f>MU!X129+UMKC!X104+UMSL!X100</f>
        <v>132</v>
      </c>
      <c r="Y163" s="2">
        <f>MU!Y129+UMKC!Y104+UMSL!Y100</f>
        <v>88</v>
      </c>
      <c r="Z163" s="2">
        <f>MU!Z129+UMKC!Z104+UMSL!Z100</f>
        <v>114</v>
      </c>
      <c r="AA163" s="2">
        <f>MU!AA129+UMKC!AA104+UMSL!AA100</f>
        <v>125</v>
      </c>
      <c r="AB163" s="2">
        <f>MU!AB129+UMKC!AB104+UMSL!AB100</f>
        <v>108</v>
      </c>
      <c r="AC163" s="2">
        <f>MU!AC129+UMKC!AC104+UMSL!AC100</f>
        <v>115</v>
      </c>
      <c r="AD163" s="2">
        <f>MU!AD129+UMKC!AD104+UMSL!AD100</f>
        <v>146</v>
      </c>
      <c r="AE163" s="2">
        <f>MU!AE129+UMKC!AE104+UMSL!AE100</f>
        <v>113</v>
      </c>
      <c r="AF163" s="2">
        <f>MU!AF129+UMKC!AF104+UMSL!AF100</f>
        <v>110</v>
      </c>
      <c r="AG163" s="2">
        <f>MU!AG129+UMKC!AG104+UMSL!AG100</f>
        <v>105</v>
      </c>
      <c r="AH163" s="2">
        <f>MU!AH129+UMKC!AH104+UMSL!AH100</f>
        <v>123</v>
      </c>
      <c r="AI163" s="2">
        <f>MU!AI129+UMKC!AI104+UMSL!AI100</f>
        <v>155</v>
      </c>
      <c r="AJ163" s="2">
        <f>MU!AJ129+UMKC!AJ104+UMSL!AJ100</f>
        <v>166</v>
      </c>
      <c r="AK163" s="2">
        <f>MU!AK129+UMKC!AK104+UMSL!AK100</f>
        <v>184</v>
      </c>
      <c r="AL163" s="2">
        <f>MU!AL129+UMKC!AL104+UMSL!AL100</f>
        <v>195</v>
      </c>
      <c r="AM163" s="2">
        <f>MU!AM129+UMKC!AM104+UMSL!AM100</f>
        <v>201</v>
      </c>
      <c r="AN163" s="2">
        <f>MU!AN129+UMKC!AN104+UMSL!AN100</f>
        <v>222</v>
      </c>
      <c r="AO163" s="2">
        <f>MU!AO129+UMKC!AO104+UMSL!AO100</f>
        <v>228</v>
      </c>
      <c r="AP163" s="2">
        <f>MU!AP129+UMKC!AP104+UMSL!AP100</f>
        <v>257</v>
      </c>
      <c r="AQ163" s="2">
        <f>MU!AQ129+UMKC!AQ104+UMSL!AQ100</f>
        <v>235</v>
      </c>
      <c r="AR163" s="2">
        <f>MU!AR129+UMKC!AR104+UMSL!AR100</f>
        <v>227</v>
      </c>
      <c r="AS163" s="2">
        <f>MU!AS129+UMKC!AS104+UMSL!AS100</f>
        <v>245</v>
      </c>
      <c r="AT163" s="2">
        <f>MU!AT129+UMKC!AT104+UMSL!AT100</f>
        <v>263</v>
      </c>
      <c r="AU163" s="2">
        <f>MU!AU129+UMKC!AU104+UMSL!AU100</f>
        <v>251</v>
      </c>
      <c r="AV163" s="2">
        <f>MU!AV129+UMKC!AV104+UMSL!AV100</f>
        <v>297</v>
      </c>
      <c r="AW163" s="2">
        <f>MU!AW129+UMKC!AW104+UMSL!AW100</f>
        <v>303</v>
      </c>
      <c r="AX163" s="2">
        <f>MU!AX129+UMKC!AX104+UMSL!AX100</f>
        <v>265</v>
      </c>
      <c r="AY163" s="2">
        <f>MU!AY129+UMKC!AY104+UMSL!AY100</f>
        <v>293</v>
      </c>
      <c r="AZ163" s="2">
        <f>MU!AZ129+UMKC!AZ104+UMSL!AZ100</f>
        <v>277</v>
      </c>
      <c r="BA163" s="2">
        <f>MU!BA129+UMKC!BA104+UMSL!BA100</f>
        <v>263</v>
      </c>
      <c r="BB163" s="2">
        <f>MU!BB129+UMKC!BB104+UMSL!BB100</f>
        <v>280</v>
      </c>
      <c r="BC163" s="8"/>
    </row>
    <row r="164" spans="1:55" ht="13.5" customHeight="1" x14ac:dyDescent="0.2">
      <c r="A164" s="7"/>
      <c r="B164" s="3"/>
      <c r="C164" s="3" t="s">
        <v>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>
        <f>UMKC!AM105</f>
        <v>1</v>
      </c>
      <c r="AN164" s="2">
        <f>UMKC!AN105</f>
        <v>0</v>
      </c>
      <c r="AO164" s="2">
        <f>UMKC!AO105</f>
        <v>2</v>
      </c>
      <c r="AP164" s="2">
        <f>UMKC!AP105</f>
        <v>0</v>
      </c>
      <c r="AQ164" s="2">
        <f>UMKC!AQ105</f>
        <v>0</v>
      </c>
      <c r="AR164" s="2">
        <f>UMKC!AR105</f>
        <v>2</v>
      </c>
      <c r="AS164" s="2">
        <f>UMKC!AS105</f>
        <v>2</v>
      </c>
      <c r="AT164" s="2">
        <f>UMKC!AT105</f>
        <v>1</v>
      </c>
      <c r="AU164" s="2">
        <f>MU!AU130+UMKC!AU105</f>
        <v>5</v>
      </c>
      <c r="AV164" s="2">
        <f>MU!AV130+UMKC!AV105</f>
        <v>5</v>
      </c>
      <c r="AW164" s="2">
        <f>MU!AW130+UMKC!AW105</f>
        <v>7</v>
      </c>
      <c r="AX164" s="2">
        <f>MU!AX130+UMKC!AX105</f>
        <v>7</v>
      </c>
      <c r="AY164" s="2">
        <f>MU!AY130+UMKC!AY105</f>
        <v>9</v>
      </c>
      <c r="AZ164" s="2">
        <f>MU!AZ130+UMKC!AZ105</f>
        <v>4</v>
      </c>
      <c r="BA164" s="2">
        <f>MU!BA130+UMKC!BA105</f>
        <v>4</v>
      </c>
      <c r="BB164" s="2">
        <f>MU!BB130+UMKC!BB105</f>
        <v>11</v>
      </c>
      <c r="BC164" s="8"/>
    </row>
    <row r="165" spans="1:55" ht="13.5" customHeight="1" x14ac:dyDescent="0.2">
      <c r="A165" s="7"/>
      <c r="B165" s="3"/>
      <c r="C165" s="3" t="s">
        <v>5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>
        <f>MU!W131+UMKC!W106</f>
        <v>44</v>
      </c>
      <c r="X165" s="2">
        <f>MU!X131+UMKC!X106</f>
        <v>72</v>
      </c>
      <c r="Y165" s="2">
        <f>MU!Y131+UMKC!Y106</f>
        <v>70</v>
      </c>
      <c r="Z165" s="2">
        <f>MU!Z131+UMKC!Z106</f>
        <v>70</v>
      </c>
      <c r="AA165" s="2">
        <f>MU!AA131+UMKC!AA106</f>
        <v>63</v>
      </c>
      <c r="AB165" s="2">
        <f>MU!AB131+UMKC!AB106</f>
        <v>61</v>
      </c>
      <c r="AC165" s="2">
        <f>MU!AC131+UMKC!AC106</f>
        <v>78</v>
      </c>
      <c r="AD165" s="2">
        <f>MU!AD131+UMKC!AD106</f>
        <v>72</v>
      </c>
      <c r="AE165" s="2">
        <f>MU!AE131+UMKC!AE106</f>
        <v>60</v>
      </c>
      <c r="AF165" s="2">
        <f>MU!AF131+UMKC!AF106</f>
        <v>83</v>
      </c>
      <c r="AG165" s="2">
        <f>MU!AG131+UMKC!AG106</f>
        <v>96</v>
      </c>
      <c r="AH165" s="2">
        <f>MU!AH131+UMKC!AH106</f>
        <v>76</v>
      </c>
      <c r="AI165" s="2">
        <f>MU!AI131+UMKC!AI106</f>
        <v>83</v>
      </c>
      <c r="AJ165" s="2">
        <f>MU!AJ131+UMKC!AJ106</f>
        <v>71</v>
      </c>
      <c r="AK165" s="2">
        <f>MU!AK131+UMKC!AK106</f>
        <v>81</v>
      </c>
      <c r="AL165" s="2">
        <f>MU!AL131+UMKC!AL106</f>
        <v>68</v>
      </c>
      <c r="AM165" s="2">
        <f>MU!AM131+UMKC!AM106</f>
        <v>68</v>
      </c>
      <c r="AN165" s="2">
        <f>MU!AN131+UMKC!AN106</f>
        <v>62</v>
      </c>
      <c r="AO165" s="2">
        <f>MU!AO131+UMKC!AO106</f>
        <v>89</v>
      </c>
      <c r="AP165" s="2">
        <f>MU!AP131+UMKC!AP106</f>
        <v>81</v>
      </c>
      <c r="AQ165" s="2">
        <f>MU!AQ131+UMKC!AQ106</f>
        <v>85</v>
      </c>
      <c r="AR165" s="2">
        <f>MU!AR131+UMKC!AR106</f>
        <v>105</v>
      </c>
      <c r="AS165" s="2">
        <f>MU!AS131+UMKC!AS106</f>
        <v>89</v>
      </c>
      <c r="AT165" s="2">
        <f>MU!AT131+UMKC!AT106</f>
        <v>101</v>
      </c>
      <c r="AU165" s="2">
        <f>MU!AU131+UMKC!AU106</f>
        <v>85</v>
      </c>
      <c r="AV165" s="2">
        <f>MU!AV131+UMKC!AV106</f>
        <v>103</v>
      </c>
      <c r="AW165" s="2">
        <f>MU!AW131+UMKC!AW106</f>
        <v>86</v>
      </c>
      <c r="AX165" s="2">
        <f>MU!AX131+UMKC!AX106</f>
        <v>102</v>
      </c>
      <c r="AY165" s="2">
        <f>MU!AY131+UMKC!AY106</f>
        <v>100</v>
      </c>
      <c r="AZ165" s="2">
        <f>MU!AZ131+UMKC!AZ106</f>
        <v>124</v>
      </c>
      <c r="BA165" s="2">
        <f>MU!BA131+UMKC!BA106</f>
        <v>73</v>
      </c>
      <c r="BB165" s="2">
        <f>MU!BB131+UMKC!BB106</f>
        <v>108</v>
      </c>
      <c r="BC165" s="8"/>
    </row>
    <row r="166" spans="1:55" ht="13.5" customHeight="1" x14ac:dyDescent="0.2">
      <c r="A166" s="7"/>
      <c r="B166" s="3"/>
      <c r="C166" s="3" t="s">
        <v>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>
        <f>MU!W132+UMKC!W107</f>
        <v>8</v>
      </c>
      <c r="X166" s="2">
        <f>MU!X132+UMKC!X107</f>
        <v>10</v>
      </c>
      <c r="Y166" s="2">
        <f>MU!Y132+UMKC!Y107</f>
        <v>11</v>
      </c>
      <c r="Z166" s="2">
        <f>MU!Z132+UMKC!Z107</f>
        <v>15</v>
      </c>
      <c r="AA166" s="2">
        <f>MU!AA132+UMKC!AA107</f>
        <v>9</v>
      </c>
      <c r="AB166" s="2">
        <f>MU!AB132+UMKC!AB107</f>
        <v>11</v>
      </c>
      <c r="AC166" s="2">
        <f>MU!AC132+UMKC!AC107</f>
        <v>14</v>
      </c>
      <c r="AD166" s="2">
        <f>MU!AD132+UMKC!AD107</f>
        <v>6</v>
      </c>
      <c r="AE166" s="2">
        <f>MU!AE132+UMKC!AE107</f>
        <v>6</v>
      </c>
      <c r="AF166" s="2">
        <f>MU!AF132+UMKC!AF107</f>
        <v>10</v>
      </c>
      <c r="AG166" s="2">
        <f>MU!AG132+UMKC!AG107</f>
        <v>17</v>
      </c>
      <c r="AH166" s="2">
        <f>MU!AH132+UMKC!AH107</f>
        <v>15</v>
      </c>
      <c r="AI166" s="2">
        <f>MU!AI132+UMKC!AI107</f>
        <v>19</v>
      </c>
      <c r="AJ166" s="2">
        <f>MU!AJ132+UMKC!AJ107</f>
        <v>19</v>
      </c>
      <c r="AK166" s="2">
        <f>MU!AK132+UMKC!AK107</f>
        <v>22</v>
      </c>
      <c r="AL166" s="2">
        <f>MU!AL132+UMKC!AL107</f>
        <v>10</v>
      </c>
      <c r="AM166" s="2">
        <f>MU!AM132+UMKC!AM107</f>
        <v>14</v>
      </c>
      <c r="AN166" s="2">
        <f>MU!AN132+UMKC!AN107</f>
        <v>19</v>
      </c>
      <c r="AO166" s="2">
        <f>MU!AO132+UMKC!AO107</f>
        <v>12</v>
      </c>
      <c r="AP166" s="2">
        <f>MU!AP132+UMKC!AP107</f>
        <v>11</v>
      </c>
      <c r="AQ166" s="2">
        <f>MU!AQ132+UMKC!AQ107</f>
        <v>18</v>
      </c>
      <c r="AR166" s="2">
        <f>MU!AR132+UMKC!AR107</f>
        <v>12</v>
      </c>
      <c r="AS166" s="2">
        <f>MU!AS132+UMKC!AS107</f>
        <v>23</v>
      </c>
      <c r="AT166" s="2">
        <f>MU!AT132+UMKC!AT107</f>
        <v>23</v>
      </c>
      <c r="AU166" s="2">
        <f>MU!AU132+UMKC!AU107</f>
        <v>24</v>
      </c>
      <c r="AV166" s="2">
        <f>MU!AV132+UMKC!AV107</f>
        <v>20</v>
      </c>
      <c r="AW166" s="2">
        <f>MU!AW132+UMKC!AW107</f>
        <v>24</v>
      </c>
      <c r="AX166" s="2">
        <f>MU!AX132+UMKC!AX107</f>
        <v>22</v>
      </c>
      <c r="AY166" s="2">
        <f>MU!AY132+UMKC!AY107</f>
        <v>19</v>
      </c>
      <c r="AZ166" s="2">
        <f>MU!AZ132+UMKC!AZ107</f>
        <v>27</v>
      </c>
      <c r="BA166" s="2">
        <f>MU!BA132+UMKC!BA107</f>
        <v>23</v>
      </c>
      <c r="BB166" s="2">
        <f>MU!BB132+UMKC!BB107</f>
        <v>23</v>
      </c>
      <c r="BC166" s="8"/>
    </row>
    <row r="167" spans="1:55" ht="13.5" customHeight="1" x14ac:dyDescent="0.2">
      <c r="A167" s="7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11">
        <f t="shared" ref="W167:AA167" si="118">SUM(W163:W166)</f>
        <v>235</v>
      </c>
      <c r="X167" s="11">
        <f t="shared" si="118"/>
        <v>214</v>
      </c>
      <c r="Y167" s="11">
        <f t="shared" si="118"/>
        <v>169</v>
      </c>
      <c r="Z167" s="11">
        <f t="shared" si="118"/>
        <v>199</v>
      </c>
      <c r="AA167" s="11">
        <f t="shared" si="118"/>
        <v>197</v>
      </c>
      <c r="AB167" s="11">
        <f t="shared" ref="AB167:AD167" si="119">SUM(AB163:AB166)</f>
        <v>180</v>
      </c>
      <c r="AC167" s="11">
        <f t="shared" si="119"/>
        <v>207</v>
      </c>
      <c r="AD167" s="11">
        <f t="shared" si="119"/>
        <v>224</v>
      </c>
      <c r="AE167" s="11">
        <f t="shared" ref="AE167:AG167" si="120">SUM(AE163:AE166)</f>
        <v>179</v>
      </c>
      <c r="AF167" s="11">
        <f t="shared" si="120"/>
        <v>203</v>
      </c>
      <c r="AG167" s="11">
        <f t="shared" si="120"/>
        <v>218</v>
      </c>
      <c r="AH167" s="11">
        <f t="shared" ref="AH167:AV167" si="121">SUM(AH163:AH166)</f>
        <v>214</v>
      </c>
      <c r="AI167" s="11">
        <f t="shared" si="121"/>
        <v>257</v>
      </c>
      <c r="AJ167" s="11">
        <f t="shared" si="121"/>
        <v>256</v>
      </c>
      <c r="AK167" s="11">
        <f t="shared" si="121"/>
        <v>287</v>
      </c>
      <c r="AL167" s="11">
        <f t="shared" si="121"/>
        <v>273</v>
      </c>
      <c r="AM167" s="11">
        <f t="shared" si="121"/>
        <v>284</v>
      </c>
      <c r="AN167" s="11">
        <f t="shared" si="121"/>
        <v>303</v>
      </c>
      <c r="AO167" s="11">
        <f t="shared" si="121"/>
        <v>331</v>
      </c>
      <c r="AP167" s="11">
        <f t="shared" si="121"/>
        <v>349</v>
      </c>
      <c r="AQ167" s="11">
        <f t="shared" si="121"/>
        <v>338</v>
      </c>
      <c r="AR167" s="11">
        <f t="shared" si="121"/>
        <v>346</v>
      </c>
      <c r="AS167" s="11">
        <f t="shared" si="121"/>
        <v>359</v>
      </c>
      <c r="AT167" s="11">
        <f t="shared" si="121"/>
        <v>388</v>
      </c>
      <c r="AU167" s="11">
        <f t="shared" si="121"/>
        <v>365</v>
      </c>
      <c r="AV167" s="11">
        <f t="shared" si="121"/>
        <v>425</v>
      </c>
      <c r="AW167" s="11">
        <f t="shared" ref="AW167:BB167" si="122">SUM(AW163:AW166)</f>
        <v>420</v>
      </c>
      <c r="AX167" s="11">
        <f t="shared" si="122"/>
        <v>396</v>
      </c>
      <c r="AY167" s="11">
        <f t="shared" si="122"/>
        <v>421</v>
      </c>
      <c r="AZ167" s="11">
        <f t="shared" si="122"/>
        <v>432</v>
      </c>
      <c r="BA167" s="11">
        <f t="shared" si="122"/>
        <v>363</v>
      </c>
      <c r="BB167" s="11">
        <f t="shared" si="122"/>
        <v>422</v>
      </c>
      <c r="BC167" s="8"/>
    </row>
    <row r="168" spans="1:55" ht="13.5" customHeight="1" x14ac:dyDescent="0.2">
      <c r="A168" s="7"/>
      <c r="B168" s="33" t="s">
        <v>75</v>
      </c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8"/>
    </row>
    <row r="169" spans="1:55" ht="13.5" customHeight="1" x14ac:dyDescent="0.2">
      <c r="A169" s="7"/>
      <c r="B169" s="3"/>
      <c r="C169" s="3" t="s">
        <v>0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>
        <f>MU!W135+UMKC!W110+UMSL!W102</f>
        <v>357</v>
      </c>
      <c r="X169" s="2">
        <f>MU!X135+UMKC!X110+UMSL!X102</f>
        <v>393</v>
      </c>
      <c r="Y169" s="2">
        <f>MU!Y135+UMKC!Y110+UMSL!Y102</f>
        <v>399</v>
      </c>
      <c r="Z169" s="2">
        <f>MU!Z135+UMKC!Z110+UMSL!Z102</f>
        <v>392</v>
      </c>
      <c r="AA169" s="2">
        <f>MU!AA135+UMKC!AA110+UMSL!AA102</f>
        <v>362</v>
      </c>
      <c r="AB169" s="2">
        <f>MU!AB135+UMKC!AB110+UMSL!AB102</f>
        <v>377</v>
      </c>
      <c r="AC169" s="2">
        <f>MU!AC135+UMKC!AC110+UMSL!AC102</f>
        <v>374</v>
      </c>
      <c r="AD169" s="2">
        <f>MU!AD135+UMKC!AD110+UMSL!AD102</f>
        <v>396</v>
      </c>
      <c r="AE169" s="2">
        <f>MU!AE135+UMKC!AE110+UMSL!AE102</f>
        <v>481</v>
      </c>
      <c r="AF169" s="2">
        <f>MU!AF135+UMKC!AF110+UMSL!AF102</f>
        <v>463</v>
      </c>
      <c r="AG169" s="2">
        <f>MU!AG135+UMKC!AG110+UMSL!AG102</f>
        <v>483</v>
      </c>
      <c r="AH169" s="2">
        <f>MU!AH135+UMKC!AH110+UMSL!AH102</f>
        <v>466</v>
      </c>
      <c r="AI169" s="2">
        <f>MU!AI135+UMKC!AI110+UMSL!AI102</f>
        <v>471</v>
      </c>
      <c r="AJ169" s="2">
        <f>MU!AJ135+UMKC!AJ110+UMSL!AJ102</f>
        <v>402</v>
      </c>
      <c r="AK169" s="2">
        <f>MU!AK135+UMKC!AK110+UMSL!AK102</f>
        <v>419</v>
      </c>
      <c r="AL169" s="2">
        <f>MU!AL135+UMKC!AL110+UMSL!AL102</f>
        <v>420</v>
      </c>
      <c r="AM169" s="2">
        <f>MU!AM135+UMKC!AM110+UMSL!AM102</f>
        <v>401</v>
      </c>
      <c r="AN169" s="2">
        <f>MU!AN135+UMKC!AN110+UMSL!AN102</f>
        <v>402</v>
      </c>
      <c r="AO169" s="2">
        <f>MU!AO135+UMKC!AO110+UMSL!AO102</f>
        <v>521</v>
      </c>
      <c r="AP169" s="2">
        <f>MU!AP135+UMKC!AP110+UMSL!AP102</f>
        <v>549</v>
      </c>
      <c r="AQ169" s="2">
        <f>MU!AQ135+UMKC!AQ110+UMSL!AQ102</f>
        <v>619</v>
      </c>
      <c r="AR169" s="2">
        <f>MU!AR135+UMKC!AR110+UMSL!AR102</f>
        <v>640</v>
      </c>
      <c r="AS169" s="2">
        <f>MU!AS135+UMKC!AS110+UMSL!AS102</f>
        <v>666</v>
      </c>
      <c r="AT169" s="2">
        <f>MU!AT135+UMKC!AT110+UMSL!AT102</f>
        <v>714</v>
      </c>
      <c r="AU169" s="2">
        <f>MU!AU135+UMKC!AU110+UMSL!AU102</f>
        <v>833</v>
      </c>
      <c r="AV169" s="2">
        <f>MU!AV135+UMKC!AV110+UMSL!AV102</f>
        <v>973</v>
      </c>
      <c r="AW169" s="2">
        <f>MU!AW135+UMKC!AW110+UMSL!AW102</f>
        <v>1122</v>
      </c>
      <c r="AX169" s="2">
        <f>MU!AX135+UMKC!AX110+UMSL!AX102</f>
        <v>1285</v>
      </c>
      <c r="AY169" s="2">
        <f>MU!AY135+UMKC!AY110+UMSL!AY102</f>
        <v>1410</v>
      </c>
      <c r="AZ169" s="2">
        <f>MU!AZ135+UMKC!AZ110+UMSL!AZ102</f>
        <v>1453</v>
      </c>
      <c r="BA169" s="2">
        <f>MU!BA135+UMKC!BA110+UMSL!BA102</f>
        <v>1444</v>
      </c>
      <c r="BB169" s="2">
        <f>MU!BB135+UMKC!BB110+UMSL!BB102</f>
        <v>1424</v>
      </c>
      <c r="BC169" s="8"/>
    </row>
    <row r="170" spans="1:55" ht="13.5" customHeight="1" x14ac:dyDescent="0.2">
      <c r="A170" s="7"/>
      <c r="B170" s="3"/>
      <c r="C170" s="3" t="s">
        <v>9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>
        <f>UMKC!W111</f>
        <v>14</v>
      </c>
      <c r="X170" s="2">
        <f>UMKC!X111</f>
        <v>18</v>
      </c>
      <c r="Y170" s="2">
        <f>UMKC!Y111</f>
        <v>20</v>
      </c>
      <c r="Z170" s="2">
        <f>UMKC!Z111</f>
        <v>21</v>
      </c>
      <c r="AA170" s="2">
        <f>UMKC!AA111</f>
        <v>20</v>
      </c>
      <c r="AB170" s="2">
        <f>UMKC!AB111</f>
        <v>16</v>
      </c>
      <c r="AC170" s="2">
        <f>UMKC!AC111</f>
        <v>18</v>
      </c>
      <c r="AD170" s="2">
        <f>UMKC!AD111</f>
        <v>26</v>
      </c>
      <c r="AE170" s="2">
        <f>UMKC!AE111</f>
        <v>25</v>
      </c>
      <c r="AF170" s="2">
        <f>UMKC!AF111</f>
        <v>21</v>
      </c>
      <c r="AG170" s="2">
        <f>UMKC!AG111</f>
        <v>5</v>
      </c>
      <c r="AH170" s="2">
        <f>UMKC!AH111</f>
        <v>21</v>
      </c>
      <c r="AI170" s="2">
        <f>UMKC!AI111</f>
        <v>23</v>
      </c>
      <c r="AJ170" s="2">
        <f>UMKC!AJ111</f>
        <v>18</v>
      </c>
      <c r="AK170" s="2">
        <f>UMKC!AK111</f>
        <v>19</v>
      </c>
      <c r="AL170" s="2">
        <f>UMKC!AL111</f>
        <v>8</v>
      </c>
      <c r="AM170" s="2">
        <f>UMKC!AM111</f>
        <v>21</v>
      </c>
      <c r="AN170" s="2">
        <f>UMKC!AN111+UMSL!AN103</f>
        <v>9</v>
      </c>
      <c r="AO170" s="2">
        <f>UMKC!AO111+UMSL!AO103</f>
        <v>17</v>
      </c>
      <c r="AP170" s="2">
        <f>UMKC!AP111+UMSL!AP103</f>
        <v>23</v>
      </c>
      <c r="AQ170" s="2">
        <f>UMKC!AQ111+UMSL!AQ103</f>
        <v>19</v>
      </c>
      <c r="AR170" s="2">
        <f>UMKC!AR111+UMSL!AR103</f>
        <v>27</v>
      </c>
      <c r="AS170" s="2">
        <f>MU!AS136+UMKC!AS111+UMSL!AS103</f>
        <v>31</v>
      </c>
      <c r="AT170" s="2">
        <f>MU!AT136+UMKC!AT111+UMSL!AT103</f>
        <v>58</v>
      </c>
      <c r="AU170" s="2">
        <f>MU!AU136+UMKC!AU111+UMSL!AU103</f>
        <v>65</v>
      </c>
      <c r="AV170" s="2">
        <f>MU!AV136+UMKC!AV111+UMSL!AV103</f>
        <v>77</v>
      </c>
      <c r="AW170" s="2">
        <f>MU!AW136+UMKC!AW111+UMSL!AW103</f>
        <v>86</v>
      </c>
      <c r="AX170" s="2">
        <f>MU!AX136+UMKC!AX111+UMSL!AX103</f>
        <v>108</v>
      </c>
      <c r="AY170" s="2">
        <f>MU!AY136+UMKC!AY111+UMSL!AY103</f>
        <v>85</v>
      </c>
      <c r="AZ170" s="2">
        <f>MU!AZ136+UMKC!AZ111+UMSL!AZ103</f>
        <v>89</v>
      </c>
      <c r="BA170" s="2">
        <f>MU!BA136+UMKC!BA111+UMSL!BA103</f>
        <v>90</v>
      </c>
      <c r="BB170" s="2">
        <f>MU!BB136+UMKC!BB111+UMSL!BB103</f>
        <v>93</v>
      </c>
      <c r="BC170" s="8"/>
    </row>
    <row r="171" spans="1:55" ht="13.5" customHeight="1" x14ac:dyDescent="0.2">
      <c r="A171" s="7"/>
      <c r="B171" s="3"/>
      <c r="C171" s="3" t="s">
        <v>5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>
        <f>MU!W137+UMKC!W112</f>
        <v>73</v>
      </c>
      <c r="X171" s="2">
        <f>MU!X137+UMKC!X112</f>
        <v>104</v>
      </c>
      <c r="Y171" s="2">
        <f>MU!Y137+UMKC!Y112</f>
        <v>97</v>
      </c>
      <c r="Z171" s="2">
        <f>MU!Z137+UMKC!Z112</f>
        <v>97</v>
      </c>
      <c r="AA171" s="2">
        <f>MU!AA137+UMKC!AA112</f>
        <v>89</v>
      </c>
      <c r="AB171" s="2">
        <f>MU!AB137+UMKC!AB112+UMSL!AB104</f>
        <v>131</v>
      </c>
      <c r="AC171" s="2">
        <f>MU!AC137+UMKC!AC112+UMSL!AC104</f>
        <v>157</v>
      </c>
      <c r="AD171" s="2">
        <f>MU!AD137+UMKC!AD112+UMSL!AD104</f>
        <v>158</v>
      </c>
      <c r="AE171" s="2">
        <f>MU!AE137+UMKC!AE112+UMSL!AE104</f>
        <v>136</v>
      </c>
      <c r="AF171" s="2">
        <f>MU!AF137+UMKC!AF112+UMSL!AF104</f>
        <v>202</v>
      </c>
      <c r="AG171" s="2">
        <f>MU!AG137+UMKC!AG112+UMSL!AG104</f>
        <v>293</v>
      </c>
      <c r="AH171" s="2">
        <f>MU!AH137+UMKC!AH112+UMSL!AH104</f>
        <v>225</v>
      </c>
      <c r="AI171" s="2">
        <f>MU!AI137+UMKC!AI112+UMSL!AI104</f>
        <v>255</v>
      </c>
      <c r="AJ171" s="2">
        <f>MU!AJ137+UMKC!AJ112+UMSL!AJ104</f>
        <v>221</v>
      </c>
      <c r="AK171" s="2">
        <f>MU!AK137+UMKC!AK112+UMSL!AK104</f>
        <v>225</v>
      </c>
      <c r="AL171" s="2">
        <f>MU!AL137+UMKC!AL112+UMSL!AL104</f>
        <v>282</v>
      </c>
      <c r="AM171" s="2">
        <f>MU!AM137+UMKC!AM112+UMSL!AM104</f>
        <v>231</v>
      </c>
      <c r="AN171" s="2">
        <f>MU!AN137+UMKC!AN112+UMSL!AN104</f>
        <v>230</v>
      </c>
      <c r="AO171" s="2">
        <f>MU!AO137+UMKC!AO112+UMSL!AO104</f>
        <v>262</v>
      </c>
      <c r="AP171" s="2">
        <f>MU!AP137+UMKC!AP112+UMSL!AP104</f>
        <v>255</v>
      </c>
      <c r="AQ171" s="2">
        <f>MU!AQ137+UMKC!AQ112+UMSL!AQ104</f>
        <v>245</v>
      </c>
      <c r="AR171" s="2">
        <f>MU!AR137+UMKC!AR112+UMSL!AR104</f>
        <v>320</v>
      </c>
      <c r="AS171" s="2">
        <f>MU!AS137+UMKC!AS112+UMSL!AS104</f>
        <v>310</v>
      </c>
      <c r="AT171" s="2">
        <f>MU!AT137+UMKC!AT112+UMSL!AT104</f>
        <v>316</v>
      </c>
      <c r="AU171" s="2">
        <f>MU!AU137+UMKC!AU112+UMSL!AU104</f>
        <v>352</v>
      </c>
      <c r="AV171" s="2">
        <f>MU!AV137+UMKC!AV112+UMSL!AV104</f>
        <v>396</v>
      </c>
      <c r="AW171" s="2">
        <f>MU!AW137+UMKC!AW112+UMSL!AW104</f>
        <v>397</v>
      </c>
      <c r="AX171" s="2">
        <f>MU!AX137+UMKC!AX112+UMSL!AX104</f>
        <v>427</v>
      </c>
      <c r="AY171" s="2">
        <f>MU!AY137+UMKC!AY112+UMSL!AY104</f>
        <v>382</v>
      </c>
      <c r="AZ171" s="2">
        <f>MU!AZ137+UMKC!AZ112+UMSL!AZ104</f>
        <v>332</v>
      </c>
      <c r="BA171" s="2">
        <f>MU!BA137+UMKC!BA112+UMSL!BA104</f>
        <v>363</v>
      </c>
      <c r="BB171" s="2">
        <f>MU!BB137+UMKC!BB112+UMSL!BB104</f>
        <v>408</v>
      </c>
      <c r="BC171" s="8"/>
    </row>
    <row r="172" spans="1:55" ht="13.5" customHeight="1" x14ac:dyDescent="0.2">
      <c r="A172" s="7"/>
      <c r="B172" s="3"/>
      <c r="C172" s="3" t="s">
        <v>7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>
        <f>MU!W138+UMKC!W113</f>
        <v>10</v>
      </c>
      <c r="X172" s="2">
        <f>MU!X138+UMKC!X113</f>
        <v>12</v>
      </c>
      <c r="Y172" s="2">
        <f>MU!Y138+UMKC!Y113</f>
        <v>16</v>
      </c>
      <c r="Z172" s="2">
        <f>MU!Z138+UMKC!Z113</f>
        <v>15</v>
      </c>
      <c r="AA172" s="2">
        <f>MU!AA138+UMKC!AA113+UMSL!AA105</f>
        <v>11</v>
      </c>
      <c r="AB172" s="2">
        <f>MU!AB138+UMKC!AB113+UMSL!AB105</f>
        <v>18</v>
      </c>
      <c r="AC172" s="2">
        <f>MU!AC138+UMKC!AC113+UMSL!AC105</f>
        <v>18</v>
      </c>
      <c r="AD172" s="2">
        <f>MU!AD138+UMKC!AD113+UMSL!AD105</f>
        <v>12</v>
      </c>
      <c r="AE172" s="2">
        <f>MU!AE138+UMKC!AE113+UMSL!AE105</f>
        <v>9</v>
      </c>
      <c r="AF172" s="2">
        <f>MU!AF138+UMKC!AF113+UMSL!AF105</f>
        <v>7</v>
      </c>
      <c r="AG172" s="2">
        <f>MU!AG138+UMKC!AG113+UMSL!AG105</f>
        <v>12</v>
      </c>
      <c r="AH172" s="2">
        <f>MU!AH138+UMKC!AH113+UMSL!AH105</f>
        <v>11</v>
      </c>
      <c r="AI172" s="2">
        <f>MU!AI138+UMKC!AI113+UMSL!AI105</f>
        <v>21</v>
      </c>
      <c r="AJ172" s="2">
        <f>MU!AJ138+UMKC!AJ113+UMSL!AJ105</f>
        <v>16</v>
      </c>
      <c r="AK172" s="2">
        <f>MU!AK138+UMKC!AK113+UMSL!AK105</f>
        <v>27</v>
      </c>
      <c r="AL172" s="2">
        <f>MU!AL138+UMKC!AL113+UMSL!AL105</f>
        <v>25</v>
      </c>
      <c r="AM172" s="2">
        <f>MU!AM138+UMKC!AM113+UMSL!AM105</f>
        <v>11</v>
      </c>
      <c r="AN172" s="2">
        <f>MU!AN138+UMKC!AN113+UMSL!AN105</f>
        <v>7</v>
      </c>
      <c r="AO172" s="2">
        <f>MU!AO138+UMKC!AO113+UMSL!AO105</f>
        <v>9</v>
      </c>
      <c r="AP172" s="2">
        <f>MU!AP138+UMKC!AP113+UMSL!AP105</f>
        <v>12</v>
      </c>
      <c r="AQ172" s="2">
        <f>MU!AQ138+UMKC!AQ113+UMSL!AQ105</f>
        <v>15</v>
      </c>
      <c r="AR172" s="2">
        <f>MU!AR138+UMKC!AR113+UMSL!AR105</f>
        <v>20</v>
      </c>
      <c r="AS172" s="2">
        <f>MU!AS138+UMKC!AS113+UMSL!AS105</f>
        <v>20</v>
      </c>
      <c r="AT172" s="2">
        <f>MU!AT138+UMKC!AT113+UMSL!AT105</f>
        <v>66</v>
      </c>
      <c r="AU172" s="2">
        <f>MU!AU138+UMKC!AU113+UMSL!AU105</f>
        <v>79</v>
      </c>
      <c r="AV172" s="2">
        <f>MU!AV138+UMKC!AV113+UMSL!AV105</f>
        <v>84</v>
      </c>
      <c r="AW172" s="2">
        <f>MU!AW138+UMKC!AW113+UMSL!AW105</f>
        <v>81</v>
      </c>
      <c r="AX172" s="2">
        <f>MU!AX138+UMKC!AX113+UMSL!AX105</f>
        <v>104</v>
      </c>
      <c r="AY172" s="2">
        <f>MU!AY138+UMKC!AY113+UMSL!AY105</f>
        <v>114</v>
      </c>
      <c r="AZ172" s="2">
        <f>MU!AZ138+UMKC!AZ113+UMSL!AZ105</f>
        <v>126</v>
      </c>
      <c r="BA172" s="2">
        <f>MU!BA138+UMKC!BA113+UMSL!BA105</f>
        <v>178</v>
      </c>
      <c r="BB172" s="2">
        <f>MU!BB138+UMKC!BB113+UMSL!BB105</f>
        <v>163</v>
      </c>
      <c r="BC172" s="8"/>
    </row>
    <row r="173" spans="1:55" ht="13.5" customHeight="1" x14ac:dyDescent="0.2">
      <c r="A173" s="7"/>
      <c r="B173" s="3"/>
      <c r="C173" s="3" t="s">
        <v>32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>
        <f>MU!W139+UMKC!W114+UMSL!W106</f>
        <v>415</v>
      </c>
      <c r="X173" s="2">
        <f>MU!X139+UMKC!X114+UMSL!X106</f>
        <v>396</v>
      </c>
      <c r="Y173" s="2">
        <f>MU!Y139+UMKC!Y114+UMSL!Y106</f>
        <v>412</v>
      </c>
      <c r="Z173" s="2">
        <f>MU!Z139+UMKC!Z114+UMSL!Z106</f>
        <v>378</v>
      </c>
      <c r="AA173" s="2">
        <f>MU!AA139+UMKC!AA114+UMSL!AA106</f>
        <v>400</v>
      </c>
      <c r="AB173" s="2">
        <f>MU!AB139+UMKC!AB114+UMSL!AB106</f>
        <v>380</v>
      </c>
      <c r="AC173" s="2">
        <f>MU!AC139+UMKC!AC114+UMSL!AC106</f>
        <v>360</v>
      </c>
      <c r="AD173" s="2">
        <f>MU!AD139+UMKC!AD114+UMSL!AD106</f>
        <v>370</v>
      </c>
      <c r="AE173" s="2">
        <f>MU!AE139+UMKC!AE114+UMSL!AE106</f>
        <v>389</v>
      </c>
      <c r="AF173" s="2">
        <f>MU!AF139+UMKC!AF114+UMSL!AF106</f>
        <v>375</v>
      </c>
      <c r="AG173" s="2">
        <f>MU!AG139+UMKC!AG114+UMSL!AG106</f>
        <v>366</v>
      </c>
      <c r="AH173" s="2">
        <f>MU!AH139+UMKC!AH114+UMSL!AH106</f>
        <v>368</v>
      </c>
      <c r="AI173" s="2">
        <f>MU!AI139+UMKC!AI114+UMSL!AI106</f>
        <v>386</v>
      </c>
      <c r="AJ173" s="2">
        <f>MU!AJ139+UMKC!AJ114+UMSL!AJ106</f>
        <v>409</v>
      </c>
      <c r="AK173" s="2">
        <f>MU!AK139+UMKC!AK114+UMSL!AK106</f>
        <v>401</v>
      </c>
      <c r="AL173" s="2">
        <f>MU!AL139+UMKC!AL114+UMSL!AL106</f>
        <v>437</v>
      </c>
      <c r="AM173" s="2">
        <f>MU!AM139+UMKC!AM114+UMSL!AM106</f>
        <v>424</v>
      </c>
      <c r="AN173" s="2">
        <f>MU!AN139+UMKC!AN114+UMSL!AN106</f>
        <v>422</v>
      </c>
      <c r="AO173" s="2">
        <f>MU!AO139+UMKC!AO114+UMSL!AO106</f>
        <v>420</v>
      </c>
      <c r="AP173" s="2">
        <f>MU!AP139+UMKC!AP114+UMSL!AP106</f>
        <v>446</v>
      </c>
      <c r="AQ173" s="2">
        <f>MU!AQ139+UMKC!AQ114+UMSL!AQ106</f>
        <v>452</v>
      </c>
      <c r="AR173" s="2">
        <f>MU!AR139+UMKC!AR114+UMSL!AR106</f>
        <v>451</v>
      </c>
      <c r="AS173" s="2">
        <f>MU!AS139+UMKC!AS114+UMSL!AS106</f>
        <v>458</v>
      </c>
      <c r="AT173" s="2">
        <f>MU!AT139+UMKC!AT114+UMSL!AT106</f>
        <v>503</v>
      </c>
      <c r="AU173" s="2">
        <f>MU!AU139+UMKC!AU114+UMSL!AU106</f>
        <v>518</v>
      </c>
      <c r="AV173" s="2">
        <f>MU!AV139+UMKC!AV114+UMSL!AV106</f>
        <v>498</v>
      </c>
      <c r="AW173" s="2">
        <f>MU!AW139+UMKC!AW114+UMSL!AW106</f>
        <v>555</v>
      </c>
      <c r="AX173" s="2">
        <f>MU!AX139+UMKC!AX114+UMSL!AX106</f>
        <v>564</v>
      </c>
      <c r="AY173" s="2">
        <f>MU!AY139+UMKC!AY114+UMSL!AY106</f>
        <v>603</v>
      </c>
      <c r="AZ173" s="2">
        <f>MU!AZ139+UMKC!AZ114+UMSL!AZ106</f>
        <v>560</v>
      </c>
      <c r="BA173" s="2">
        <f>MU!BA139+UMKC!BA114+UMSL!BA106</f>
        <v>587</v>
      </c>
      <c r="BB173" s="2">
        <f>MU!BB139+UMKC!BB114+UMSL!BB106</f>
        <v>607</v>
      </c>
      <c r="BC173" s="8"/>
    </row>
    <row r="174" spans="1:55" ht="13.5" customHeight="1" x14ac:dyDescent="0.2">
      <c r="A174" s="7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11">
        <f t="shared" ref="W174:AA174" si="123">SUM(W169:W173)</f>
        <v>869</v>
      </c>
      <c r="X174" s="11">
        <f t="shared" si="123"/>
        <v>923</v>
      </c>
      <c r="Y174" s="11">
        <f t="shared" si="123"/>
        <v>944</v>
      </c>
      <c r="Z174" s="11">
        <f t="shared" si="123"/>
        <v>903</v>
      </c>
      <c r="AA174" s="11">
        <f t="shared" si="123"/>
        <v>882</v>
      </c>
      <c r="AB174" s="11">
        <f t="shared" ref="AB174:AD174" si="124">SUM(AB169:AB173)</f>
        <v>922</v>
      </c>
      <c r="AC174" s="11">
        <f t="shared" si="124"/>
        <v>927</v>
      </c>
      <c r="AD174" s="11">
        <f t="shared" si="124"/>
        <v>962</v>
      </c>
      <c r="AE174" s="11">
        <f t="shared" ref="AE174:AG174" si="125">SUM(AE169:AE173)</f>
        <v>1040</v>
      </c>
      <c r="AF174" s="11">
        <f t="shared" si="125"/>
        <v>1068</v>
      </c>
      <c r="AG174" s="11">
        <f t="shared" si="125"/>
        <v>1159</v>
      </c>
      <c r="AH174" s="11">
        <f t="shared" ref="AH174:AV174" si="126">SUM(AH169:AH173)</f>
        <v>1091</v>
      </c>
      <c r="AI174" s="11">
        <f t="shared" si="126"/>
        <v>1156</v>
      </c>
      <c r="AJ174" s="11">
        <f t="shared" si="126"/>
        <v>1066</v>
      </c>
      <c r="AK174" s="11">
        <f t="shared" si="126"/>
        <v>1091</v>
      </c>
      <c r="AL174" s="11">
        <f t="shared" si="126"/>
        <v>1172</v>
      </c>
      <c r="AM174" s="11">
        <f t="shared" si="126"/>
        <v>1088</v>
      </c>
      <c r="AN174" s="11">
        <f t="shared" si="126"/>
        <v>1070</v>
      </c>
      <c r="AO174" s="11">
        <f t="shared" si="126"/>
        <v>1229</v>
      </c>
      <c r="AP174" s="11">
        <f t="shared" si="126"/>
        <v>1285</v>
      </c>
      <c r="AQ174" s="11">
        <f t="shared" si="126"/>
        <v>1350</v>
      </c>
      <c r="AR174" s="11">
        <f t="shared" si="126"/>
        <v>1458</v>
      </c>
      <c r="AS174" s="11">
        <f t="shared" si="126"/>
        <v>1485</v>
      </c>
      <c r="AT174" s="11">
        <f t="shared" si="126"/>
        <v>1657</v>
      </c>
      <c r="AU174" s="11">
        <f t="shared" si="126"/>
        <v>1847</v>
      </c>
      <c r="AV174" s="11">
        <f t="shared" si="126"/>
        <v>2028</v>
      </c>
      <c r="AW174" s="11">
        <f t="shared" ref="AW174:BB174" si="127">SUM(AW169:AW173)</f>
        <v>2241</v>
      </c>
      <c r="AX174" s="11">
        <f t="shared" si="127"/>
        <v>2488</v>
      </c>
      <c r="AY174" s="11">
        <f t="shared" si="127"/>
        <v>2594</v>
      </c>
      <c r="AZ174" s="11">
        <f t="shared" si="127"/>
        <v>2560</v>
      </c>
      <c r="BA174" s="11">
        <f t="shared" si="127"/>
        <v>2662</v>
      </c>
      <c r="BB174" s="11">
        <f t="shared" si="127"/>
        <v>2695</v>
      </c>
      <c r="BC174" s="8"/>
    </row>
    <row r="175" spans="1:55" ht="13.5" customHeight="1" x14ac:dyDescent="0.2">
      <c r="A175" s="7"/>
      <c r="B175" s="33" t="s">
        <v>74</v>
      </c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8"/>
    </row>
    <row r="176" spans="1:55" ht="13.5" customHeight="1" x14ac:dyDescent="0.2">
      <c r="A176" s="7"/>
      <c r="B176" s="3"/>
      <c r="C176" s="3" t="s">
        <v>0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>
        <f>MU!W142+UMKC!W117+UMSL!W109</f>
        <v>1468</v>
      </c>
      <c r="X176" s="2">
        <f>MU!X142+UMKC!X117+UMSL!X109</f>
        <v>1515</v>
      </c>
      <c r="Y176" s="2">
        <f>MU!Y142+UMKC!Y117+UMSL!Y109</f>
        <v>1676</v>
      </c>
      <c r="Z176" s="2">
        <f>MU!Z142+UMKC!Z117+UMSL!Z109</f>
        <v>1696</v>
      </c>
      <c r="AA176" s="2">
        <f>MU!AA142+UMKC!AA117+UMSL!AA109</f>
        <v>1607</v>
      </c>
      <c r="AB176" s="2">
        <f>MU!AB142+UMKC!AB117+UMSL!AB109</f>
        <v>1611</v>
      </c>
      <c r="AC176" s="2">
        <f>MU!AC142+UMKC!AC117+UMSL!AC109</f>
        <v>1549</v>
      </c>
      <c r="AD176" s="2">
        <f>MU!AD142+UMKC!AD117+UMSL!AD109</f>
        <v>1429</v>
      </c>
      <c r="AE176" s="2">
        <f>MU!AE142+UMKC!AE117+UMSL!AE109</f>
        <v>1141</v>
      </c>
      <c r="AF176" s="2">
        <f>MU!AF142+UMKC!AF117+UMSL!AF109</f>
        <v>993</v>
      </c>
      <c r="AG176" s="2">
        <f>MU!AG142+UMKC!AG117+UMSL!AG109</f>
        <v>976</v>
      </c>
      <c r="AH176" s="2">
        <f>MU!AH142+UMKC!AH117+UMSL!AH109</f>
        <v>987</v>
      </c>
      <c r="AI176" s="2">
        <f>MU!AI142+UMKC!AI117+UMSL!AI109</f>
        <v>1109</v>
      </c>
      <c r="AJ176" s="2">
        <f>MU!AJ142+UMKC!AJ117+UMSL!AJ109</f>
        <v>1145</v>
      </c>
      <c r="AK176" s="2">
        <f>MU!AK142+UMKC!AK117+UMSL!AK109</f>
        <v>1190</v>
      </c>
      <c r="AL176" s="2">
        <f>MU!AL142+UMKC!AL117+'S&amp;T'!AL66+UMSL!AL109</f>
        <v>1291</v>
      </c>
      <c r="AM176" s="2">
        <f>MU!AM142+UMKC!AM117+'S&amp;T'!AM66+UMSL!AM109</f>
        <v>1267</v>
      </c>
      <c r="AN176" s="2">
        <f>MU!AN142+UMKC!AN117+'S&amp;T'!AN66+UMSL!AN109</f>
        <v>1473</v>
      </c>
      <c r="AO176" s="2">
        <f>MU!AO142+UMKC!AO117+'S&amp;T'!AO66+UMSL!AO109</f>
        <v>1511</v>
      </c>
      <c r="AP176" s="2">
        <f>MU!AP142+UMKC!AP117+'S&amp;T'!AP66+UMSL!AP109</f>
        <v>1626</v>
      </c>
      <c r="AQ176" s="2">
        <f>MU!AQ142+UMKC!AQ117+'S&amp;T'!AQ66+UMSL!AQ109</f>
        <v>1675</v>
      </c>
      <c r="AR176" s="2">
        <f>MU!AR142+UMKC!AR117+'S&amp;T'!AR66+UMSL!AR109</f>
        <v>1710</v>
      </c>
      <c r="AS176" s="2">
        <f>MU!AS142+UMKC!AS117+'S&amp;T'!AS66+UMSL!AS109</f>
        <v>1695</v>
      </c>
      <c r="AT176" s="2">
        <f>MU!AT142+UMKC!AT117+'S&amp;T'!AT66+UMSL!AT109</f>
        <v>1772</v>
      </c>
      <c r="AU176" s="2">
        <f>MU!AU142+UMKC!AU117+'S&amp;T'!AU66+UMSL!AU109</f>
        <v>1749</v>
      </c>
      <c r="AV176" s="2">
        <f>MU!AV142+UMKC!AV117+'S&amp;T'!AV66+UMSL!AV109</f>
        <v>1683</v>
      </c>
      <c r="AW176" s="2">
        <f>MU!AW142+UMKC!AW117+'S&amp;T'!AW66+UMSL!AW109</f>
        <v>1604</v>
      </c>
      <c r="AX176" s="2">
        <f>MU!AX142+UMKC!AX117+'S&amp;T'!AX66+UMSL!AX109</f>
        <v>1701</v>
      </c>
      <c r="AY176" s="2">
        <f>MU!AY142+UMKC!AY117+'S&amp;T'!AY66+UMSL!AY109</f>
        <v>1757</v>
      </c>
      <c r="AZ176" s="2">
        <f>MU!AZ142+UMKC!AZ117+'S&amp;T'!AZ66+UMSL!AZ109</f>
        <v>1838</v>
      </c>
      <c r="BA176" s="2">
        <f>MU!BA142+UMKC!BA117+'S&amp;T'!BA66+UMSL!BA109</f>
        <v>1947</v>
      </c>
      <c r="BB176" s="2">
        <f>MU!BB142+UMKC!BB117+'S&amp;T'!BB66+UMSL!BB109</f>
        <v>2054</v>
      </c>
      <c r="BC176" s="8"/>
    </row>
    <row r="177" spans="1:55" ht="13.5" customHeight="1" x14ac:dyDescent="0.2">
      <c r="A177" s="7"/>
      <c r="B177" s="3"/>
      <c r="C177" s="3" t="s">
        <v>9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>
        <f>UMSL!AE110</f>
        <v>0</v>
      </c>
      <c r="AF177" s="2">
        <f>UMSL!AF110</f>
        <v>0</v>
      </c>
      <c r="AG177" s="2">
        <f>UMSL!AG110</f>
        <v>4</v>
      </c>
      <c r="AH177" s="2">
        <f>UMSL!AH110</f>
        <v>2</v>
      </c>
      <c r="AI177" s="2">
        <f>UMSL!AI110</f>
        <v>3</v>
      </c>
      <c r="AJ177" s="2">
        <f>UMSL!AJ110</f>
        <v>17</v>
      </c>
      <c r="AK177" s="2">
        <f>UMSL!AK110</f>
        <v>23</v>
      </c>
      <c r="AL177" s="2">
        <f>MU!AL143+UMSL!AL110</f>
        <v>66</v>
      </c>
      <c r="AM177" s="2">
        <f>MU!AM143+UMSL!AM110</f>
        <v>106</v>
      </c>
      <c r="AN177" s="2">
        <f>MU!AN143+UMSL!AN110</f>
        <v>85</v>
      </c>
      <c r="AO177" s="2">
        <f>MU!AO143+UMSL!AO110</f>
        <v>77</v>
      </c>
      <c r="AP177" s="2">
        <f>MU!AP143+UMSL!AP110</f>
        <v>70</v>
      </c>
      <c r="AQ177" s="2">
        <f>MU!AQ143+UMSL!AQ110</f>
        <v>68</v>
      </c>
      <c r="AR177" s="2">
        <f>MU!AR143+UMSL!AR110</f>
        <v>49</v>
      </c>
      <c r="AS177" s="2">
        <f>MU!AS143+UMSL!AS110</f>
        <v>33</v>
      </c>
      <c r="AT177" s="2">
        <f>MU!AT143+UMSL!AT110</f>
        <v>64</v>
      </c>
      <c r="AU177" s="2">
        <f>MU!AU143+UMSL!AU110</f>
        <v>79</v>
      </c>
      <c r="AV177" s="2">
        <f>MU!AV143+UMSL!AV110</f>
        <v>78</v>
      </c>
      <c r="AW177" s="2">
        <f>MU!AW143+UMSL!AW110</f>
        <v>65</v>
      </c>
      <c r="AX177" s="2">
        <f>MU!AX143+'S&amp;T'!AX67+UMSL!AX110</f>
        <v>76</v>
      </c>
      <c r="AY177" s="2">
        <f>MU!AY143+'S&amp;T'!AY67+UMSL!AY110</f>
        <v>79</v>
      </c>
      <c r="AZ177" s="2">
        <f>MU!AZ143+'S&amp;T'!AZ67+UMSL!AZ110</f>
        <v>105</v>
      </c>
      <c r="BA177" s="2">
        <f>MU!BA143+'S&amp;T'!BA67+UMSL!BA110</f>
        <v>147</v>
      </c>
      <c r="BB177" s="2">
        <f>MU!BB143+'S&amp;T'!BB67+UMSL!BB110</f>
        <v>229</v>
      </c>
      <c r="BC177" s="8"/>
    </row>
    <row r="178" spans="1:55" ht="13.5" customHeight="1" x14ac:dyDescent="0.2">
      <c r="A178" s="7"/>
      <c r="B178" s="3"/>
      <c r="C178" s="3" t="s">
        <v>5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>
        <f>MU!W144+UMKC!W118+UMSL!W111</f>
        <v>339</v>
      </c>
      <c r="X178" s="2">
        <f>MU!X144+UMKC!X118+UMSL!X111</f>
        <v>396</v>
      </c>
      <c r="Y178" s="2">
        <f>MU!Y144+UMKC!Y118+UMSL!Y111</f>
        <v>430</v>
      </c>
      <c r="Z178" s="2">
        <f>MU!Z144+UMKC!Z118+UMSL!Z111</f>
        <v>386</v>
      </c>
      <c r="AA178" s="2">
        <f>MU!AA144+UMKC!AA118+UMSL!AA111</f>
        <v>425</v>
      </c>
      <c r="AB178" s="2">
        <f>MU!AB144+UMKC!AB118+UMSL!AB111</f>
        <v>390</v>
      </c>
      <c r="AC178" s="2">
        <f>MU!AC144+UMKC!AC118+UMSL!AC111</f>
        <v>400</v>
      </c>
      <c r="AD178" s="2">
        <f>MU!AD144+UMKC!AD118+UMSL!AD111</f>
        <v>386</v>
      </c>
      <c r="AE178" s="2">
        <f>MU!AE144+UMKC!AE118+UMSL!AE111</f>
        <v>344</v>
      </c>
      <c r="AF178" s="2">
        <f>MU!AF144+UMKC!AF118+UMSL!AF111</f>
        <v>353</v>
      </c>
      <c r="AG178" s="2">
        <f>MU!AG144+UMKC!AG118+UMSL!AG111</f>
        <v>332</v>
      </c>
      <c r="AH178" s="2">
        <f>MU!AH144+UMKC!AH118+UMSL!AH111</f>
        <v>346</v>
      </c>
      <c r="AI178" s="2">
        <f>MU!AI144+UMKC!AI118+UMSL!AI111</f>
        <v>388</v>
      </c>
      <c r="AJ178" s="2">
        <f>MU!AJ144+UMKC!AJ118+UMSL!AJ111</f>
        <v>402</v>
      </c>
      <c r="AK178" s="2">
        <f>MU!AK144+UMKC!AK118+UMSL!AK111</f>
        <v>442</v>
      </c>
      <c r="AL178" s="2">
        <f>MU!AL144+UMKC!AL118+UMSL!AL111</f>
        <v>448</v>
      </c>
      <c r="AM178" s="2">
        <f>MU!AM144+UMKC!AM118+UMSL!AM111</f>
        <v>475</v>
      </c>
      <c r="AN178" s="2">
        <f>MU!AN144+UMKC!AN118+UMSL!AN111</f>
        <v>504</v>
      </c>
      <c r="AO178" s="2">
        <f>MU!AO144+UMKC!AO118+UMSL!AO111</f>
        <v>487</v>
      </c>
      <c r="AP178" s="2">
        <f>MU!AP144+UMKC!AP118+UMSL!AP111</f>
        <v>483</v>
      </c>
      <c r="AQ178" s="2">
        <f>MU!AQ144+UMKC!AQ118+'S&amp;T'!AQ68+UMSL!AQ111</f>
        <v>553</v>
      </c>
      <c r="AR178" s="2">
        <f>MU!AR144+UMKC!AR118+'S&amp;T'!AR68+UMSL!AR111</f>
        <v>574</v>
      </c>
      <c r="AS178" s="2">
        <f>MU!AS144+UMKC!AS118+'S&amp;T'!AS68+UMSL!AS111</f>
        <v>627</v>
      </c>
      <c r="AT178" s="2">
        <f>MU!AT144+UMKC!AT118+'S&amp;T'!AT68+UMSL!AT111</f>
        <v>615</v>
      </c>
      <c r="AU178" s="2">
        <f>MU!AU144+UMKC!AU118+'S&amp;T'!AU68+UMSL!AU111</f>
        <v>636</v>
      </c>
      <c r="AV178" s="2">
        <f>MU!AV144+UMKC!AV118+'S&amp;T'!AV68+UMSL!AV111</f>
        <v>659</v>
      </c>
      <c r="AW178" s="2">
        <f>MU!AW144+UMKC!AW118+'S&amp;T'!AW68+UMSL!AW111</f>
        <v>655</v>
      </c>
      <c r="AX178" s="2">
        <f>MU!AX144+UMKC!AX118+'S&amp;T'!AX68+UMSL!AX111</f>
        <v>682</v>
      </c>
      <c r="AY178" s="2">
        <f>MU!AY144+UMKC!AY118+'S&amp;T'!AY68+UMSL!AY111</f>
        <v>660</v>
      </c>
      <c r="AZ178" s="2">
        <f>MU!AZ144+UMKC!AZ118+'S&amp;T'!AZ68+UMSL!AZ111</f>
        <v>632</v>
      </c>
      <c r="BA178" s="2">
        <f>MU!BA144+UMKC!BA118+'S&amp;T'!BA68+UMSL!BA111</f>
        <v>681</v>
      </c>
      <c r="BB178" s="2">
        <f>MU!BB144+UMKC!BB118+'S&amp;T'!BB68+UMSL!BB111</f>
        <v>630</v>
      </c>
      <c r="BC178" s="8"/>
    </row>
    <row r="179" spans="1:55" ht="13.5" customHeight="1" x14ac:dyDescent="0.2">
      <c r="A179" s="7"/>
      <c r="B179" s="3"/>
      <c r="C179" s="3" t="s">
        <v>7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>
        <f>MU!W145</f>
        <v>4</v>
      </c>
      <c r="X179" s="2">
        <f>MU!X145</f>
        <v>3</v>
      </c>
      <c r="Y179" s="2">
        <f>MU!Y145</f>
        <v>9</v>
      </c>
      <c r="Z179" s="2">
        <f>MU!Z145</f>
        <v>3</v>
      </c>
      <c r="AA179" s="2">
        <f>MU!AA145</f>
        <v>7</v>
      </c>
      <c r="AB179" s="2">
        <f>MU!AB145</f>
        <v>10</v>
      </c>
      <c r="AC179" s="2">
        <f>MU!AC145</f>
        <v>10</v>
      </c>
      <c r="AD179" s="2">
        <f>MU!AD145</f>
        <v>3</v>
      </c>
      <c r="AE179" s="2">
        <f>MU!AE145</f>
        <v>3</v>
      </c>
      <c r="AF179" s="2">
        <f>MU!AF145</f>
        <v>9</v>
      </c>
      <c r="AG179" s="2">
        <f>MU!AG145</f>
        <v>4</v>
      </c>
      <c r="AH179" s="2">
        <f>MU!AH145</f>
        <v>6</v>
      </c>
      <c r="AI179" s="2">
        <f>MU!AI145</f>
        <v>5</v>
      </c>
      <c r="AJ179" s="2">
        <f>MU!AJ145</f>
        <v>5</v>
      </c>
      <c r="AK179" s="2">
        <f>MU!AK145</f>
        <v>4</v>
      </c>
      <c r="AL179" s="2">
        <f>MU!AL145+UMSL!AL112</f>
        <v>10</v>
      </c>
      <c r="AM179" s="2">
        <f>MU!AM145+UMSL!AM112</f>
        <v>5</v>
      </c>
      <c r="AN179" s="2">
        <f>MU!AN145+UMSL!AN112</f>
        <v>8</v>
      </c>
      <c r="AO179" s="2">
        <f>MU!AO145+UMSL!AO112</f>
        <v>8</v>
      </c>
      <c r="AP179" s="2">
        <f>MU!AP145+UMSL!AP112</f>
        <v>6</v>
      </c>
      <c r="AQ179" s="2">
        <f>MU!AQ145+UMSL!AQ112</f>
        <v>15</v>
      </c>
      <c r="AR179" s="2">
        <f>MU!AR145+UMSL!AR112</f>
        <v>7</v>
      </c>
      <c r="AS179" s="2">
        <f>MU!AS145+UMSL!AS112</f>
        <v>6</v>
      </c>
      <c r="AT179" s="2">
        <f>MU!AT145+UMSL!AT112</f>
        <v>6</v>
      </c>
      <c r="AU179" s="2">
        <f>MU!AU145+UMSL!AU112</f>
        <v>7</v>
      </c>
      <c r="AV179" s="2">
        <f>MU!AV145+UMKC!AV119+UMSL!AV112</f>
        <v>12</v>
      </c>
      <c r="AW179" s="2">
        <f>MU!AW145+UMKC!AW119+UMSL!AW112</f>
        <v>9</v>
      </c>
      <c r="AX179" s="2">
        <f>MU!AX145+UMKC!AX119+UMSL!AX112</f>
        <v>9</v>
      </c>
      <c r="AY179" s="2">
        <f>MU!AY145+UMKC!AY119+UMSL!AY112</f>
        <v>13</v>
      </c>
      <c r="AZ179" s="2">
        <f>MU!AZ145+UMKC!AZ119+UMSL!AZ112</f>
        <v>16</v>
      </c>
      <c r="BA179" s="2">
        <f>MU!BA145+UMKC!BA119+UMSL!BA112</f>
        <v>9</v>
      </c>
      <c r="BB179" s="2">
        <f>MU!BB145+UMKC!BB119+UMSL!BB112</f>
        <v>8</v>
      </c>
      <c r="BC179" s="8"/>
    </row>
    <row r="180" spans="1:55" ht="13.5" customHeight="1" x14ac:dyDescent="0.2">
      <c r="A180" s="7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11">
        <f t="shared" ref="W180:AA180" si="128">SUM(W176:W179)</f>
        <v>1811</v>
      </c>
      <c r="X180" s="11">
        <f t="shared" si="128"/>
        <v>1914</v>
      </c>
      <c r="Y180" s="11">
        <f t="shared" si="128"/>
        <v>2115</v>
      </c>
      <c r="Z180" s="11">
        <f t="shared" si="128"/>
        <v>2085</v>
      </c>
      <c r="AA180" s="11">
        <f t="shared" si="128"/>
        <v>2039</v>
      </c>
      <c r="AB180" s="11">
        <f t="shared" ref="AB180:AD180" si="129">SUM(AB176:AB179)</f>
        <v>2011</v>
      </c>
      <c r="AC180" s="11">
        <f t="shared" si="129"/>
        <v>1959</v>
      </c>
      <c r="AD180" s="11">
        <f t="shared" si="129"/>
        <v>1818</v>
      </c>
      <c r="AE180" s="11">
        <f t="shared" ref="AE180:AG180" si="130">SUM(AE176:AE179)</f>
        <v>1488</v>
      </c>
      <c r="AF180" s="11">
        <f t="shared" si="130"/>
        <v>1355</v>
      </c>
      <c r="AG180" s="11">
        <f t="shared" si="130"/>
        <v>1316</v>
      </c>
      <c r="AH180" s="11">
        <f t="shared" ref="AH180:AV180" si="131">SUM(AH176:AH179)</f>
        <v>1341</v>
      </c>
      <c r="AI180" s="11">
        <f t="shared" si="131"/>
        <v>1505</v>
      </c>
      <c r="AJ180" s="11">
        <f t="shared" si="131"/>
        <v>1569</v>
      </c>
      <c r="AK180" s="11">
        <f t="shared" si="131"/>
        <v>1659</v>
      </c>
      <c r="AL180" s="11">
        <f t="shared" si="131"/>
        <v>1815</v>
      </c>
      <c r="AM180" s="11">
        <f t="shared" si="131"/>
        <v>1853</v>
      </c>
      <c r="AN180" s="11">
        <f t="shared" si="131"/>
        <v>2070</v>
      </c>
      <c r="AO180" s="11">
        <f t="shared" si="131"/>
        <v>2083</v>
      </c>
      <c r="AP180" s="11">
        <f t="shared" si="131"/>
        <v>2185</v>
      </c>
      <c r="AQ180" s="11">
        <f t="shared" si="131"/>
        <v>2311</v>
      </c>
      <c r="AR180" s="11">
        <f t="shared" si="131"/>
        <v>2340</v>
      </c>
      <c r="AS180" s="11">
        <f t="shared" si="131"/>
        <v>2361</v>
      </c>
      <c r="AT180" s="11">
        <f t="shared" si="131"/>
        <v>2457</v>
      </c>
      <c r="AU180" s="11">
        <f t="shared" si="131"/>
        <v>2471</v>
      </c>
      <c r="AV180" s="11">
        <f t="shared" si="131"/>
        <v>2432</v>
      </c>
      <c r="AW180" s="11">
        <f t="shared" ref="AW180:BB180" si="132">SUM(AW176:AW179)</f>
        <v>2333</v>
      </c>
      <c r="AX180" s="11">
        <f t="shared" si="132"/>
        <v>2468</v>
      </c>
      <c r="AY180" s="11">
        <f t="shared" si="132"/>
        <v>2509</v>
      </c>
      <c r="AZ180" s="11">
        <f t="shared" si="132"/>
        <v>2591</v>
      </c>
      <c r="BA180" s="11">
        <f t="shared" si="132"/>
        <v>2784</v>
      </c>
      <c r="BB180" s="11">
        <f t="shared" si="132"/>
        <v>2921</v>
      </c>
      <c r="BC180" s="8"/>
    </row>
    <row r="181" spans="1:55" ht="13.5" customHeight="1" x14ac:dyDescent="0.2">
      <c r="A181" s="7"/>
      <c r="B181" s="33" t="s">
        <v>73</v>
      </c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8"/>
    </row>
    <row r="182" spans="1:55" ht="13.5" customHeight="1" x14ac:dyDescent="0.2">
      <c r="A182" s="7"/>
      <c r="B182" s="3"/>
      <c r="C182" s="3" t="s">
        <v>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>
        <f>MU!W148+UMKC!W122+'S&amp;T'!W71+UMSL!W115</f>
        <v>68</v>
      </c>
      <c r="X182" s="2">
        <f>MU!X148+UMKC!X122+'S&amp;T'!X71+UMSL!X115</f>
        <v>63</v>
      </c>
      <c r="Y182" s="2">
        <f>MU!Y148+UMKC!Y122+'S&amp;T'!Y71+UMSL!Y115</f>
        <v>77</v>
      </c>
      <c r="Z182" s="2">
        <f>MU!Z148+UMKC!Z122+'S&amp;T'!Z71+UMSL!Z115</f>
        <v>101</v>
      </c>
      <c r="AA182" s="2">
        <f>MU!AA148+UMKC!AA122+'S&amp;T'!AA71+UMSL!AA115</f>
        <v>112</v>
      </c>
      <c r="AB182" s="2">
        <f>MU!AB148+UMKC!AB122+'S&amp;T'!AB71+UMSL!AB115</f>
        <v>136</v>
      </c>
      <c r="AC182" s="2">
        <f>MU!AC148+UMKC!AC122+'S&amp;T'!AC71+UMSL!AC115</f>
        <v>121</v>
      </c>
      <c r="AD182" s="2">
        <f>MU!AD148+UMKC!AD122+'S&amp;T'!AD71+UMSL!AD115</f>
        <v>164</v>
      </c>
      <c r="AE182" s="2">
        <f>MU!AE148+UMKC!AE122+'S&amp;T'!AE71+UMSL!AE115</f>
        <v>158</v>
      </c>
      <c r="AF182" s="2">
        <f>MU!AF148+UMKC!AF122+'S&amp;T'!AF71+UMSL!AF115</f>
        <v>130</v>
      </c>
      <c r="AG182" s="2">
        <f>MU!AG148+UMKC!AG122+'S&amp;T'!AG71+UMSL!AG115</f>
        <v>138</v>
      </c>
      <c r="AH182" s="2">
        <f>MU!AH148+UMKC!AH122+'S&amp;T'!AH71+UMSL!AH115</f>
        <v>130</v>
      </c>
      <c r="AI182" s="2">
        <f>MU!AI148+UMKC!AI122+'S&amp;T'!AI71+UMSL!AI115</f>
        <v>149</v>
      </c>
      <c r="AJ182" s="2">
        <f>MU!AJ148+UMKC!AJ122+'S&amp;T'!AJ71+UMSL!AJ115</f>
        <v>144</v>
      </c>
      <c r="AK182" s="2">
        <f>MU!AK148+UMKC!AK122+'S&amp;T'!AK71+UMSL!AK115</f>
        <v>117</v>
      </c>
      <c r="AL182" s="2">
        <f>MU!AL148+UMKC!AL122+'S&amp;T'!AL71+UMSL!AL115</f>
        <v>153</v>
      </c>
      <c r="AM182" s="2">
        <f>MU!AM148+UMKC!AM122+'S&amp;T'!AM71+UMSL!AM115</f>
        <v>132</v>
      </c>
      <c r="AN182" s="2">
        <f>MU!AN148+UMKC!AN122+'S&amp;T'!AN71+UMSL!AN115</f>
        <v>146</v>
      </c>
      <c r="AO182" s="2">
        <f>MU!AO148+UMKC!AO122+'S&amp;T'!AO71+UMSL!AO115</f>
        <v>174</v>
      </c>
      <c r="AP182" s="2">
        <f>MU!AP148+UMKC!AP122+'S&amp;T'!AP71+UMSL!AP115</f>
        <v>183</v>
      </c>
      <c r="AQ182" s="2">
        <f>MU!AQ148+UMKC!AQ122+'S&amp;T'!AQ71+UMSL!AQ115</f>
        <v>198</v>
      </c>
      <c r="AR182" s="2">
        <f>MU!AR148+UMKC!AR122+'S&amp;T'!AR71+UMSL!AR115</f>
        <v>190</v>
      </c>
      <c r="AS182" s="2">
        <f>MU!AS148+UMKC!AS122+'S&amp;T'!AS71+UMSL!AS115</f>
        <v>168</v>
      </c>
      <c r="AT182" s="2">
        <f>MU!AT148+UMKC!AT122+'S&amp;T'!AT71+UMSL!AT115</f>
        <v>176</v>
      </c>
      <c r="AU182" s="2">
        <f>MU!AU148+UMKC!AU122+'S&amp;T'!AU71+UMSL!AU115</f>
        <v>153</v>
      </c>
      <c r="AV182" s="2">
        <f>MU!AV148+UMKC!AV122+'S&amp;T'!AV71+UMSL!AV115</f>
        <v>168</v>
      </c>
      <c r="AW182" s="2">
        <f>MU!AW148+UMKC!AW122+'S&amp;T'!AW71+UMSL!AW115</f>
        <v>150</v>
      </c>
      <c r="AX182" s="2">
        <f>MU!AX148+UMKC!AX122+'S&amp;T'!AX71+UMSL!AX115</f>
        <v>144</v>
      </c>
      <c r="AY182" s="2">
        <f>MU!AY148+UMKC!AY122+'S&amp;T'!AY71+UMSL!AY115</f>
        <v>130</v>
      </c>
      <c r="AZ182" s="2">
        <f>MU!AZ148+UMKC!AZ122+'S&amp;T'!AZ71+UMSL!AZ115</f>
        <v>132</v>
      </c>
      <c r="BA182" s="2">
        <f>MU!BA148+UMKC!BA122+'S&amp;T'!BA71+UMSL!BA115</f>
        <v>132</v>
      </c>
      <c r="BB182" s="2">
        <f>MU!BB148+UMKC!BB122+'S&amp;T'!BB71+UMSL!BB115</f>
        <v>105</v>
      </c>
      <c r="BC182" s="8"/>
    </row>
    <row r="183" spans="1:55" ht="13.5" customHeight="1" x14ac:dyDescent="0.2">
      <c r="A183" s="7"/>
      <c r="B183" s="3"/>
      <c r="C183" s="3" t="s">
        <v>9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3"/>
      <c r="AJ183" s="2">
        <f>UMSL!AJ116</f>
        <v>0</v>
      </c>
      <c r="AK183" s="2">
        <f>UMSL!AK116</f>
        <v>5</v>
      </c>
      <c r="AL183" s="2">
        <f>UMSL!AL116</f>
        <v>8</v>
      </c>
      <c r="AM183" s="2">
        <f>UMSL!AM116</f>
        <v>11</v>
      </c>
      <c r="AN183" s="2">
        <f>UMSL!AN116</f>
        <v>11</v>
      </c>
      <c r="AO183" s="2">
        <f>UMSL!AO116</f>
        <v>8</v>
      </c>
      <c r="AP183" s="2">
        <f>UMSL!AP116</f>
        <v>12</v>
      </c>
      <c r="AQ183" s="2">
        <f>UMSL!AQ116</f>
        <v>8</v>
      </c>
      <c r="AR183" s="2">
        <f>UMSL!AR116</f>
        <v>9</v>
      </c>
      <c r="AS183" s="2">
        <f>UMSL!AS116</f>
        <v>11</v>
      </c>
      <c r="AT183" s="2"/>
      <c r="AU183" s="2"/>
      <c r="AV183" s="2"/>
      <c r="AW183" s="2"/>
      <c r="AX183" s="2">
        <f>UMSL!AX116</f>
        <v>0</v>
      </c>
      <c r="AY183" s="2">
        <f>UMSL!AY116</f>
        <v>0</v>
      </c>
      <c r="AZ183" s="2">
        <f>UMSL!AZ116</f>
        <v>2</v>
      </c>
      <c r="BA183" s="2">
        <f>UMSL!BA116</f>
        <v>1</v>
      </c>
      <c r="BB183" s="2">
        <f>UMSL!BB116</f>
        <v>2</v>
      </c>
      <c r="BC183" s="8"/>
    </row>
    <row r="184" spans="1:55" ht="13.5" customHeight="1" x14ac:dyDescent="0.2">
      <c r="A184" s="7"/>
      <c r="B184" s="3"/>
      <c r="C184" s="3" t="s">
        <v>5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>
        <f>MU!W149+UMKC!W123+UMSL!W117</f>
        <v>23</v>
      </c>
      <c r="X184" s="2">
        <f>MU!X149+UMKC!X123+UMSL!X117</f>
        <v>18</v>
      </c>
      <c r="Y184" s="2">
        <f>MU!Y149+UMKC!Y123+UMSL!Y117</f>
        <v>23</v>
      </c>
      <c r="Z184" s="2">
        <f>MU!Z149+UMKC!Z123+UMSL!Z117</f>
        <v>27</v>
      </c>
      <c r="AA184" s="2">
        <f>MU!AA149+UMKC!AA123+UMSL!AA117</f>
        <v>29</v>
      </c>
      <c r="AB184" s="2">
        <f>MU!AB149+UMKC!AB123+UMSL!AB117</f>
        <v>28</v>
      </c>
      <c r="AC184" s="2">
        <f>MU!AC149+UMKC!AC123+UMSL!AC117</f>
        <v>33</v>
      </c>
      <c r="AD184" s="2">
        <f>MU!AD149+UMKC!AD123+UMSL!AD117</f>
        <v>34</v>
      </c>
      <c r="AE184" s="2">
        <f>MU!AE149+UMKC!AE123+UMSL!AE117</f>
        <v>32</v>
      </c>
      <c r="AF184" s="2">
        <f>MU!AF149+UMKC!AF123+UMSL!AF117</f>
        <v>32</v>
      </c>
      <c r="AG184" s="2">
        <f>MU!AG149+UMKC!AG123+UMSL!AG117</f>
        <v>24</v>
      </c>
      <c r="AH184" s="2">
        <f>MU!AH149+UMKC!AH123+UMSL!AH117</f>
        <v>20</v>
      </c>
      <c r="AI184" s="2">
        <f>MU!AI149+UMKC!AI123+UMSL!AI117</f>
        <v>19</v>
      </c>
      <c r="AJ184" s="2">
        <f>MU!AJ149+UMKC!AJ123+UMSL!AJ117</f>
        <v>28</v>
      </c>
      <c r="AK184" s="2">
        <f>MU!AK149+UMKC!AK123+UMSL!AK117</f>
        <v>34</v>
      </c>
      <c r="AL184" s="2">
        <f>MU!AL149+UMKC!AL123+UMSL!AL117</f>
        <v>28</v>
      </c>
      <c r="AM184" s="2">
        <f>MU!AM149+UMKC!AM123+UMSL!AM117</f>
        <v>36</v>
      </c>
      <c r="AN184" s="2">
        <f>MU!AN149+UMKC!AN123+UMSL!AN117</f>
        <v>34</v>
      </c>
      <c r="AO184" s="2">
        <f>MU!AO149+UMKC!AO123+UMSL!AO117</f>
        <v>26</v>
      </c>
      <c r="AP184" s="2">
        <f>MU!AP149+UMKC!AP123+UMSL!AP117</f>
        <v>35</v>
      </c>
      <c r="AQ184" s="2">
        <f>MU!AQ149+UMKC!AQ123+UMSL!AQ117</f>
        <v>33</v>
      </c>
      <c r="AR184" s="2">
        <f>MU!AR149+UMKC!AR123+UMSL!AR117</f>
        <v>34</v>
      </c>
      <c r="AS184" s="2">
        <f>MU!AS149+UMKC!AS123+UMSL!AS117</f>
        <v>40</v>
      </c>
      <c r="AT184" s="2">
        <f>MU!AT149+UMKC!AT123+UMSL!AT117</f>
        <v>47</v>
      </c>
      <c r="AU184" s="2">
        <f>MU!AU149+UMKC!AU123+UMSL!AU117</f>
        <v>24</v>
      </c>
      <c r="AV184" s="2">
        <f>MU!AV149+UMKC!AV123+UMSL!AV117</f>
        <v>30</v>
      </c>
      <c r="AW184" s="2">
        <f>MU!AW149+UMKC!AW123+UMSL!AW117</f>
        <v>32</v>
      </c>
      <c r="AX184" s="2">
        <f>MU!AX149+UMKC!AX123+UMSL!AX117</f>
        <v>21</v>
      </c>
      <c r="AY184" s="2">
        <f>MU!AY149+UMKC!AY123+UMSL!AY117</f>
        <v>35</v>
      </c>
      <c r="AZ184" s="2">
        <f>MU!AZ149+UMKC!AZ123+UMSL!AZ117</f>
        <v>25</v>
      </c>
      <c r="BA184" s="2">
        <f>MU!BA149+UMKC!BA123+UMSL!BA117</f>
        <v>35</v>
      </c>
      <c r="BB184" s="2">
        <f>MU!BB149+UMKC!BB123+UMSL!BB117</f>
        <v>26</v>
      </c>
      <c r="BC184" s="8"/>
    </row>
    <row r="185" spans="1:55" ht="13.5" customHeight="1" x14ac:dyDescent="0.2">
      <c r="A185" s="7"/>
      <c r="B185" s="3"/>
      <c r="C185" s="3" t="s">
        <v>7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>
        <f>MU!W150</f>
        <v>1</v>
      </c>
      <c r="X185" s="2">
        <f>MU!X150</f>
        <v>1</v>
      </c>
      <c r="Y185" s="2">
        <f>MU!Y150</f>
        <v>3</v>
      </c>
      <c r="Z185" s="2">
        <f>MU!Z150</f>
        <v>3</v>
      </c>
      <c r="AA185" s="2">
        <f>MU!AA150</f>
        <v>4</v>
      </c>
      <c r="AB185" s="2">
        <f>MU!AB150</f>
        <v>2</v>
      </c>
      <c r="AC185" s="2">
        <f>MU!AC150</f>
        <v>6</v>
      </c>
      <c r="AD185" s="2">
        <f>MU!AD150</f>
        <v>3</v>
      </c>
      <c r="AE185" s="2">
        <f>MU!AE150</f>
        <v>1</v>
      </c>
      <c r="AF185" s="2">
        <f>MU!AF150</f>
        <v>5</v>
      </c>
      <c r="AG185" s="2">
        <f>MU!AG150</f>
        <v>5</v>
      </c>
      <c r="AH185" s="2">
        <f>MU!AH150</f>
        <v>2</v>
      </c>
      <c r="AI185" s="2">
        <f>MU!AI150</f>
        <v>4</v>
      </c>
      <c r="AJ185" s="2">
        <f>MU!AJ150</f>
        <v>5</v>
      </c>
      <c r="AK185" s="2">
        <f>MU!AK150</f>
        <v>4</v>
      </c>
      <c r="AL185" s="2">
        <f>MU!AL150</f>
        <v>1</v>
      </c>
      <c r="AM185" s="2">
        <f>MU!AM150</f>
        <v>11</v>
      </c>
      <c r="AN185" s="2">
        <f>MU!AN150</f>
        <v>10</v>
      </c>
      <c r="AO185" s="2">
        <f>MU!AO150</f>
        <v>7</v>
      </c>
      <c r="AP185" s="2">
        <f>MU!AP150</f>
        <v>8</v>
      </c>
      <c r="AQ185" s="2">
        <f>MU!AQ150</f>
        <v>3</v>
      </c>
      <c r="AR185" s="2">
        <f>MU!AR150</f>
        <v>1</v>
      </c>
      <c r="AS185" s="2">
        <f>MU!AS150</f>
        <v>7</v>
      </c>
      <c r="AT185" s="2">
        <f>MU!AT150</f>
        <v>2</v>
      </c>
      <c r="AU185" s="2">
        <f>MU!AU150</f>
        <v>1</v>
      </c>
      <c r="AV185" s="2">
        <f>MU!AV150</f>
        <v>7</v>
      </c>
      <c r="AW185" s="2">
        <f>MU!AW150</f>
        <v>3</v>
      </c>
      <c r="AX185" s="2">
        <f>MU!AX150</f>
        <v>4</v>
      </c>
      <c r="AY185" s="2">
        <f>MU!AY150</f>
        <v>5</v>
      </c>
      <c r="AZ185" s="2">
        <f>MU!AZ150</f>
        <v>4</v>
      </c>
      <c r="BA185" s="2">
        <f>MU!BA150</f>
        <v>5</v>
      </c>
      <c r="BB185" s="2">
        <f>MU!BB150</f>
        <v>7</v>
      </c>
      <c r="BC185" s="8"/>
    </row>
    <row r="186" spans="1:55" ht="13.5" customHeight="1" x14ac:dyDescent="0.2">
      <c r="A186" s="7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11">
        <f t="shared" ref="W186:AA186" si="133">SUM(W182:W185)</f>
        <v>92</v>
      </c>
      <c r="X186" s="11">
        <f t="shared" si="133"/>
        <v>82</v>
      </c>
      <c r="Y186" s="11">
        <f t="shared" si="133"/>
        <v>103</v>
      </c>
      <c r="Z186" s="11">
        <f t="shared" si="133"/>
        <v>131</v>
      </c>
      <c r="AA186" s="11">
        <f t="shared" si="133"/>
        <v>145</v>
      </c>
      <c r="AB186" s="11">
        <f t="shared" ref="AB186:AD186" si="134">SUM(AB182:AB185)</f>
        <v>166</v>
      </c>
      <c r="AC186" s="11">
        <f t="shared" si="134"/>
        <v>160</v>
      </c>
      <c r="AD186" s="11">
        <f t="shared" si="134"/>
        <v>201</v>
      </c>
      <c r="AE186" s="11">
        <f t="shared" ref="AE186:AG186" si="135">SUM(AE182:AE185)</f>
        <v>191</v>
      </c>
      <c r="AF186" s="11">
        <f t="shared" si="135"/>
        <v>167</v>
      </c>
      <c r="AG186" s="11">
        <f t="shared" si="135"/>
        <v>167</v>
      </c>
      <c r="AH186" s="11">
        <f t="shared" ref="AH186:AV186" si="136">SUM(AH182:AH185)</f>
        <v>152</v>
      </c>
      <c r="AI186" s="11">
        <f t="shared" si="136"/>
        <v>172</v>
      </c>
      <c r="AJ186" s="11">
        <f t="shared" si="136"/>
        <v>177</v>
      </c>
      <c r="AK186" s="11">
        <f t="shared" si="136"/>
        <v>160</v>
      </c>
      <c r="AL186" s="11">
        <f t="shared" si="136"/>
        <v>190</v>
      </c>
      <c r="AM186" s="11">
        <f t="shared" si="136"/>
        <v>190</v>
      </c>
      <c r="AN186" s="11">
        <f t="shared" si="136"/>
        <v>201</v>
      </c>
      <c r="AO186" s="11">
        <f t="shared" si="136"/>
        <v>215</v>
      </c>
      <c r="AP186" s="11">
        <f t="shared" si="136"/>
        <v>238</v>
      </c>
      <c r="AQ186" s="11">
        <f t="shared" si="136"/>
        <v>242</v>
      </c>
      <c r="AR186" s="11">
        <f t="shared" si="136"/>
        <v>234</v>
      </c>
      <c r="AS186" s="11">
        <f t="shared" si="136"/>
        <v>226</v>
      </c>
      <c r="AT186" s="11">
        <f t="shared" si="136"/>
        <v>225</v>
      </c>
      <c r="AU186" s="11">
        <f t="shared" si="136"/>
        <v>178</v>
      </c>
      <c r="AV186" s="11">
        <f t="shared" si="136"/>
        <v>205</v>
      </c>
      <c r="AW186" s="11">
        <f t="shared" ref="AW186:BB186" si="137">SUM(AW182:AW185)</f>
        <v>185</v>
      </c>
      <c r="AX186" s="11">
        <f t="shared" si="137"/>
        <v>169</v>
      </c>
      <c r="AY186" s="11">
        <f t="shared" si="137"/>
        <v>170</v>
      </c>
      <c r="AZ186" s="11">
        <f t="shared" si="137"/>
        <v>163</v>
      </c>
      <c r="BA186" s="11">
        <f t="shared" si="137"/>
        <v>173</v>
      </c>
      <c r="BB186" s="11">
        <f t="shared" si="137"/>
        <v>140</v>
      </c>
      <c r="BC186" s="8"/>
    </row>
    <row r="187" spans="1:55" ht="13.5" customHeight="1" x14ac:dyDescent="0.2">
      <c r="A187" s="7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8"/>
    </row>
    <row r="188" spans="1:55" ht="13.5" customHeight="1" x14ac:dyDescent="0.2">
      <c r="A188" s="7"/>
      <c r="B188" s="28" t="s">
        <v>29</v>
      </c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8"/>
    </row>
    <row r="189" spans="1:55" ht="13.5" customHeight="1" x14ac:dyDescent="0.2">
      <c r="A189" s="7"/>
      <c r="B189" s="10" t="s">
        <v>72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8"/>
    </row>
    <row r="190" spans="1:55" ht="13.5" customHeight="1" x14ac:dyDescent="0.2">
      <c r="A190" s="7"/>
      <c r="B190" s="10"/>
      <c r="C190" s="2" t="s">
        <v>10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>
        <f t="shared" ref="AQ190:AV190" si="138">AQ50</f>
        <v>1</v>
      </c>
      <c r="AR190" s="2">
        <f t="shared" si="138"/>
        <v>3</v>
      </c>
      <c r="AS190" s="2">
        <f t="shared" si="138"/>
        <v>2</v>
      </c>
      <c r="AT190" s="2">
        <f t="shared" si="138"/>
        <v>1</v>
      </c>
      <c r="AU190" s="2">
        <f t="shared" si="138"/>
        <v>4</v>
      </c>
      <c r="AV190" s="2">
        <f t="shared" si="138"/>
        <v>2</v>
      </c>
      <c r="AW190" s="2">
        <f>AW24+AW29+AW50+AW97+AW104+AW113</f>
        <v>2</v>
      </c>
      <c r="AX190" s="2">
        <f>AX24+AX29+AX50+AX97+AX104+AX113</f>
        <v>23</v>
      </c>
      <c r="AY190" s="2">
        <f>AY24+AY29+AY50+AY97+AY104+AY113+AY138+AY156</f>
        <v>55</v>
      </c>
      <c r="AZ190" s="2">
        <f>AZ24+AZ29+AZ36+AZ50+AZ97+AZ104+AZ113+AZ138+AZ156</f>
        <v>44</v>
      </c>
      <c r="BA190" s="2">
        <f>BA24+BA29+BA36+BA50+BA97+BA104+BA113+BA138+BA156</f>
        <v>56</v>
      </c>
      <c r="BB190" s="2">
        <f>BB24+BB29+BB36+BB50+BB82+BB97+BB104+BB113+BB138+BB156</f>
        <v>66</v>
      </c>
      <c r="BC190" s="8"/>
    </row>
    <row r="191" spans="1:55" ht="13.5" customHeight="1" x14ac:dyDescent="0.2">
      <c r="A191" s="7"/>
      <c r="B191" s="2"/>
      <c r="C191" s="2" t="s">
        <v>0</v>
      </c>
      <c r="D191" s="2">
        <f>MU!D155+UMKC!D129+'S&amp;T'!D76+UMSL!D123</f>
        <v>4471</v>
      </c>
      <c r="E191" s="2">
        <f>MU!E155+UMKC!E129+'S&amp;T'!E76+UMSL!E123</f>
        <v>5392</v>
      </c>
      <c r="F191" s="2">
        <f>MU!F155+UMKC!F129+'S&amp;T'!F76+UMSL!F123</f>
        <v>5768</v>
      </c>
      <c r="G191" s="2">
        <f>MU!G155+UMKC!G129+'S&amp;T'!G76+UMSL!G123</f>
        <v>6195</v>
      </c>
      <c r="H191" s="2">
        <f>MU!H155+UMKC!H129+'S&amp;T'!H76+UMSL!H123</f>
        <v>6501</v>
      </c>
      <c r="I191" s="2">
        <f>MU!I155+UMKC!I129+'S&amp;T'!I76+UMSL!I123</f>
        <v>6787</v>
      </c>
      <c r="J191" s="2">
        <f>MU!J155+UMKC!J129+'S&amp;T'!J76+UMSL!J123</f>
        <v>7003</v>
      </c>
      <c r="K191" s="2">
        <f>MU!K155+UMKC!K129+'S&amp;T'!K76+UMSL!K123</f>
        <v>6777</v>
      </c>
      <c r="L191" s="2">
        <f>MU!L155+UMKC!L129+'S&amp;T'!L76+UMSL!L123</f>
        <v>6800</v>
      </c>
      <c r="M191" s="2">
        <f>MU!M155+UMKC!M129+'S&amp;T'!M76+UMSL!M123</f>
        <v>6551</v>
      </c>
      <c r="N191" s="2">
        <f>MU!N155+UMKC!N129+'S&amp;T'!N76+UMSL!N123</f>
        <v>6572</v>
      </c>
      <c r="O191" s="2">
        <f>MU!O155+UMKC!O129+'S&amp;T'!O76+UMSL!O123</f>
        <v>6513</v>
      </c>
      <c r="P191" s="2">
        <f>MU!P155+UMKC!P129+'S&amp;T'!P76+UMSL!P123</f>
        <v>6367</v>
      </c>
      <c r="Q191" s="2">
        <f>MU!Q155+UMKC!Q129+'S&amp;T'!Q76+UMSL!Q123</f>
        <v>6437</v>
      </c>
      <c r="R191" s="2">
        <f>MU!R155+UMKC!R129+'S&amp;T'!R76+UMSL!R123</f>
        <v>6671</v>
      </c>
      <c r="S191" s="2">
        <f>MU!S155+UMKC!S129+'S&amp;T'!S76+UMSL!S123</f>
        <v>6900</v>
      </c>
      <c r="T191" s="2">
        <f>MU!T155+UMKC!T129+'S&amp;T'!T76+UMSL!T123</f>
        <v>7034</v>
      </c>
      <c r="U191" s="2">
        <f>MU!U155+UMKC!U129+'S&amp;T'!U76+UMSL!U123</f>
        <v>7138</v>
      </c>
      <c r="V191" s="2">
        <f>MU!V155+UMKC!V129+'S&amp;T'!V76+UMSL!V123</f>
        <v>7016</v>
      </c>
      <c r="W191" s="2">
        <f t="shared" ref="W191:AB191" si="139">W11+W16+W25+W30+W37+W43+W51+W58+W65+W70+W83+W89+W93+W98+W105+W114+W121+W126+W132+W139+W146+W150+W157+W163+W169+W176+W182</f>
        <v>6890</v>
      </c>
      <c r="X191" s="2">
        <f t="shared" si="139"/>
        <v>6735</v>
      </c>
      <c r="Y191" s="2">
        <f t="shared" si="139"/>
        <v>6954</v>
      </c>
      <c r="Z191" s="2">
        <f t="shared" si="139"/>
        <v>6827</v>
      </c>
      <c r="AA191" s="2">
        <f t="shared" si="139"/>
        <v>6929</v>
      </c>
      <c r="AB191" s="2">
        <f t="shared" si="139"/>
        <v>7142</v>
      </c>
      <c r="AC191" s="2">
        <f t="shared" ref="AC191:AK191" si="140">AC11+AC16+AC25+AC30+AC37+AC43+AC51+AC58+AC65+AC70+AC83+AC89+AC98+AC105+AC114+AC121+AC126+AC132+AC139+AC146+AC150+AC157+AC163+AC169+AC176+AC182</f>
        <v>7433</v>
      </c>
      <c r="AD191" s="2">
        <f t="shared" si="140"/>
        <v>7310</v>
      </c>
      <c r="AE191" s="2">
        <f t="shared" si="140"/>
        <v>6899</v>
      </c>
      <c r="AF191" s="2">
        <f t="shared" si="140"/>
        <v>6511</v>
      </c>
      <c r="AG191" s="2">
        <f t="shared" si="140"/>
        <v>6708</v>
      </c>
      <c r="AH191" s="2">
        <f t="shared" si="140"/>
        <v>6798</v>
      </c>
      <c r="AI191" s="2">
        <f t="shared" si="140"/>
        <v>7294</v>
      </c>
      <c r="AJ191" s="2">
        <f t="shared" si="140"/>
        <v>7325</v>
      </c>
      <c r="AK191" s="2">
        <f t="shared" si="140"/>
        <v>7259</v>
      </c>
      <c r="AL191" s="2">
        <f t="shared" ref="AL191:AS191" si="141">AL11+AL16+AL22+AL25+AL30+AL37+AL43+AL51+AL58+AL65+AL70+AL83+AL89+AL98+AL105+AL114+AL121+AL126+AL132+AL139+AL146+AL150+AL157+AL163+AL169+AL176+AL182</f>
        <v>7611</v>
      </c>
      <c r="AM191" s="2">
        <f t="shared" si="141"/>
        <v>7579</v>
      </c>
      <c r="AN191" s="2">
        <f t="shared" si="141"/>
        <v>8090</v>
      </c>
      <c r="AO191" s="2">
        <f t="shared" si="141"/>
        <v>8285</v>
      </c>
      <c r="AP191" s="2">
        <f t="shared" si="141"/>
        <v>8535</v>
      </c>
      <c r="AQ191" s="2">
        <f t="shared" si="141"/>
        <v>9037</v>
      </c>
      <c r="AR191" s="2">
        <f t="shared" si="141"/>
        <v>8994</v>
      </c>
      <c r="AS191" s="2">
        <f t="shared" si="141"/>
        <v>9289</v>
      </c>
      <c r="AT191" s="2">
        <f>AT11+AT16+AT22+AT25+AT30+AT37+AT43+AT51+AT58+AT65+AT70+AT76+AT83+AT89+AT98+AT105+AT114+AT121+AT126+AT132+AT139+AT146+AT150+AT157+AT163+AT169+AT176+AT182</f>
        <v>9604</v>
      </c>
      <c r="AU191" s="2">
        <f>AU11+AU16+AU22+AU25+AU30+AU37+AU43+AU51+AU58+AU65+AU70+AU76+AU83+AU89+AU98+AU105+AU114+AU121+AU126+AU132+AU139+AU146+AU150+AU157+AU163+AU169+AU176+AU182</f>
        <v>9699</v>
      </c>
      <c r="AV191" s="2">
        <f>AV11+AV16+AV22+AV25+AV30+AV37+AV43+AV51+AV58+AV65+AV70+AV76+AV83+AV89+AV98+AV105+AV114+AV121+AV126+AV132+AV139+AV146+AV150+AV157+AV163+AV169+AV176+AV182</f>
        <v>10317</v>
      </c>
      <c r="AW191" s="2">
        <f>AW11+AW16+AW22+AW25+AW30+AW37+AW43+AW51+AW58+AW65+AW70+AW76+AW83+AW89+AW98+AW105+AW114+AW121+AW126+AW132+AW139+AW146+AW150+AW157+AW163+AW169+AW176+AW182</f>
        <v>10543</v>
      </c>
      <c r="AX191" s="2">
        <f>AX11+AX16+AX22+AX25+AX30+AX37+AX43+AX51+AX58+AX65+AX70+AX76+AX83+AX89+AX98+AX105+AX114+AX121+AX126+AX132+AX139+AX146+AX150+AX157+AX163+AX169+AX176+AX182</f>
        <v>10733</v>
      </c>
      <c r="AY191" s="2">
        <f>AY11+AY16+AY22+AY25+AY30+AY37+AY43+AY51+AY58+AY65+AY70+AY76+AY83+AY89+AY98+AY105+AY111+AY114+AY121+AY126+AY132+AY139+AY146+AY150+AY157+AY163+AY169+AY176+AY182</f>
        <v>11360</v>
      </c>
      <c r="AZ191" s="2">
        <f>AZ11+AZ16+AZ22+AZ25+AZ30+AZ37+AZ43+AZ51+AZ58+AZ65+AZ70+AZ76+AZ83+AZ89+AZ98+AZ105+AZ111+AZ114+AZ121+AZ126+AZ132+AZ139+AZ146+AZ150+AZ157+AZ163+AZ169+AZ176+AZ182</f>
        <v>11654</v>
      </c>
      <c r="BA191" s="2">
        <f>BA11+BA16+BA22+BA25+BA30+BA37+BA43+BA51+BA58+BA65+BA70+BA76+BA83+BA89+BA98+BA105+BA111+BA114+BA121+BA126+BA132+BA139+BA146+BA150+BA157+BA163+BA169+BA176+BA182</f>
        <v>11546</v>
      </c>
      <c r="BB191" s="2">
        <f>BB11+BB16+BB22+BB25+BB30+BB37+BB43+BB51+BB58+BB65+BB70+BB83+BB89+BB98+BB105+BB111+BB114+BB121+BB126+BB132+BB139+BB146+BB150+BB157+BB163+BB169+BB176+BB182</f>
        <v>11669</v>
      </c>
      <c r="BC191" s="8"/>
    </row>
    <row r="192" spans="1:55" ht="13.5" customHeight="1" x14ac:dyDescent="0.2">
      <c r="A192" s="7"/>
      <c r="B192" s="2"/>
      <c r="C192" s="2" t="s">
        <v>9</v>
      </c>
      <c r="D192" s="3"/>
      <c r="E192" s="3"/>
      <c r="F192" s="3"/>
      <c r="G192" s="3"/>
      <c r="H192" s="3"/>
      <c r="I192" s="3"/>
      <c r="J192" s="3">
        <f>UMKC!J130</f>
        <v>21</v>
      </c>
      <c r="K192" s="3">
        <f>UMKC!K130</f>
        <v>19</v>
      </c>
      <c r="L192" s="3">
        <f>UMKC!L130</f>
        <v>29</v>
      </c>
      <c r="M192" s="3">
        <f>UMKC!M130</f>
        <v>22</v>
      </c>
      <c r="N192" s="3">
        <f>UMKC!N130</f>
        <v>29</v>
      </c>
      <c r="O192" s="3">
        <f>UMKC!O130</f>
        <v>27</v>
      </c>
      <c r="P192" s="3">
        <f>UMKC!P130</f>
        <v>29</v>
      </c>
      <c r="Q192" s="3">
        <f>UMKC!Q130</f>
        <v>15</v>
      </c>
      <c r="R192" s="3">
        <f>UMKC!R130</f>
        <v>23</v>
      </c>
      <c r="S192" s="3">
        <f>UMKC!S130</f>
        <v>16</v>
      </c>
      <c r="T192" s="3">
        <f>UMKC!T130</f>
        <v>18</v>
      </c>
      <c r="U192" s="3">
        <f>UMKC!U130</f>
        <v>17</v>
      </c>
      <c r="V192" s="3">
        <f>UMKC!V130</f>
        <v>14</v>
      </c>
      <c r="W192" s="3">
        <f t="shared" ref="W192:AE192" si="142">W170+W177</f>
        <v>14</v>
      </c>
      <c r="X192" s="2">
        <f t="shared" si="142"/>
        <v>18</v>
      </c>
      <c r="Y192" s="2">
        <f t="shared" si="142"/>
        <v>20</v>
      </c>
      <c r="Z192" s="2">
        <f t="shared" si="142"/>
        <v>21</v>
      </c>
      <c r="AA192" s="2">
        <f t="shared" si="142"/>
        <v>20</v>
      </c>
      <c r="AB192" s="2">
        <f t="shared" si="142"/>
        <v>16</v>
      </c>
      <c r="AC192" s="2">
        <f t="shared" si="142"/>
        <v>18</v>
      </c>
      <c r="AD192" s="2">
        <f t="shared" si="142"/>
        <v>26</v>
      </c>
      <c r="AE192" s="2">
        <f t="shared" si="142"/>
        <v>25</v>
      </c>
      <c r="AF192" s="2">
        <f>AF99+AF140+AF170+AF177</f>
        <v>21</v>
      </c>
      <c r="AG192" s="2">
        <f>AG26+AG99+AG115+AG140+AG151+AG170+AG177</f>
        <v>30</v>
      </c>
      <c r="AH192" s="2">
        <f>AH26+AH99+AH115+AH140+AH151+AH170+AH177</f>
        <v>41</v>
      </c>
      <c r="AI192" s="2">
        <f>AI26+AI99+AI115+AI140+AI151+AI170+AI177</f>
        <v>44</v>
      </c>
      <c r="AJ192" s="2">
        <f>AJ26+AJ99+AJ115+AJ140+AJ151+AJ170+AJ177+AJ183</f>
        <v>59</v>
      </c>
      <c r="AK192" s="2">
        <f>AK26+AK52+AK59+AK99+AK115+AK140+AK151+AK170+AK177+AK183</f>
        <v>75</v>
      </c>
      <c r="AL192" s="2">
        <f>AL26+AL52+AL59+AL77+AL99+AL115+AL140+AL151+AL170+AL177+AL183</f>
        <v>130</v>
      </c>
      <c r="AM192" s="2">
        <f>AM17+AM26+AM38+AM52+AM59+AM77+AM84+AM99+AM115+AM140+AM151+AM158+AM164+AM170+AM177+AM183</f>
        <v>222</v>
      </c>
      <c r="AN192" s="2">
        <f>AN17+AN26+AN38+AN44+AN52+AN59+AN77+AN84+AN99+AN115+AN140+AN151+AN158+AN164+AN170+AN177+AN183</f>
        <v>202</v>
      </c>
      <c r="AO192" s="2">
        <f>AO17+AO26+AO38+AO44+AO52+AO59+AO71+AO77+AO84+AO99+AO115+AO140+AO151+AO158+AO164+AO170+AO177+AO183</f>
        <v>257</v>
      </c>
      <c r="AP192" s="2">
        <f>AP17+AP26+AP38+AP44+AP52+AP59+AP71+AP77+AP84+AP99+AP115+AP140+AP151+AP158+AP164+AP170+AP177+AP183</f>
        <v>259</v>
      </c>
      <c r="AQ192" s="2">
        <f>AQ17+AQ26+AQ38+AQ44+AQ52+AQ59+AQ71+AQ77+AQ84+AQ99+AQ106+AQ115+AQ140+AQ151+AQ158+AQ164+AQ170+AQ177+AQ183</f>
        <v>293</v>
      </c>
      <c r="AR192" s="2">
        <f>AR17+AR26+AR38+AR44+AR52+AR59+AR71+AR77+AR84+AR99+AR106+AR115+AR140+AR151+AR158+AR164+AR170+AR177+AR183</f>
        <v>321</v>
      </c>
      <c r="AS192" s="2">
        <f>AS17+AS26+AS38+AS44+AS52+AS59+AS71+AS77+AS84+AS99+AS106+AS115+AS140+AS151+AS158+AS164+AS170+AS177+AS183</f>
        <v>438</v>
      </c>
      <c r="AT192" s="2">
        <f>AT17+AT26+AT38+AT44+AT52+AT59+AT71+AT77+AT84+AT99+AT106+AT115+AT140+AT151+AT158+AT164+AT170+AT177</f>
        <v>520</v>
      </c>
      <c r="AU192" s="2">
        <f>AU17+AU26+AU38+AU44+AU52+AU59+AU71+AU77+AU84+AU99+AU106+AU115+AU133+AU140+AU151+AU158+AU164+AU170+AU177</f>
        <v>539</v>
      </c>
      <c r="AV192" s="2">
        <f>AV17+AV26+AV38+AV44+AV52+AV59+AV71+AV77+AV84+AV99+AV106+AV115+AV127+AV133+AV140+AV151+AV158+AV164+AV170+AV177</f>
        <v>623</v>
      </c>
      <c r="AW192" s="2">
        <f>AW17+AW26+AW31+AW38+AW44+AW52+AW59+AW71+AW77+AW84+AW99+AW106+AW115+AW127+AW133+AW140+AW151+AW158+AW164+AW170+AW177</f>
        <v>781</v>
      </c>
      <c r="AX192" s="2">
        <f>AX17+AX26+AX31+AX38+AX44+AX52+AX59+AX71+AX77+AX84+AX99+AX106+AX115+AX127+AX133+AX140+AX151+AX158+AX164+AX170+AX177+AX183</f>
        <v>740</v>
      </c>
      <c r="AY192" s="2">
        <f>AY17+AY26+AY31+AY38+AY44+AY52+AY59+AY71+AY77+AY84+AY99+AY106+AY115+AY127+AY133+AY140+AY151+AY158+AY164+AY170+AY177+AY183</f>
        <v>780</v>
      </c>
      <c r="AZ192" s="2">
        <f>AZ17+AZ26+AZ31+AZ38+AZ44+AZ52+AZ59+AZ71+AZ77+AZ84+AZ99+AZ106+AZ115+AZ127+AZ133+AZ140+AZ151+AZ158+AZ164+AZ170+AZ177+AZ183</f>
        <v>839</v>
      </c>
      <c r="BA192" s="2">
        <f>BA17+BA26+BA31+BA38+BA44+BA52+BA59+BA71+BA77+BA84+BA99+BA106+BA115+BA127+BA133+BA140+BA151+BA158+BA164+BA170+BA177+BA183</f>
        <v>869</v>
      </c>
      <c r="BB192" s="2">
        <f>BB17+BB26+BB31+BB38+BB44+BB52+BB59+BB71+BB77+BB84+BB99+BB106+BB115+BB127+BB133+BB140+BB151+BB158+BB164+BB170+BB177+BB183</f>
        <v>1047</v>
      </c>
      <c r="BC192" s="8"/>
    </row>
    <row r="193" spans="1:55" ht="13.5" hidden="1" customHeight="1" x14ac:dyDescent="0.2">
      <c r="A193" s="7"/>
      <c r="B193" s="2"/>
      <c r="C193" s="3" t="s">
        <v>44</v>
      </c>
      <c r="D193" s="2"/>
      <c r="E193" s="2"/>
      <c r="F193" s="2"/>
      <c r="G193" s="2"/>
      <c r="H193" s="2"/>
      <c r="I193" s="2"/>
      <c r="J193" s="2"/>
      <c r="K193" s="2">
        <f>'S&amp;T'!K78</f>
        <v>3</v>
      </c>
      <c r="L193" s="2">
        <f>'S&amp;T'!L78</f>
        <v>5</v>
      </c>
      <c r="M193" s="2">
        <f>'S&amp;T'!M78</f>
        <v>7</v>
      </c>
      <c r="N193" s="2">
        <f>'S&amp;T'!N78</f>
        <v>5</v>
      </c>
      <c r="O193" s="2">
        <f>'S&amp;T'!O78</f>
        <v>3</v>
      </c>
      <c r="P193" s="2">
        <f>'S&amp;T'!P78</f>
        <v>6</v>
      </c>
      <c r="Q193" s="2">
        <f>'S&amp;T'!Q78</f>
        <v>2</v>
      </c>
      <c r="R193" s="2">
        <f>'S&amp;T'!R78</f>
        <v>2</v>
      </c>
      <c r="S193" s="2">
        <f>'S&amp;T'!S78</f>
        <v>1</v>
      </c>
      <c r="T193" s="2">
        <f>'S&amp;T'!T78</f>
        <v>3</v>
      </c>
      <c r="U193" s="2">
        <f>'S&amp;T'!U78</f>
        <v>5</v>
      </c>
      <c r="V193" s="2">
        <f>'S&amp;T'!V78</f>
        <v>3</v>
      </c>
      <c r="W193" s="2">
        <f t="shared" ref="W193:AB193" si="143">W53+W60</f>
        <v>0</v>
      </c>
      <c r="X193" s="2">
        <f t="shared" si="143"/>
        <v>0</v>
      </c>
      <c r="Y193" s="2">
        <f t="shared" si="143"/>
        <v>0</v>
      </c>
      <c r="Z193" s="2">
        <f t="shared" si="143"/>
        <v>1</v>
      </c>
      <c r="AA193" s="2">
        <f t="shared" si="143"/>
        <v>0</v>
      </c>
      <c r="AB193" s="2">
        <f t="shared" si="143"/>
        <v>0</v>
      </c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8"/>
    </row>
    <row r="194" spans="1:55" ht="13.5" customHeight="1" x14ac:dyDescent="0.2">
      <c r="A194" s="7"/>
      <c r="B194" s="2"/>
      <c r="C194" s="2" t="s">
        <v>5</v>
      </c>
      <c r="D194" s="3">
        <f>MU!D157+UMKC!D131+'S&amp;T'!D79</f>
        <v>2007</v>
      </c>
      <c r="E194" s="3">
        <f>MU!E157+UMKC!E131+'S&amp;T'!E79+UMSL!E125</f>
        <v>2161</v>
      </c>
      <c r="F194" s="3">
        <f>MU!F157+UMKC!F131+'S&amp;T'!F79+UMSL!F125</f>
        <v>2401</v>
      </c>
      <c r="G194" s="3">
        <f>MU!G157+UMKC!G131+'S&amp;T'!G79+UMSL!G125</f>
        <v>2628</v>
      </c>
      <c r="H194" s="3">
        <f>MU!H157+UMKC!H131+'S&amp;T'!H79+UMSL!H125</f>
        <v>2723</v>
      </c>
      <c r="I194" s="3">
        <f>MU!I157+UMKC!I131+'S&amp;T'!I79+UMSL!I125</f>
        <v>2492</v>
      </c>
      <c r="J194" s="3">
        <f>MU!J157+UMKC!J131+'S&amp;T'!J79+UMSL!J125</f>
        <v>2525</v>
      </c>
      <c r="K194" s="3">
        <f>MU!K157+UMKC!K131+'S&amp;T'!K79+UMSL!K125</f>
        <v>2377</v>
      </c>
      <c r="L194" s="3">
        <f>MU!L157+UMKC!L131+'S&amp;T'!L79+UMSL!L125</f>
        <v>2334</v>
      </c>
      <c r="M194" s="3">
        <f>MU!M157+UMKC!M131+'S&amp;T'!M79+UMSL!M125</f>
        <v>2461</v>
      </c>
      <c r="N194" s="3">
        <f>MU!N157+UMKC!N131+'S&amp;T'!N79+UMSL!N125</f>
        <v>2411</v>
      </c>
      <c r="O194" s="3">
        <f>MU!O157+UMKC!O131+'S&amp;T'!O79+UMSL!O125</f>
        <v>2308</v>
      </c>
      <c r="P194" s="3">
        <f>MU!P157+UMKC!P131+'S&amp;T'!P79+UMSL!P125</f>
        <v>2236</v>
      </c>
      <c r="Q194" s="3">
        <f>MU!Q157+UMKC!Q131+'S&amp;T'!Q79+UMSL!Q125</f>
        <v>2196</v>
      </c>
      <c r="R194" s="3">
        <f>MU!R157+UMKC!R131+'S&amp;T'!R79+UMSL!R125</f>
        <v>2304</v>
      </c>
      <c r="S194" s="3">
        <f>MU!S157+UMKC!S131+'S&amp;T'!S79+UMSL!S125</f>
        <v>2324</v>
      </c>
      <c r="T194" s="3">
        <f>MU!T157+UMKC!T131+'S&amp;T'!T79+UMSL!T125</f>
        <v>2101</v>
      </c>
      <c r="U194" s="3">
        <f>MU!U157+UMKC!U131+'S&amp;T'!U79+UMSL!U125</f>
        <v>2232</v>
      </c>
      <c r="V194" s="3">
        <f>MU!V157+UMKC!V131+'S&amp;T'!V79+UMSL!V125</f>
        <v>2115</v>
      </c>
      <c r="W194" s="3">
        <f>W12+W18+W32+W39+W45+W54+W61+W66+W72+W78+W85+W94+W100+W107+W122+W128+W134+W141+W147+W152+W159+W165+W171+W178+W184</f>
        <v>2075</v>
      </c>
      <c r="X194" s="2">
        <f>X12+X18+X32+X39+X45+X54+X61+X66+X72+X78+X85+X94+X100+X107+X122+X128+X134+X141+X147+X152+X159+X165+X171+X178+X184</f>
        <v>2221</v>
      </c>
      <c r="Y194" s="3">
        <f t="shared" ref="Y194:AI194" si="144">Y12+Y18+Y32+Y39+Y45+Y54+Y61+Y66+Y72+Y78+Y85+Y94+Y100+Y107+Y116+Y122+Y128+Y134+Y141+Y147+Y152+Y159+Y165+Y171+Y178+Y184</f>
        <v>2380</v>
      </c>
      <c r="Z194" s="2">
        <f t="shared" si="144"/>
        <v>2363</v>
      </c>
      <c r="AA194" s="2">
        <f t="shared" si="144"/>
        <v>2525</v>
      </c>
      <c r="AB194" s="2">
        <f t="shared" si="144"/>
        <v>2649</v>
      </c>
      <c r="AC194" s="2">
        <f t="shared" si="144"/>
        <v>2595</v>
      </c>
      <c r="AD194" s="2">
        <f t="shared" si="144"/>
        <v>2657</v>
      </c>
      <c r="AE194" s="2">
        <f t="shared" si="144"/>
        <v>2472</v>
      </c>
      <c r="AF194" s="2">
        <f t="shared" si="144"/>
        <v>2617</v>
      </c>
      <c r="AG194" s="2">
        <f t="shared" si="144"/>
        <v>2693</v>
      </c>
      <c r="AH194" s="2">
        <f t="shared" si="144"/>
        <v>2467</v>
      </c>
      <c r="AI194" s="2">
        <f t="shared" si="144"/>
        <v>2494</v>
      </c>
      <c r="AJ194" s="2">
        <f>AJ12+AJ18+AJ32+AJ39+AJ45+AJ54+AJ61+AJ66+AJ72+AJ78+AJ85+AJ90+AJ94+AJ100+AJ107+AJ116+AJ122+AJ128+AJ134+AJ141+AJ147+AJ152+AJ159+AJ165+AJ171+AJ178+AJ184</f>
        <v>2404</v>
      </c>
      <c r="AK194" s="2">
        <f>AK12+AK18+AK32+AK39+AK45+AK54+AK61+AK66+AK72+AK78+AK85+AK90+AK94+AK100+AK107+AK116+AK122+AK128+AK134+AK141+AK147+AK152+AK159+AK165+AK171+AK178+AK184</f>
        <v>2627</v>
      </c>
      <c r="AL194" s="2">
        <f>AL12+AL18+AL32+AL39+AL45+AL54+AL61+AL66+AL72+AL78+AL85+AL90+AL94+AL100+AL107+AL116+AL122+AL128+AL134+AL141+AL147+AL152+AL159+AL165+AL171+AL178+AL184</f>
        <v>2735</v>
      </c>
      <c r="AM194" s="2">
        <f>AM12+AM18+AM32+AM39+AM45+AM54+AM61+AM66+AM72+AM78+AM85+AM90+AM94+AM100+AM107+AM116+AM122+AM128+AM134+AM141+AM147+AM152+AM159+AM165+AM171+AM178+AM184</f>
        <v>3122</v>
      </c>
      <c r="AN194" s="2">
        <f>AN12+AN18+AN32+AN39+AN45+AN54+AN61+AN66+AN72+AN78+AN85+AN90+AN94+AN100+AN107+AN116+AN122+AN128+AN134+AN141+AN147+AN152+AN159+AN165+AN171+AN178+AN184</f>
        <v>3194</v>
      </c>
      <c r="AO194" s="2">
        <f t="shared" ref="AO194:AY194" si="145">AO12+AO18+AO32+AO39+AO45+AO54+AO61+AO66+AO72+AO78+AO85+AO90+AO100+AO107+AO116+AO122+AO128+AO134+AO141+AO147+AO152+AO159+AO165+AO171+AO178+AO184</f>
        <v>3215</v>
      </c>
      <c r="AP194" s="2">
        <f t="shared" si="145"/>
        <v>3227</v>
      </c>
      <c r="AQ194" s="2">
        <f t="shared" si="145"/>
        <v>3193</v>
      </c>
      <c r="AR194" s="2">
        <f t="shared" si="145"/>
        <v>3432</v>
      </c>
      <c r="AS194" s="2">
        <f t="shared" si="145"/>
        <v>3620</v>
      </c>
      <c r="AT194" s="2">
        <f t="shared" si="145"/>
        <v>3608</v>
      </c>
      <c r="AU194" s="2">
        <f t="shared" si="145"/>
        <v>3870</v>
      </c>
      <c r="AV194" s="2">
        <f t="shared" si="145"/>
        <v>4069</v>
      </c>
      <c r="AW194" s="2">
        <f t="shared" si="145"/>
        <v>3919</v>
      </c>
      <c r="AX194" s="2">
        <f t="shared" si="145"/>
        <v>4013</v>
      </c>
      <c r="AY194" s="2">
        <f t="shared" si="145"/>
        <v>4204</v>
      </c>
      <c r="AZ194" s="2">
        <f t="shared" ref="AZ194:BA194" si="146">AZ12+AZ18+AZ32+AZ39+AZ45+AZ54+AZ61+AZ66+AZ72+AZ78+AZ85+AZ90+AZ100+AZ107+AZ116+AZ122+AZ128+AZ134+AZ141+AZ147+AZ152+AZ159+AZ165+AZ171+AZ178+AZ184</f>
        <v>4330</v>
      </c>
      <c r="BA194" s="2">
        <f t="shared" si="146"/>
        <v>4217</v>
      </c>
      <c r="BB194" s="2">
        <f>BB12+BB18+BB32+BB39+BB45+BB54+BB61+BB66+BB72+BB78+BB85+BB90+BB94+BB100+BB107+BB116+BB122+BB128+BB134+BB141+BB147+BB152+BB159+BB165+BB171+BB178+BB184</f>
        <v>3956</v>
      </c>
      <c r="BC194" s="8"/>
    </row>
    <row r="195" spans="1:55" ht="13.5" customHeight="1" x14ac:dyDescent="0.2">
      <c r="A195" s="7"/>
      <c r="B195" s="2"/>
      <c r="C195" s="2" t="s">
        <v>11</v>
      </c>
      <c r="D195" s="2"/>
      <c r="E195" s="2"/>
      <c r="F195" s="2"/>
      <c r="G195" s="2"/>
      <c r="H195" s="2"/>
      <c r="I195" s="2"/>
      <c r="J195" s="2">
        <f>MU!J158+UMKC!J132</f>
        <v>48</v>
      </c>
      <c r="K195" s="2">
        <f>MU!K158+UMKC!K132</f>
        <v>64</v>
      </c>
      <c r="L195" s="2">
        <f>MU!L158+UMKC!L132</f>
        <v>60</v>
      </c>
      <c r="M195" s="2">
        <f>MU!M158+UMKC!M132</f>
        <v>58</v>
      </c>
      <c r="N195" s="2">
        <f>MU!N158+UMKC!N132</f>
        <v>88</v>
      </c>
      <c r="O195" s="2">
        <f>MU!O158+UMKC!O132</f>
        <v>88</v>
      </c>
      <c r="P195" s="2">
        <f>MU!P158+UMKC!P132</f>
        <v>87</v>
      </c>
      <c r="Q195" s="2">
        <f>MU!Q158+UMKC!Q132</f>
        <v>96</v>
      </c>
      <c r="R195" s="2">
        <f>MU!R158+UMKC!R132</f>
        <v>67</v>
      </c>
      <c r="S195" s="2">
        <f>MU!S158+UMKC!S132</f>
        <v>71</v>
      </c>
      <c r="T195" s="2">
        <f>MU!T158+UMKC!T132</f>
        <v>63</v>
      </c>
      <c r="U195" s="2">
        <f>MU!U158+UMKC!U132</f>
        <v>61</v>
      </c>
      <c r="V195" s="2">
        <f>MU!V158+UMKC!V132</f>
        <v>92</v>
      </c>
      <c r="W195" s="2">
        <f t="shared" ref="W195:AY195" si="147">W46+W142</f>
        <v>94</v>
      </c>
      <c r="X195" s="2">
        <f t="shared" si="147"/>
        <v>82</v>
      </c>
      <c r="Y195" s="3">
        <f t="shared" si="147"/>
        <v>83</v>
      </c>
      <c r="Z195" s="2">
        <f t="shared" si="147"/>
        <v>107</v>
      </c>
      <c r="AA195" s="2">
        <f t="shared" si="147"/>
        <v>100</v>
      </c>
      <c r="AB195" s="2">
        <f t="shared" si="147"/>
        <v>95</v>
      </c>
      <c r="AC195" s="2">
        <f t="shared" si="147"/>
        <v>90</v>
      </c>
      <c r="AD195" s="2">
        <f t="shared" si="147"/>
        <v>79</v>
      </c>
      <c r="AE195" s="2">
        <f t="shared" si="147"/>
        <v>77</v>
      </c>
      <c r="AF195" s="2">
        <f t="shared" si="147"/>
        <v>85</v>
      </c>
      <c r="AG195" s="2">
        <f t="shared" si="147"/>
        <v>68</v>
      </c>
      <c r="AH195" s="2">
        <f t="shared" si="147"/>
        <v>71</v>
      </c>
      <c r="AI195" s="2">
        <f t="shared" si="147"/>
        <v>68</v>
      </c>
      <c r="AJ195" s="2">
        <f t="shared" si="147"/>
        <v>48</v>
      </c>
      <c r="AK195" s="2">
        <f t="shared" si="147"/>
        <v>88</v>
      </c>
      <c r="AL195" s="2">
        <f t="shared" si="147"/>
        <v>76</v>
      </c>
      <c r="AM195" s="2">
        <f t="shared" si="147"/>
        <v>94</v>
      </c>
      <c r="AN195" s="2">
        <f t="shared" si="147"/>
        <v>82</v>
      </c>
      <c r="AO195" s="2">
        <f t="shared" si="147"/>
        <v>77</v>
      </c>
      <c r="AP195" s="2">
        <f t="shared" si="147"/>
        <v>91</v>
      </c>
      <c r="AQ195" s="2">
        <f t="shared" si="147"/>
        <v>106</v>
      </c>
      <c r="AR195" s="2">
        <f t="shared" si="147"/>
        <v>102</v>
      </c>
      <c r="AS195" s="2">
        <f t="shared" si="147"/>
        <v>148</v>
      </c>
      <c r="AT195" s="2">
        <f t="shared" si="147"/>
        <v>123</v>
      </c>
      <c r="AU195" s="2">
        <f t="shared" si="147"/>
        <v>100</v>
      </c>
      <c r="AV195" s="2">
        <f t="shared" si="147"/>
        <v>104</v>
      </c>
      <c r="AW195" s="2">
        <f t="shared" si="147"/>
        <v>115</v>
      </c>
      <c r="AX195" s="2">
        <f t="shared" si="147"/>
        <v>113</v>
      </c>
      <c r="AY195" s="2">
        <f t="shared" si="147"/>
        <v>122</v>
      </c>
      <c r="AZ195" s="2">
        <f t="shared" ref="AZ195:BA195" si="148">AZ46+AZ142</f>
        <v>100</v>
      </c>
      <c r="BA195" s="2">
        <f t="shared" si="148"/>
        <v>93</v>
      </c>
      <c r="BB195" s="2">
        <f>BB46+BB117+BB142</f>
        <v>67</v>
      </c>
      <c r="BC195" s="8"/>
    </row>
    <row r="196" spans="1:55" ht="13.5" customHeight="1" x14ac:dyDescent="0.2">
      <c r="A196" s="7"/>
      <c r="B196" s="2"/>
      <c r="C196" s="2" t="s">
        <v>7</v>
      </c>
      <c r="D196" s="2">
        <f>MU!D159+UMKC!D133+'S&amp;T'!D80</f>
        <v>217</v>
      </c>
      <c r="E196" s="2">
        <f>MU!E159+UMKC!E133+'S&amp;T'!E80</f>
        <v>267</v>
      </c>
      <c r="F196" s="2">
        <f>MU!F159+UMKC!F133+'S&amp;T'!F80</f>
        <v>362</v>
      </c>
      <c r="G196" s="2">
        <f>MU!G159+UMKC!G133+'S&amp;T'!G80</f>
        <v>361</v>
      </c>
      <c r="H196" s="2">
        <f>MU!H159+UMKC!H133+'S&amp;T'!H80+UMSL!H127</f>
        <v>405</v>
      </c>
      <c r="I196" s="2">
        <f>MU!I159+UMKC!I133+'S&amp;T'!I80+UMSL!I127</f>
        <v>406</v>
      </c>
      <c r="J196" s="2">
        <f>MU!J159+UMKC!J133+'S&amp;T'!J80+UMSL!J127</f>
        <v>405</v>
      </c>
      <c r="K196" s="2">
        <f>MU!K159+UMKC!K133+'S&amp;T'!K80+UMSL!K127</f>
        <v>364</v>
      </c>
      <c r="L196" s="2">
        <f>MU!L159+UMKC!L133+'S&amp;T'!L80+UMSL!L127</f>
        <v>372</v>
      </c>
      <c r="M196" s="2">
        <f>MU!M159+UMKC!M133+'S&amp;T'!M80+UMSL!M127</f>
        <v>352</v>
      </c>
      <c r="N196" s="2">
        <f>MU!N159+UMKC!N133+'S&amp;T'!N80+UMSL!N127</f>
        <v>283</v>
      </c>
      <c r="O196" s="2">
        <f>MU!O159+UMKC!O133+'S&amp;T'!O80+UMSL!O127</f>
        <v>359</v>
      </c>
      <c r="P196" s="2">
        <f>MU!P159+UMKC!P133+'S&amp;T'!P80+UMSL!P127</f>
        <v>327</v>
      </c>
      <c r="Q196" s="2">
        <f>MU!Q159+UMKC!Q133+'S&amp;T'!Q80+UMSL!Q127</f>
        <v>278</v>
      </c>
      <c r="R196" s="2">
        <f>MU!R159+UMKC!R133+'S&amp;T'!R80+UMSL!R127</f>
        <v>278</v>
      </c>
      <c r="S196" s="2">
        <f>MU!S159+UMKC!S133+'S&amp;T'!S80+UMSL!S127</f>
        <v>276</v>
      </c>
      <c r="T196" s="2">
        <f>MU!T159+UMKC!T133+'S&amp;T'!T80+UMSL!T127</f>
        <v>320</v>
      </c>
      <c r="U196" s="2">
        <f>MU!U159+UMKC!U133+'S&amp;T'!U80+UMSL!U127</f>
        <v>304</v>
      </c>
      <c r="V196" s="2">
        <f>MU!V159+UMKC!V133+'S&amp;T'!V80+UMSL!V127</f>
        <v>296</v>
      </c>
      <c r="W196" s="2">
        <f>W13+W19+W33+W40+W47+W55+W62+W67+W73+W86+W101+W108+W129+W135+W143+W160+W166+W172+W179+W185</f>
        <v>282</v>
      </c>
      <c r="X196" s="2">
        <f>X13+X19+X33+X40+X47+X55+X62+X67+X73+X86+X101+X108+X129+X135+X143+X160+X166+X172+X179+X185</f>
        <v>321</v>
      </c>
      <c r="Y196" s="2">
        <f>Y13+Y19+Y33+Y40+Y47+Y55+Y62+Y67+Y73+Y86+Y101+Y108+Y129+Y135+Y143+Y160+Y166+Y172+Y179+Y185</f>
        <v>334</v>
      </c>
      <c r="Z196" s="2">
        <f>Z13+Z19+Z33+Z40+Z47+Z55+Z62+Z67+Z73+Z86+Z101+Z108+Z129+Z135+Z143+Z160+Z166+Z172+Z179+Z185</f>
        <v>341</v>
      </c>
      <c r="AA196" s="2">
        <f>AA13+AA19+AA33+AA40+AA47+AA55+AA62+AA67+AA73+AA86+AA101+AA108+AA129+AA135+AA143+AA160+AA166+AA172+AA179+AA185</f>
        <v>353</v>
      </c>
      <c r="AB196" s="2">
        <f t="shared" ref="AB196:AG196" si="149">AB13+AB19+AB33+AB40+AB47+AB55+AB62+AB67+AB73+AB86+AB101+AB108+AB118+AB129+AB135+AB143+AB160+AB166+AB172+AB179+AB185</f>
        <v>395</v>
      </c>
      <c r="AC196" s="2">
        <f t="shared" si="149"/>
        <v>389</v>
      </c>
      <c r="AD196" s="2">
        <f t="shared" si="149"/>
        <v>378</v>
      </c>
      <c r="AE196" s="2">
        <f t="shared" si="149"/>
        <v>341</v>
      </c>
      <c r="AF196" s="2">
        <f t="shared" si="149"/>
        <v>379</v>
      </c>
      <c r="AG196" s="2">
        <f t="shared" si="149"/>
        <v>404</v>
      </c>
      <c r="AH196" s="2">
        <f>AH13+AH19+AH33+AH40+AH47+AH55+AH62+AH67+AH73+AH86+AH101+AH108+AH118+AH123+AH129+AH135+AH143+AH160+AH166+AH172+AH179+AH185</f>
        <v>426</v>
      </c>
      <c r="AI196" s="2">
        <f>AI13+AI19+AI33+AI40+AI47+AI55+AI62+AI67+AI73+AI86+AI101+AI108+AI118+AI123+AI129+AI135+AI143+AI160+AI166+AI172+AI179+AI185</f>
        <v>369</v>
      </c>
      <c r="AJ196" s="2">
        <f t="shared" ref="AJ196:AQ196" si="150">AJ13+AJ19+AJ33+AJ40+AJ47+AJ55+AJ62+AJ67+AJ73+AJ86+AJ101+AJ108+AJ118+AJ123+AJ129+AJ135+AJ143+AJ153+AJ160+AJ166+AJ172+AJ179+AJ185</f>
        <v>402</v>
      </c>
      <c r="AK196" s="2">
        <f t="shared" si="150"/>
        <v>429</v>
      </c>
      <c r="AL196" s="2">
        <f t="shared" si="150"/>
        <v>401</v>
      </c>
      <c r="AM196" s="2">
        <f t="shared" si="150"/>
        <v>432</v>
      </c>
      <c r="AN196" s="2">
        <f t="shared" si="150"/>
        <v>417</v>
      </c>
      <c r="AO196" s="2">
        <f t="shared" si="150"/>
        <v>439</v>
      </c>
      <c r="AP196" s="2">
        <f t="shared" si="150"/>
        <v>470</v>
      </c>
      <c r="AQ196" s="2">
        <f t="shared" si="150"/>
        <v>479</v>
      </c>
      <c r="AR196" s="2">
        <f t="shared" ref="AR196:AY196" si="151">AR13+AR19+AR33+AR40+AR47+AR55+AR62+AR67+AR73+AR86+AR101+AR108+AR118+AR129+AR135+AR143+AR153+AR160+AR166+AR172+AR179+AR185</f>
        <v>510</v>
      </c>
      <c r="AS196" s="2">
        <f t="shared" si="151"/>
        <v>487</v>
      </c>
      <c r="AT196" s="2">
        <f t="shared" si="151"/>
        <v>519</v>
      </c>
      <c r="AU196" s="2">
        <f t="shared" si="151"/>
        <v>557</v>
      </c>
      <c r="AV196" s="2">
        <f t="shared" si="151"/>
        <v>610</v>
      </c>
      <c r="AW196" s="2">
        <f t="shared" si="151"/>
        <v>660</v>
      </c>
      <c r="AX196" s="2">
        <f t="shared" si="151"/>
        <v>640</v>
      </c>
      <c r="AY196" s="2">
        <f t="shared" si="151"/>
        <v>712</v>
      </c>
      <c r="AZ196" s="2">
        <f t="shared" ref="AZ196:BA196" si="152">AZ13+AZ19+AZ33+AZ40+AZ47+AZ55+AZ62+AZ67+AZ73+AZ86+AZ101+AZ108+AZ118+AZ129+AZ135+AZ143+AZ153+AZ160+AZ166+AZ172+AZ179+AZ185</f>
        <v>720</v>
      </c>
      <c r="BA196" s="2">
        <f t="shared" si="152"/>
        <v>816</v>
      </c>
      <c r="BB196" s="2">
        <f t="shared" ref="BB196" si="153">BB13+BB19+BB33+BB40+BB47+BB55+BB62+BB67+BB73+BB86+BB101+BB108+BB118+BB129+BB135+BB143+BB153+BB160+BB166+BB172+BB179+BB185</f>
        <v>818</v>
      </c>
      <c r="BC196" s="8"/>
    </row>
    <row r="197" spans="1:55" ht="13.5" customHeight="1" x14ac:dyDescent="0.2">
      <c r="A197" s="7"/>
      <c r="B197" s="2"/>
      <c r="C197" s="2" t="s">
        <v>32</v>
      </c>
      <c r="D197" s="2">
        <f>MU!D160+UMKC!D134</f>
        <v>430</v>
      </c>
      <c r="E197" s="2">
        <f>MU!E160+UMKC!E134</f>
        <v>423</v>
      </c>
      <c r="F197" s="2">
        <f>MU!F160+UMKC!F134</f>
        <v>407</v>
      </c>
      <c r="G197" s="2">
        <f>MU!G160+UMKC!G134</f>
        <v>432</v>
      </c>
      <c r="H197" s="2">
        <f>MU!H160+UMKC!H134</f>
        <v>529</v>
      </c>
      <c r="I197" s="2">
        <f>MU!I160+UMKC!I134</f>
        <v>650</v>
      </c>
      <c r="J197" s="2">
        <f>MU!J160+UMKC!J134</f>
        <v>637</v>
      </c>
      <c r="K197" s="2">
        <f>MU!K160+UMKC!K134</f>
        <v>672</v>
      </c>
      <c r="L197" s="2">
        <f>MU!L160+UMKC!L134</f>
        <v>669</v>
      </c>
      <c r="M197" s="2">
        <f>MU!M160+UMKC!M134</f>
        <v>660</v>
      </c>
      <c r="N197" s="2">
        <f>MU!N160+UMKC!N134</f>
        <v>700</v>
      </c>
      <c r="O197" s="2">
        <f>MU!O160+UMKC!O134</f>
        <v>663</v>
      </c>
      <c r="P197" s="2">
        <f>MU!P160+UMKC!P134</f>
        <v>708</v>
      </c>
      <c r="Q197" s="2">
        <f>MU!Q160+UMKC!Q134</f>
        <v>678</v>
      </c>
      <c r="R197" s="2">
        <f>MU!R160+UMKC!R134</f>
        <v>684</v>
      </c>
      <c r="S197" s="2">
        <f>MU!S160+UMKC!S134</f>
        <v>724</v>
      </c>
      <c r="T197" s="2">
        <f>MU!T160+UMKC!T134+UMSL!T128</f>
        <v>750</v>
      </c>
      <c r="U197" s="2">
        <f>MU!U160+UMKC!U134+UMSL!U128</f>
        <v>701</v>
      </c>
      <c r="V197" s="2">
        <f>MU!V160+UMKC!V134+UMSL!V128</f>
        <v>671</v>
      </c>
      <c r="W197" s="2">
        <f t="shared" ref="W197:AY197" si="154">W79+W173</f>
        <v>679</v>
      </c>
      <c r="X197" s="2">
        <f t="shared" si="154"/>
        <v>665</v>
      </c>
      <c r="Y197" s="2">
        <f t="shared" si="154"/>
        <v>680</v>
      </c>
      <c r="Z197" s="2">
        <f t="shared" si="154"/>
        <v>665</v>
      </c>
      <c r="AA197" s="2">
        <f t="shared" si="154"/>
        <v>722</v>
      </c>
      <c r="AB197" s="2">
        <f t="shared" si="154"/>
        <v>679</v>
      </c>
      <c r="AC197" s="2">
        <f t="shared" si="154"/>
        <v>651</v>
      </c>
      <c r="AD197" s="2">
        <f t="shared" si="154"/>
        <v>628</v>
      </c>
      <c r="AE197" s="2">
        <f t="shared" si="154"/>
        <v>663</v>
      </c>
      <c r="AF197" s="2">
        <f t="shared" si="154"/>
        <v>670</v>
      </c>
      <c r="AG197" s="2">
        <f t="shared" si="154"/>
        <v>633</v>
      </c>
      <c r="AH197" s="2">
        <f t="shared" si="154"/>
        <v>630</v>
      </c>
      <c r="AI197" s="2">
        <f t="shared" si="154"/>
        <v>737</v>
      </c>
      <c r="AJ197" s="2">
        <f t="shared" si="154"/>
        <v>706</v>
      </c>
      <c r="AK197" s="2">
        <f t="shared" si="154"/>
        <v>704</v>
      </c>
      <c r="AL197" s="2">
        <f t="shared" si="154"/>
        <v>692</v>
      </c>
      <c r="AM197" s="2">
        <f t="shared" si="154"/>
        <v>728</v>
      </c>
      <c r="AN197" s="2">
        <f t="shared" si="154"/>
        <v>756</v>
      </c>
      <c r="AO197" s="2">
        <f t="shared" si="154"/>
        <v>711</v>
      </c>
      <c r="AP197" s="2">
        <f t="shared" si="154"/>
        <v>741</v>
      </c>
      <c r="AQ197" s="2">
        <f t="shared" si="154"/>
        <v>771</v>
      </c>
      <c r="AR197" s="2">
        <f t="shared" si="154"/>
        <v>749</v>
      </c>
      <c r="AS197" s="2">
        <f t="shared" si="154"/>
        <v>763</v>
      </c>
      <c r="AT197" s="2">
        <f t="shared" si="154"/>
        <v>800</v>
      </c>
      <c r="AU197" s="2">
        <f t="shared" si="154"/>
        <v>818</v>
      </c>
      <c r="AV197" s="2">
        <f t="shared" si="154"/>
        <v>790</v>
      </c>
      <c r="AW197" s="2">
        <f t="shared" si="154"/>
        <v>847</v>
      </c>
      <c r="AX197" s="2">
        <f t="shared" si="154"/>
        <v>837</v>
      </c>
      <c r="AY197" s="2">
        <f t="shared" si="154"/>
        <v>876</v>
      </c>
      <c r="AZ197" s="2">
        <f t="shared" ref="AZ197:BA197" si="155">AZ79+AZ173</f>
        <v>833</v>
      </c>
      <c r="BA197" s="2">
        <f t="shared" si="155"/>
        <v>829</v>
      </c>
      <c r="BB197" s="2">
        <f t="shared" ref="BB197" si="156">BB79+BB173</f>
        <v>832</v>
      </c>
      <c r="BC197" s="8"/>
    </row>
    <row r="198" spans="1:55" ht="13.5" customHeight="1" x14ac:dyDescent="0.2">
      <c r="A198" s="7"/>
      <c r="B198" s="2"/>
      <c r="C198" s="2"/>
      <c r="D198" s="11">
        <f>SUM(D191:D197)</f>
        <v>7125</v>
      </c>
      <c r="E198" s="11">
        <f t="shared" ref="E198:M198" si="157">SUM(E191:E197)</f>
        <v>8243</v>
      </c>
      <c r="F198" s="11">
        <f t="shared" si="157"/>
        <v>8938</v>
      </c>
      <c r="G198" s="11">
        <f t="shared" si="157"/>
        <v>9616</v>
      </c>
      <c r="H198" s="11">
        <f t="shared" si="157"/>
        <v>10158</v>
      </c>
      <c r="I198" s="11">
        <f t="shared" si="157"/>
        <v>10335</v>
      </c>
      <c r="J198" s="11">
        <f t="shared" si="157"/>
        <v>10639</v>
      </c>
      <c r="K198" s="11">
        <f t="shared" si="157"/>
        <v>10276</v>
      </c>
      <c r="L198" s="11">
        <f t="shared" si="157"/>
        <v>10269</v>
      </c>
      <c r="M198" s="11">
        <f t="shared" si="157"/>
        <v>10111</v>
      </c>
      <c r="N198" s="11">
        <f t="shared" ref="N198:V198" si="158">SUM(N191:N197)</f>
        <v>10088</v>
      </c>
      <c r="O198" s="11">
        <f t="shared" si="158"/>
        <v>9961</v>
      </c>
      <c r="P198" s="11">
        <f t="shared" si="158"/>
        <v>9760</v>
      </c>
      <c r="Q198" s="11">
        <f t="shared" si="158"/>
        <v>9702</v>
      </c>
      <c r="R198" s="11">
        <f t="shared" si="158"/>
        <v>10029</v>
      </c>
      <c r="S198" s="11">
        <f t="shared" si="158"/>
        <v>10312</v>
      </c>
      <c r="T198" s="11">
        <f t="shared" si="158"/>
        <v>10289</v>
      </c>
      <c r="U198" s="11">
        <f t="shared" si="158"/>
        <v>10458</v>
      </c>
      <c r="V198" s="11">
        <f t="shared" si="158"/>
        <v>10207</v>
      </c>
      <c r="W198" s="11">
        <f t="shared" ref="W198:AA198" si="159">SUM(W191:W197)</f>
        <v>10034</v>
      </c>
      <c r="X198" s="11">
        <f t="shared" si="159"/>
        <v>10042</v>
      </c>
      <c r="Y198" s="11">
        <f t="shared" si="159"/>
        <v>10451</v>
      </c>
      <c r="Z198" s="11">
        <f t="shared" si="159"/>
        <v>10325</v>
      </c>
      <c r="AA198" s="11">
        <f t="shared" si="159"/>
        <v>10649</v>
      </c>
      <c r="AB198" s="11">
        <f t="shared" ref="AB198:AP198" si="160">SUM(AB191:AB197)</f>
        <v>10976</v>
      </c>
      <c r="AC198" s="11">
        <f t="shared" si="160"/>
        <v>11176</v>
      </c>
      <c r="AD198" s="11">
        <f t="shared" si="160"/>
        <v>11078</v>
      </c>
      <c r="AE198" s="11">
        <f t="shared" si="160"/>
        <v>10477</v>
      </c>
      <c r="AF198" s="11">
        <f t="shared" si="160"/>
        <v>10283</v>
      </c>
      <c r="AG198" s="11">
        <f t="shared" si="160"/>
        <v>10536</v>
      </c>
      <c r="AH198" s="11">
        <f t="shared" si="160"/>
        <v>10433</v>
      </c>
      <c r="AI198" s="11">
        <f t="shared" si="160"/>
        <v>11006</v>
      </c>
      <c r="AJ198" s="11">
        <f t="shared" si="160"/>
        <v>10944</v>
      </c>
      <c r="AK198" s="11">
        <f t="shared" si="160"/>
        <v>11182</v>
      </c>
      <c r="AL198" s="11">
        <f t="shared" si="160"/>
        <v>11645</v>
      </c>
      <c r="AM198" s="11">
        <f t="shared" si="160"/>
        <v>12177</v>
      </c>
      <c r="AN198" s="11">
        <f t="shared" si="160"/>
        <v>12741</v>
      </c>
      <c r="AO198" s="11">
        <f t="shared" si="160"/>
        <v>12984</v>
      </c>
      <c r="AP198" s="11">
        <f t="shared" si="160"/>
        <v>13323</v>
      </c>
      <c r="AQ198" s="11">
        <f t="shared" ref="AQ198:AW198" si="161">SUM(AQ190:AQ197)</f>
        <v>13880</v>
      </c>
      <c r="AR198" s="11">
        <f t="shared" si="161"/>
        <v>14111</v>
      </c>
      <c r="AS198" s="11">
        <f t="shared" si="161"/>
        <v>14747</v>
      </c>
      <c r="AT198" s="11">
        <f t="shared" si="161"/>
        <v>15175</v>
      </c>
      <c r="AU198" s="11">
        <f t="shared" si="161"/>
        <v>15587</v>
      </c>
      <c r="AV198" s="11">
        <f t="shared" si="161"/>
        <v>16515</v>
      </c>
      <c r="AW198" s="11">
        <f t="shared" si="161"/>
        <v>16867</v>
      </c>
      <c r="AX198" s="11">
        <f t="shared" ref="AX198:AY198" si="162">SUM(AX190:AX197)</f>
        <v>17099</v>
      </c>
      <c r="AY198" s="11">
        <f t="shared" si="162"/>
        <v>18109</v>
      </c>
      <c r="AZ198" s="11">
        <f t="shared" ref="AZ198:BA198" si="163">SUM(AZ190:AZ197)</f>
        <v>18520</v>
      </c>
      <c r="BA198" s="11">
        <f t="shared" si="163"/>
        <v>18426</v>
      </c>
      <c r="BB198" s="11">
        <f t="shared" ref="BB198" si="164">SUM(BB190:BB197)</f>
        <v>18455</v>
      </c>
      <c r="BC198" s="8"/>
    </row>
    <row r="199" spans="1:55" ht="13.5" customHeight="1" x14ac:dyDescent="0.2">
      <c r="A199" s="7"/>
      <c r="B199" s="10" t="s">
        <v>33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8"/>
    </row>
    <row r="200" spans="1:55" ht="13.5" customHeight="1" x14ac:dyDescent="0.2">
      <c r="A200" s="7"/>
      <c r="B200" s="10"/>
      <c r="C200" s="2" t="s">
        <v>10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>
        <f>'S&amp;T'!AQ83</f>
        <v>1</v>
      </c>
      <c r="AR200" s="2">
        <f>'S&amp;T'!AR83</f>
        <v>3</v>
      </c>
      <c r="AS200" s="2">
        <f>'S&amp;T'!AS83</f>
        <v>2</v>
      </c>
      <c r="AT200" s="2">
        <f>'S&amp;T'!AT83</f>
        <v>1</v>
      </c>
      <c r="AU200" s="2">
        <f>'S&amp;T'!AU83</f>
        <v>4</v>
      </c>
      <c r="AV200" s="2">
        <f>'S&amp;T'!AV83</f>
        <v>2</v>
      </c>
      <c r="AW200" s="2">
        <f>'S&amp;T'!AW83+UMSL!AW131</f>
        <v>2</v>
      </c>
      <c r="AX200" s="2">
        <f>'S&amp;T'!AX83+UMSL!AX131</f>
        <v>10</v>
      </c>
      <c r="AY200" s="2">
        <f>'S&amp;T'!AY83+UMSL!AY131</f>
        <v>21</v>
      </c>
      <c r="AZ200" s="2">
        <f>'S&amp;T'!AZ83+UMSL!AZ131</f>
        <v>18</v>
      </c>
      <c r="BA200" s="2">
        <f>'S&amp;T'!BA83+UMSL!BA131</f>
        <v>28</v>
      </c>
      <c r="BB200" s="2">
        <f>'S&amp;T'!BB83+UMSL!BB131</f>
        <v>23</v>
      </c>
      <c r="BC200" s="8"/>
    </row>
    <row r="201" spans="1:55" ht="13.5" customHeight="1" x14ac:dyDescent="0.2">
      <c r="A201" s="7"/>
      <c r="B201" s="2"/>
      <c r="C201" s="2" t="s">
        <v>0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>
        <f t="shared" ref="W201:AP201" si="165">W11+W16+W37+W51+W58+W98+W105+W132</f>
        <v>2356</v>
      </c>
      <c r="X201" s="2">
        <f t="shared" si="165"/>
        <v>2136</v>
      </c>
      <c r="Y201" s="2">
        <f t="shared" si="165"/>
        <v>1974</v>
      </c>
      <c r="Z201" s="2">
        <f t="shared" si="165"/>
        <v>1796</v>
      </c>
      <c r="AA201" s="2">
        <f t="shared" si="165"/>
        <v>1707</v>
      </c>
      <c r="AB201" s="2">
        <f t="shared" si="165"/>
        <v>1665</v>
      </c>
      <c r="AC201" s="2">
        <f t="shared" si="165"/>
        <v>1888</v>
      </c>
      <c r="AD201" s="2">
        <f t="shared" si="165"/>
        <v>1932</v>
      </c>
      <c r="AE201" s="2">
        <f t="shared" si="165"/>
        <v>1868</v>
      </c>
      <c r="AF201" s="2">
        <f t="shared" si="165"/>
        <v>1918</v>
      </c>
      <c r="AG201" s="2">
        <f t="shared" si="165"/>
        <v>1979</v>
      </c>
      <c r="AH201" s="2">
        <f t="shared" si="165"/>
        <v>1929</v>
      </c>
      <c r="AI201" s="2">
        <f t="shared" si="165"/>
        <v>2029</v>
      </c>
      <c r="AJ201" s="2">
        <f t="shared" si="165"/>
        <v>2056</v>
      </c>
      <c r="AK201" s="2">
        <f t="shared" si="165"/>
        <v>1904</v>
      </c>
      <c r="AL201" s="2">
        <f t="shared" si="165"/>
        <v>2004</v>
      </c>
      <c r="AM201" s="2">
        <f t="shared" si="165"/>
        <v>2039</v>
      </c>
      <c r="AN201" s="2">
        <f t="shared" si="165"/>
        <v>2107</v>
      </c>
      <c r="AO201" s="2">
        <f t="shared" si="165"/>
        <v>2006</v>
      </c>
      <c r="AP201" s="2">
        <f t="shared" si="165"/>
        <v>2049</v>
      </c>
      <c r="AQ201" s="2">
        <f>MU!AQ163+UMKC!AQ137+'S&amp;T'!AQ84+UMSL!AQ132</f>
        <v>2223</v>
      </c>
      <c r="AR201" s="2">
        <f>MU!AR163+UMKC!AR137+'S&amp;T'!AR84+UMSL!AR132</f>
        <v>2250</v>
      </c>
      <c r="AS201" s="2">
        <f>MU!AS163+UMKC!AS137+'S&amp;T'!AS84+UMSL!AS132</f>
        <v>2305</v>
      </c>
      <c r="AT201" s="2">
        <f>MU!AT163+UMKC!AT137+'S&amp;T'!AT84+UMSL!AT132</f>
        <v>2445</v>
      </c>
      <c r="AU201" s="2">
        <f>MU!AU163+UMKC!AU137+'S&amp;T'!AU84+UMSL!AU132</f>
        <v>2448</v>
      </c>
      <c r="AV201" s="2">
        <f>MU!AV163+UMKC!AV137+'S&amp;T'!AV84+UMSL!AV132</f>
        <v>2781</v>
      </c>
      <c r="AW201" s="2">
        <f>MU!AW163+UMKC!AW137+'S&amp;T'!AW84+UMSL!AW132</f>
        <v>2877</v>
      </c>
      <c r="AX201" s="2">
        <f>MU!AX163+UMKC!AX137+'S&amp;T'!AX84+UMSL!AX132</f>
        <v>2874</v>
      </c>
      <c r="AY201" s="2">
        <f>MU!AY163+UMKC!AY137+'S&amp;T'!AY84+UMSL!AY132</f>
        <v>3312</v>
      </c>
      <c r="AZ201" s="2">
        <f>MU!AZ163+UMKC!AZ137+'S&amp;T'!AZ84+UMSL!AZ132</f>
        <v>3512</v>
      </c>
      <c r="BA201" s="2">
        <f>MU!BA163+UMKC!BA137+'S&amp;T'!BA84+UMSL!BA132</f>
        <v>3446</v>
      </c>
      <c r="BB201" s="2">
        <f>MU!BB163+UMKC!BB137+'S&amp;T'!BB84+UMSL!BB132</f>
        <v>3661</v>
      </c>
      <c r="BC201" s="8"/>
    </row>
    <row r="202" spans="1:55" ht="13.5" customHeight="1" x14ac:dyDescent="0.2">
      <c r="A202" s="7"/>
      <c r="B202" s="2"/>
      <c r="C202" s="2" t="s">
        <v>9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>
        <f>AF99</f>
        <v>0</v>
      </c>
      <c r="AG202" s="2">
        <f>AG99</f>
        <v>12</v>
      </c>
      <c r="AH202" s="2">
        <f>AH99</f>
        <v>12</v>
      </c>
      <c r="AI202" s="2">
        <f>AI99</f>
        <v>11</v>
      </c>
      <c r="AJ202" s="2">
        <f>AJ99</f>
        <v>10</v>
      </c>
      <c r="AK202" s="2">
        <f>AK52+AK59+AK99</f>
        <v>9</v>
      </c>
      <c r="AL202" s="2">
        <f>AL52+AL59+AL99</f>
        <v>28</v>
      </c>
      <c r="AM202" s="2">
        <f>AM17+AM38+AM52+AM59+AM99</f>
        <v>28</v>
      </c>
      <c r="AN202" s="2">
        <f>AN17+AN38+AN52+AN59+AN99</f>
        <v>75</v>
      </c>
      <c r="AO202" s="2">
        <f>AO17+AO38+AO52+AO59+AO99</f>
        <v>101</v>
      </c>
      <c r="AP202" s="2">
        <f>AP17+AP38+AP52+AP59+AP99</f>
        <v>89</v>
      </c>
      <c r="AQ202" s="2">
        <f>MU!AQ164+UMKC!AQ138+'S&amp;T'!AQ85+UMSL!AQ133</f>
        <v>149</v>
      </c>
      <c r="AR202" s="2">
        <f>MU!AR164+UMKC!AR138+'S&amp;T'!AR85+UMSL!AR133</f>
        <v>172</v>
      </c>
      <c r="AS202" s="2">
        <f>MU!AS164+UMKC!AS138+'S&amp;T'!AS85+UMSL!AS133</f>
        <v>257</v>
      </c>
      <c r="AT202" s="2">
        <f>MU!AT164+UMKC!AT138+'S&amp;T'!AT85+UMSL!AT133</f>
        <v>290</v>
      </c>
      <c r="AU202" s="2">
        <f>MU!AU164+UMKC!AU138+'S&amp;T'!AU85+UMSL!AU133</f>
        <v>286</v>
      </c>
      <c r="AV202" s="2">
        <f>MU!AV164+UMKC!AV138+'S&amp;T'!AV85+UMSL!AV133</f>
        <v>334</v>
      </c>
      <c r="AW202" s="2">
        <f>MU!AW164+UMKC!AW138+'S&amp;T'!AW85+UMSL!AW133</f>
        <v>447</v>
      </c>
      <c r="AX202" s="2">
        <f>MU!AX164+UMKC!AX138+'S&amp;T'!AX85+UMSL!AX133</f>
        <v>399</v>
      </c>
      <c r="AY202" s="2">
        <f>MU!AY164+UMKC!AY138+'S&amp;T'!AY85+UMSL!AY133</f>
        <v>443</v>
      </c>
      <c r="AZ202" s="2">
        <f>MU!AZ164+UMKC!AZ138+'S&amp;T'!AZ85+UMSL!AZ133</f>
        <v>414</v>
      </c>
      <c r="BA202" s="2">
        <f>MU!BA164+UMKC!BA138+'S&amp;T'!BA85+UMSL!BA133</f>
        <v>420</v>
      </c>
      <c r="BB202" s="2">
        <f>MU!BB164+UMKC!BB138+'S&amp;T'!BB85+UMSL!BB133</f>
        <v>501</v>
      </c>
      <c r="BC202" s="8"/>
    </row>
    <row r="203" spans="1:55" ht="13.5" hidden="1" customHeight="1" x14ac:dyDescent="0.2">
      <c r="A203" s="7"/>
      <c r="B203" s="2"/>
      <c r="C203" s="3" t="s">
        <v>44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>
        <f t="shared" ref="W203:AB203" si="166">W53+W60</f>
        <v>0</v>
      </c>
      <c r="X203" s="2">
        <f t="shared" si="166"/>
        <v>0</v>
      </c>
      <c r="Y203" s="2">
        <f t="shared" si="166"/>
        <v>0</v>
      </c>
      <c r="Z203" s="2">
        <f t="shared" si="166"/>
        <v>1</v>
      </c>
      <c r="AA203" s="2">
        <f t="shared" si="166"/>
        <v>0</v>
      </c>
      <c r="AB203" s="2">
        <f t="shared" si="166"/>
        <v>0</v>
      </c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8"/>
    </row>
    <row r="204" spans="1:55" ht="13.5" customHeight="1" x14ac:dyDescent="0.2">
      <c r="A204" s="7"/>
      <c r="B204" s="2"/>
      <c r="C204" s="2" t="s">
        <v>5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>
        <f t="shared" ref="W204:AP204" si="167">W12+W18+W39+W54+W61+W100+W107+W134</f>
        <v>551</v>
      </c>
      <c r="X204" s="2">
        <f t="shared" si="167"/>
        <v>574</v>
      </c>
      <c r="Y204" s="2">
        <f t="shared" si="167"/>
        <v>549</v>
      </c>
      <c r="Z204" s="2">
        <f t="shared" si="167"/>
        <v>623</v>
      </c>
      <c r="AA204" s="2">
        <f t="shared" si="167"/>
        <v>626</v>
      </c>
      <c r="AB204" s="2">
        <f t="shared" si="167"/>
        <v>687</v>
      </c>
      <c r="AC204" s="2">
        <f t="shared" si="167"/>
        <v>676</v>
      </c>
      <c r="AD204" s="2">
        <f t="shared" si="167"/>
        <v>652</v>
      </c>
      <c r="AE204" s="2">
        <f t="shared" si="167"/>
        <v>655</v>
      </c>
      <c r="AF204" s="2">
        <f t="shared" si="167"/>
        <v>618</v>
      </c>
      <c r="AG204" s="2">
        <f t="shared" si="167"/>
        <v>651</v>
      </c>
      <c r="AH204" s="2">
        <f t="shared" si="167"/>
        <v>620</v>
      </c>
      <c r="AI204" s="2">
        <f t="shared" si="167"/>
        <v>564</v>
      </c>
      <c r="AJ204" s="2">
        <f t="shared" si="167"/>
        <v>577</v>
      </c>
      <c r="AK204" s="2">
        <f t="shared" si="167"/>
        <v>628</v>
      </c>
      <c r="AL204" s="2">
        <f t="shared" si="167"/>
        <v>653</v>
      </c>
      <c r="AM204" s="2">
        <f t="shared" si="167"/>
        <v>745</v>
      </c>
      <c r="AN204" s="2">
        <f t="shared" si="167"/>
        <v>849</v>
      </c>
      <c r="AO204" s="2">
        <f t="shared" si="167"/>
        <v>820</v>
      </c>
      <c r="AP204" s="2">
        <f t="shared" si="167"/>
        <v>776</v>
      </c>
      <c r="AQ204" s="2">
        <f>MU!AQ165+UMKC!AQ139+'S&amp;T'!AQ87+UMSL!AQ134</f>
        <v>714</v>
      </c>
      <c r="AR204" s="2">
        <f>MU!AR165+UMKC!AR139+'S&amp;T'!AR87+UMSL!AR134</f>
        <v>826</v>
      </c>
      <c r="AS204" s="2">
        <f>MU!AS165+UMKC!AS139+'S&amp;T'!AS87+UMSL!AS134</f>
        <v>874</v>
      </c>
      <c r="AT204" s="2">
        <f>MU!AT165+UMKC!AT139+'S&amp;T'!AT87+UMSL!AT134</f>
        <v>836</v>
      </c>
      <c r="AU204" s="2">
        <f>MU!AU165+UMKC!AU139+'S&amp;T'!AU87+UMSL!AU134</f>
        <v>1026</v>
      </c>
      <c r="AV204" s="2">
        <f>MU!AV165+UMKC!AV139+'S&amp;T'!AV87+UMSL!AV134</f>
        <v>1016</v>
      </c>
      <c r="AW204" s="2">
        <f>MU!AW165+UMKC!AW139+'S&amp;T'!AW87+UMSL!AW134</f>
        <v>1058</v>
      </c>
      <c r="AX204" s="2">
        <f>MU!AX165+UMKC!AX139+'S&amp;T'!AX87+UMSL!AX134</f>
        <v>1072</v>
      </c>
      <c r="AY204" s="2">
        <f>MU!AY165+UMKC!AY139+'S&amp;T'!AY87+UMSL!AY134</f>
        <v>1375</v>
      </c>
      <c r="AZ204" s="2">
        <f>MU!AZ165+UMKC!AZ139+'S&amp;T'!AZ87+UMSL!AZ134</f>
        <v>1515</v>
      </c>
      <c r="BA204" s="2">
        <f>MU!BA165+UMKC!BA139+'S&amp;T'!BA87+UMSL!BA134</f>
        <v>1415</v>
      </c>
      <c r="BB204" s="2">
        <f>MU!BB165+UMKC!BB139+'S&amp;T'!BB87+UMSL!BB134</f>
        <v>1278</v>
      </c>
      <c r="BC204" s="8"/>
    </row>
    <row r="205" spans="1:55" ht="13.5" customHeight="1" x14ac:dyDescent="0.2">
      <c r="A205" s="7"/>
      <c r="B205" s="2"/>
      <c r="C205" s="2" t="s">
        <v>7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>
        <f t="shared" ref="W205:AP205" si="168">W13+W19+W40+W55+W62+W101+W108+W135</f>
        <v>105</v>
      </c>
      <c r="X205" s="2">
        <f t="shared" si="168"/>
        <v>119</v>
      </c>
      <c r="Y205" s="2">
        <f t="shared" si="168"/>
        <v>132</v>
      </c>
      <c r="Z205" s="2">
        <f t="shared" si="168"/>
        <v>152</v>
      </c>
      <c r="AA205" s="2">
        <f t="shared" si="168"/>
        <v>142</v>
      </c>
      <c r="AB205" s="2">
        <f t="shared" si="168"/>
        <v>173</v>
      </c>
      <c r="AC205" s="2">
        <f t="shared" si="168"/>
        <v>152</v>
      </c>
      <c r="AD205" s="2">
        <f t="shared" si="168"/>
        <v>183</v>
      </c>
      <c r="AE205" s="2">
        <f t="shared" si="168"/>
        <v>162</v>
      </c>
      <c r="AF205" s="2">
        <f t="shared" si="168"/>
        <v>171</v>
      </c>
      <c r="AG205" s="2">
        <f t="shared" si="168"/>
        <v>179</v>
      </c>
      <c r="AH205" s="2">
        <f t="shared" si="168"/>
        <v>182</v>
      </c>
      <c r="AI205" s="2">
        <f t="shared" si="168"/>
        <v>133</v>
      </c>
      <c r="AJ205" s="2">
        <f t="shared" si="168"/>
        <v>156</v>
      </c>
      <c r="AK205" s="2">
        <f t="shared" si="168"/>
        <v>148</v>
      </c>
      <c r="AL205" s="2">
        <f t="shared" si="168"/>
        <v>150</v>
      </c>
      <c r="AM205" s="2">
        <f t="shared" si="168"/>
        <v>161</v>
      </c>
      <c r="AN205" s="2">
        <f t="shared" si="168"/>
        <v>155</v>
      </c>
      <c r="AO205" s="2">
        <f t="shared" si="168"/>
        <v>181</v>
      </c>
      <c r="AP205" s="2">
        <f t="shared" si="168"/>
        <v>210</v>
      </c>
      <c r="AQ205" s="2">
        <f>MU!AQ166+'S&amp;T'!AQ88+UMSL!AQ135</f>
        <v>200</v>
      </c>
      <c r="AR205" s="2">
        <f>MU!AR166+'S&amp;T'!AR88+UMSL!AR135</f>
        <v>217</v>
      </c>
      <c r="AS205" s="2">
        <f>MU!AS166+'S&amp;T'!AS88+UMSL!AS135</f>
        <v>189</v>
      </c>
      <c r="AT205" s="2">
        <f>MU!AT166+'S&amp;T'!AT88+UMSL!AT135</f>
        <v>188</v>
      </c>
      <c r="AU205" s="2">
        <f>MU!AU166+'S&amp;T'!AU88+UMSL!AU135</f>
        <v>201</v>
      </c>
      <c r="AV205" s="2">
        <f>MU!AV166+'S&amp;T'!AV88+UMSL!AV135</f>
        <v>222</v>
      </c>
      <c r="AW205" s="2">
        <f>MU!AW166+'S&amp;T'!AW88+UMSL!AW135</f>
        <v>254</v>
      </c>
      <c r="AX205" s="2">
        <f>MU!AX166+'S&amp;T'!AX88+UMSL!AX135</f>
        <v>222</v>
      </c>
      <c r="AY205" s="2">
        <f>MU!AY166+'S&amp;T'!AY88+UMSL!AY135</f>
        <v>272</v>
      </c>
      <c r="AZ205" s="2">
        <f>MU!AZ166+'S&amp;T'!AZ88+UMSL!AZ135</f>
        <v>266</v>
      </c>
      <c r="BA205" s="2">
        <f>MU!BA166+'S&amp;T'!BA88+UMSL!BA135</f>
        <v>272</v>
      </c>
      <c r="BB205" s="2">
        <f>MU!BB166+'S&amp;T'!BB88+UMSL!BB135</f>
        <v>297</v>
      </c>
      <c r="BC205" s="8"/>
    </row>
    <row r="206" spans="1:55" ht="13.5" customHeight="1" x14ac:dyDescent="0.2">
      <c r="A206" s="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11">
        <f t="shared" ref="W206:AA206" si="169">SUM(W201:W205)</f>
        <v>3012</v>
      </c>
      <c r="X206" s="11">
        <f t="shared" si="169"/>
        <v>2829</v>
      </c>
      <c r="Y206" s="11">
        <f t="shared" si="169"/>
        <v>2655</v>
      </c>
      <c r="Z206" s="11">
        <f t="shared" si="169"/>
        <v>2572</v>
      </c>
      <c r="AA206" s="11">
        <f t="shared" si="169"/>
        <v>2475</v>
      </c>
      <c r="AB206" s="11">
        <f t="shared" ref="AB206:AO206" si="170">SUM(AB201:AB205)</f>
        <v>2525</v>
      </c>
      <c r="AC206" s="11">
        <f t="shared" si="170"/>
        <v>2716</v>
      </c>
      <c r="AD206" s="11">
        <f t="shared" si="170"/>
        <v>2767</v>
      </c>
      <c r="AE206" s="11">
        <f t="shared" si="170"/>
        <v>2685</v>
      </c>
      <c r="AF206" s="11">
        <f t="shared" si="170"/>
        <v>2707</v>
      </c>
      <c r="AG206" s="11">
        <f t="shared" si="170"/>
        <v>2821</v>
      </c>
      <c r="AH206" s="11">
        <f t="shared" si="170"/>
        <v>2743</v>
      </c>
      <c r="AI206" s="11">
        <f t="shared" si="170"/>
        <v>2737</v>
      </c>
      <c r="AJ206" s="11">
        <f t="shared" si="170"/>
        <v>2799</v>
      </c>
      <c r="AK206" s="11">
        <f t="shared" si="170"/>
        <v>2689</v>
      </c>
      <c r="AL206" s="11">
        <f t="shared" si="170"/>
        <v>2835</v>
      </c>
      <c r="AM206" s="11">
        <f t="shared" si="170"/>
        <v>2973</v>
      </c>
      <c r="AN206" s="11">
        <f t="shared" si="170"/>
        <v>3186</v>
      </c>
      <c r="AO206" s="11">
        <f t="shared" si="170"/>
        <v>3108</v>
      </c>
      <c r="AP206" s="11">
        <f>SUM(AP201:AP205)</f>
        <v>3124</v>
      </c>
      <c r="AQ206" s="11">
        <f t="shared" ref="AQ206:AW206" si="171">SUM(AQ200:AQ205)</f>
        <v>3287</v>
      </c>
      <c r="AR206" s="11">
        <f t="shared" si="171"/>
        <v>3468</v>
      </c>
      <c r="AS206" s="11">
        <f t="shared" si="171"/>
        <v>3627</v>
      </c>
      <c r="AT206" s="11">
        <f t="shared" si="171"/>
        <v>3760</v>
      </c>
      <c r="AU206" s="11">
        <f t="shared" si="171"/>
        <v>3965</v>
      </c>
      <c r="AV206" s="11">
        <f t="shared" si="171"/>
        <v>4355</v>
      </c>
      <c r="AW206" s="11">
        <f t="shared" si="171"/>
        <v>4638</v>
      </c>
      <c r="AX206" s="11">
        <f t="shared" ref="AX206:AY206" si="172">SUM(AX200:AX205)</f>
        <v>4577</v>
      </c>
      <c r="AY206" s="11">
        <f t="shared" si="172"/>
        <v>5423</v>
      </c>
      <c r="AZ206" s="11">
        <f t="shared" ref="AZ206:BA206" si="173">SUM(AZ200:AZ205)</f>
        <v>5725</v>
      </c>
      <c r="BA206" s="11">
        <f t="shared" si="173"/>
        <v>5581</v>
      </c>
      <c r="BB206" s="11">
        <f t="shared" ref="BB206" si="174">SUM(BB200:BB205)</f>
        <v>5760</v>
      </c>
      <c r="BC206" s="8"/>
    </row>
    <row r="207" spans="1:55" ht="13.5" customHeight="1" x14ac:dyDescent="0.2">
      <c r="A207" s="7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8"/>
    </row>
    <row r="208" spans="1:55" ht="13.5" customHeight="1" x14ac:dyDescent="0.2">
      <c r="A208" s="7"/>
      <c r="B208" s="40" t="s">
        <v>115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8"/>
    </row>
    <row r="209" spans="1:55" ht="13.5" customHeight="1" x14ac:dyDescent="0.2">
      <c r="A209" s="7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8"/>
    </row>
    <row r="210" spans="1:55" ht="13.5" customHeight="1" x14ac:dyDescent="0.2">
      <c r="A210" s="7"/>
      <c r="B210" s="43" t="s">
        <v>116</v>
      </c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8"/>
    </row>
    <row r="211" spans="1:55" ht="13.5" customHeight="1" x14ac:dyDescent="0.2">
      <c r="A211" s="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8"/>
    </row>
    <row r="212" spans="1:55" ht="13.5" customHeight="1" x14ac:dyDescent="0.2">
      <c r="A212" s="7"/>
      <c r="B212" s="2" t="s">
        <v>96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8"/>
    </row>
    <row r="213" spans="1:55" ht="13.5" customHeight="1" x14ac:dyDescent="0.2">
      <c r="A213" s="7"/>
      <c r="B213" s="2" t="s">
        <v>95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8"/>
    </row>
    <row r="214" spans="1:55" ht="13.5" customHeight="1" x14ac:dyDescent="0.2">
      <c r="A214" s="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8"/>
    </row>
    <row r="215" spans="1:55" ht="13.5" customHeight="1" x14ac:dyDescent="0.2">
      <c r="A215" s="7"/>
      <c r="B215" s="2" t="s">
        <v>98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8"/>
    </row>
    <row r="216" spans="1:55" ht="13.5" customHeight="1" x14ac:dyDescent="0.2">
      <c r="A216" s="7"/>
      <c r="B216" s="2" t="s">
        <v>99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8"/>
    </row>
    <row r="217" spans="1:55" ht="13.5" customHeight="1" x14ac:dyDescent="0.2">
      <c r="A217" s="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8"/>
    </row>
    <row r="218" spans="1:55" ht="13.5" customHeight="1" x14ac:dyDescent="0.2">
      <c r="A218" s="7"/>
      <c r="B218" s="3" t="s">
        <v>105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8"/>
    </row>
    <row r="219" spans="1:55" ht="13.5" customHeight="1" x14ac:dyDescent="0.2">
      <c r="A219" s="7"/>
      <c r="B219" s="3" t="s">
        <v>94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8"/>
    </row>
    <row r="220" spans="1:55" ht="13.5" customHeight="1" x14ac:dyDescent="0.2">
      <c r="A220" s="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8"/>
    </row>
    <row r="221" spans="1:55" ht="13.5" customHeight="1" x14ac:dyDescent="0.2">
      <c r="A221" s="7"/>
      <c r="B221" s="3" t="s">
        <v>106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8"/>
    </row>
    <row r="222" spans="1:55" ht="13.5" customHeight="1" x14ac:dyDescent="0.2">
      <c r="A222" s="7"/>
      <c r="B222" s="2" t="s">
        <v>107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8"/>
    </row>
    <row r="223" spans="1:55" ht="13.5" customHeight="1" x14ac:dyDescent="0.2">
      <c r="A223" s="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8"/>
    </row>
    <row r="224" spans="1:55" ht="13.5" customHeight="1" x14ac:dyDescent="0.2">
      <c r="A224" s="12"/>
      <c r="B224" s="38" t="s">
        <v>31</v>
      </c>
      <c r="C224" s="39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31"/>
      <c r="AY224" s="16"/>
      <c r="AZ224" s="16"/>
      <c r="BA224" s="16"/>
      <c r="BB224" s="16" t="s">
        <v>117</v>
      </c>
      <c r="BC224" s="13"/>
    </row>
  </sheetData>
  <mergeCells count="4">
    <mergeCell ref="A2:BC2"/>
    <mergeCell ref="B224:C224"/>
    <mergeCell ref="B208:BB209"/>
    <mergeCell ref="B210:BB210"/>
  </mergeCells>
  <hyperlinks>
    <hyperlink ref="B224:C224" r:id="rId1" display="Source: IPEDS C, Completions Survey"/>
    <hyperlink ref="B210" r:id="rId2"/>
    <hyperlink ref="B210:BB210" r:id="rId3" display="https://dhe.mo.gov/documents/performancefunding2018.pdf"/>
  </hyperlinks>
  <printOptions horizontalCentered="1"/>
  <pageMargins left="0.7" right="0.45" top="0.5" bottom="0.25" header="0.3" footer="0.3"/>
  <pageSetup orientation="portrait" r:id="rId4"/>
  <rowBreaks count="3" manualBreakCount="3">
    <brk id="56" max="16383" man="1"/>
    <brk id="119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79"/>
  <sheetViews>
    <sheetView zoomScaleNormal="100" workbookViewId="0">
      <pane ySplit="7" topLeftCell="A8" activePane="bottomLeft" state="frozen"/>
      <selection pane="bottomLeft"/>
    </sheetView>
  </sheetViews>
  <sheetFormatPr defaultRowHeight="13.5" customHeight="1" x14ac:dyDescent="0.2"/>
  <cols>
    <col min="1" max="2" width="2.7109375" style="1" customWidth="1"/>
    <col min="3" max="3" width="25.7109375" style="1" customWidth="1"/>
    <col min="4" max="48" width="7.7109375" style="1" hidden="1" customWidth="1"/>
    <col min="49" max="54" width="7.7109375" style="1" customWidth="1"/>
    <col min="55" max="55" width="2.7109375" style="1" customWidth="1"/>
    <col min="56" max="16384" width="9.140625" style="1"/>
  </cols>
  <sheetData>
    <row r="2" spans="1:55" ht="15" customHeight="1" x14ac:dyDescent="0.25">
      <c r="A2" s="35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7"/>
    </row>
    <row r="3" spans="1:55" ht="13.5" customHeight="1" x14ac:dyDescent="0.2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8"/>
    </row>
    <row r="4" spans="1:55" ht="15" customHeight="1" x14ac:dyDescent="0.25">
      <c r="A4" s="7"/>
      <c r="B4" s="9" t="s">
        <v>109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8"/>
    </row>
    <row r="5" spans="1:55" ht="15" customHeight="1" x14ac:dyDescent="0.25">
      <c r="A5" s="7"/>
      <c r="B5" s="9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8"/>
    </row>
    <row r="6" spans="1:55" ht="13.5" customHeight="1" x14ac:dyDescent="0.2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8"/>
    </row>
    <row r="7" spans="1:55" ht="13.5" customHeight="1" thickBot="1" x14ac:dyDescent="0.25">
      <c r="A7" s="7"/>
      <c r="B7" s="5"/>
      <c r="C7" s="5"/>
      <c r="D7" s="6" t="s">
        <v>63</v>
      </c>
      <c r="E7" s="6" t="s">
        <v>62</v>
      </c>
      <c r="F7" s="6" t="s">
        <v>61</v>
      </c>
      <c r="G7" s="6" t="s">
        <v>60</v>
      </c>
      <c r="H7" s="6" t="s">
        <v>59</v>
      </c>
      <c r="I7" s="6" t="s">
        <v>58</v>
      </c>
      <c r="J7" s="6" t="s">
        <v>57</v>
      </c>
      <c r="K7" s="6" t="s">
        <v>56</v>
      </c>
      <c r="L7" s="6" t="s">
        <v>55</v>
      </c>
      <c r="M7" s="6" t="s">
        <v>54</v>
      </c>
      <c r="N7" s="6" t="s">
        <v>53</v>
      </c>
      <c r="O7" s="6" t="s">
        <v>52</v>
      </c>
      <c r="P7" s="6" t="s">
        <v>51</v>
      </c>
      <c r="Q7" s="6" t="s">
        <v>50</v>
      </c>
      <c r="R7" s="6" t="s">
        <v>49</v>
      </c>
      <c r="S7" s="6" t="s">
        <v>48</v>
      </c>
      <c r="T7" s="6" t="s">
        <v>47</v>
      </c>
      <c r="U7" s="6" t="s">
        <v>46</v>
      </c>
      <c r="V7" s="6" t="s">
        <v>45</v>
      </c>
      <c r="W7" s="6" t="s">
        <v>42</v>
      </c>
      <c r="X7" s="6" t="s">
        <v>43</v>
      </c>
      <c r="Y7" s="6" t="s">
        <v>39</v>
      </c>
      <c r="Z7" s="6" t="s">
        <v>40</v>
      </c>
      <c r="AA7" s="6" t="s">
        <v>41</v>
      </c>
      <c r="AB7" s="6" t="s">
        <v>38</v>
      </c>
      <c r="AC7" s="6" t="s">
        <v>37</v>
      </c>
      <c r="AD7" s="6" t="s">
        <v>36</v>
      </c>
      <c r="AE7" s="6" t="s">
        <v>35</v>
      </c>
      <c r="AF7" s="6" t="s">
        <v>34</v>
      </c>
      <c r="AG7" s="6" t="s">
        <v>22</v>
      </c>
      <c r="AH7" s="6" t="s">
        <v>21</v>
      </c>
      <c r="AI7" s="6" t="s">
        <v>20</v>
      </c>
      <c r="AJ7" s="6" t="s">
        <v>19</v>
      </c>
      <c r="AK7" s="6" t="s">
        <v>18</v>
      </c>
      <c r="AL7" s="6" t="s">
        <v>17</v>
      </c>
      <c r="AM7" s="6" t="s">
        <v>16</v>
      </c>
      <c r="AN7" s="6" t="s">
        <v>15</v>
      </c>
      <c r="AO7" s="6" t="s">
        <v>14</v>
      </c>
      <c r="AP7" s="6" t="s">
        <v>13</v>
      </c>
      <c r="AQ7" s="6" t="s">
        <v>12</v>
      </c>
      <c r="AR7" s="6" t="s">
        <v>8</v>
      </c>
      <c r="AS7" s="6" t="s">
        <v>6</v>
      </c>
      <c r="AT7" s="6" t="s">
        <v>3</v>
      </c>
      <c r="AU7" s="6" t="s">
        <v>1</v>
      </c>
      <c r="AV7" s="6" t="s">
        <v>2</v>
      </c>
      <c r="AW7" s="6" t="s">
        <v>4</v>
      </c>
      <c r="AX7" s="6" t="s">
        <v>108</v>
      </c>
      <c r="AY7" s="6" t="s">
        <v>110</v>
      </c>
      <c r="AZ7" s="21" t="s">
        <v>112</v>
      </c>
      <c r="BA7" s="21" t="s">
        <v>113</v>
      </c>
      <c r="BB7" s="21" t="s">
        <v>114</v>
      </c>
      <c r="BC7" s="8"/>
    </row>
    <row r="8" spans="1:55" ht="13.5" customHeight="1" thickTop="1" x14ac:dyDescent="0.2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8"/>
    </row>
    <row r="9" spans="1:55" ht="13.5" customHeight="1" x14ac:dyDescent="0.2">
      <c r="A9" s="7"/>
      <c r="B9" s="15" t="s">
        <v>30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8"/>
    </row>
    <row r="10" spans="1:55" ht="13.5" customHeight="1" x14ac:dyDescent="0.2">
      <c r="A10" s="7"/>
      <c r="B10" s="33" t="s">
        <v>64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8"/>
    </row>
    <row r="11" spans="1:55" ht="13.5" customHeight="1" x14ac:dyDescent="0.2">
      <c r="A11" s="7"/>
      <c r="B11" s="3"/>
      <c r="C11" s="3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f>74+197</f>
        <v>271</v>
      </c>
      <c r="X11" s="2">
        <f>79+192</f>
        <v>271</v>
      </c>
      <c r="Y11" s="2">
        <f>59+161</f>
        <v>220</v>
      </c>
      <c r="Z11" s="2">
        <f>52+120</f>
        <v>172</v>
      </c>
      <c r="AA11" s="2">
        <f>50+96</f>
        <v>146</v>
      </c>
      <c r="AB11" s="2">
        <f>42+103</f>
        <v>145</v>
      </c>
      <c r="AC11" s="2">
        <f>41+123</f>
        <v>164</v>
      </c>
      <c r="AD11" s="2">
        <f>41+114</f>
        <v>155</v>
      </c>
      <c r="AE11" s="2">
        <f>49+134</f>
        <v>183</v>
      </c>
      <c r="AF11" s="2">
        <f>49+149</f>
        <v>198</v>
      </c>
      <c r="AG11" s="2">
        <f>56+142</f>
        <v>198</v>
      </c>
      <c r="AH11" s="2">
        <f>63+158</f>
        <v>221</v>
      </c>
      <c r="AI11" s="2">
        <f>66+137</f>
        <v>203</v>
      </c>
      <c r="AJ11" s="2">
        <f>73+162</f>
        <v>235</v>
      </c>
      <c r="AK11" s="2">
        <f>97+147</f>
        <v>244</v>
      </c>
      <c r="AL11" s="2">
        <f>79+101</f>
        <v>180</v>
      </c>
      <c r="AM11" s="2">
        <v>220</v>
      </c>
      <c r="AN11" s="2">
        <v>199</v>
      </c>
      <c r="AO11" s="2">
        <v>191</v>
      </c>
      <c r="AP11" s="2">
        <v>210</v>
      </c>
      <c r="AQ11" s="2">
        <v>203</v>
      </c>
      <c r="AR11" s="2">
        <v>216</v>
      </c>
      <c r="AS11" s="2">
        <v>212</v>
      </c>
      <c r="AT11" s="2">
        <v>205</v>
      </c>
      <c r="AU11" s="2">
        <v>229</v>
      </c>
      <c r="AV11" s="2">
        <v>239</v>
      </c>
      <c r="AW11" s="2">
        <v>275</v>
      </c>
      <c r="AX11" s="2">
        <v>274</v>
      </c>
      <c r="AY11" s="2">
        <v>272</v>
      </c>
      <c r="AZ11" s="2">
        <v>318</v>
      </c>
      <c r="BA11" s="2">
        <v>295</v>
      </c>
      <c r="BB11" s="2">
        <v>314</v>
      </c>
      <c r="BC11" s="8"/>
    </row>
    <row r="12" spans="1:55" ht="13.5" customHeight="1" x14ac:dyDescent="0.2">
      <c r="A12" s="7"/>
      <c r="B12" s="3"/>
      <c r="C12" s="3" t="s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f>13+37</f>
        <v>50</v>
      </c>
      <c r="X12" s="2">
        <f>8+50</f>
        <v>58</v>
      </c>
      <c r="Y12" s="2">
        <f>5+31</f>
        <v>36</v>
      </c>
      <c r="Z12" s="2">
        <f>8+46</f>
        <v>54</v>
      </c>
      <c r="AA12" s="2">
        <f>12+38</f>
        <v>50</v>
      </c>
      <c r="AB12" s="2">
        <f>10+28</f>
        <v>38</v>
      </c>
      <c r="AC12" s="2">
        <f>9+30</f>
        <v>39</v>
      </c>
      <c r="AD12" s="2">
        <f>26+24</f>
        <v>50</v>
      </c>
      <c r="AE12" s="2">
        <f>11+25</f>
        <v>36</v>
      </c>
      <c r="AF12" s="2">
        <f>11+19</f>
        <v>30</v>
      </c>
      <c r="AG12" s="2">
        <f>12+15</f>
        <v>27</v>
      </c>
      <c r="AH12" s="2">
        <f>4+20</f>
        <v>24</v>
      </c>
      <c r="AI12" s="2">
        <f>6+25</f>
        <v>31</v>
      </c>
      <c r="AJ12" s="2">
        <f>8+20</f>
        <v>28</v>
      </c>
      <c r="AK12" s="2">
        <f>8+23</f>
        <v>31</v>
      </c>
      <c r="AL12" s="2">
        <f>10+25</f>
        <v>35</v>
      </c>
      <c r="AM12" s="2">
        <v>20</v>
      </c>
      <c r="AN12" s="2">
        <v>27</v>
      </c>
      <c r="AO12" s="2">
        <v>29</v>
      </c>
      <c r="AP12" s="2">
        <v>29</v>
      </c>
      <c r="AQ12" s="2">
        <v>33</v>
      </c>
      <c r="AR12" s="2">
        <v>27</v>
      </c>
      <c r="AS12" s="2">
        <v>31</v>
      </c>
      <c r="AT12" s="2">
        <v>32</v>
      </c>
      <c r="AU12" s="2">
        <v>33</v>
      </c>
      <c r="AV12" s="2">
        <v>36</v>
      </c>
      <c r="AW12" s="2">
        <v>32</v>
      </c>
      <c r="AX12" s="2">
        <v>54</v>
      </c>
      <c r="AY12" s="2">
        <v>25</v>
      </c>
      <c r="AZ12" s="2">
        <v>49</v>
      </c>
      <c r="BA12" s="2">
        <v>30</v>
      </c>
      <c r="BB12" s="2">
        <v>34</v>
      </c>
      <c r="BC12" s="8"/>
    </row>
    <row r="13" spans="1:55" ht="13.5" customHeight="1" x14ac:dyDescent="0.2">
      <c r="A13" s="7"/>
      <c r="B13" s="3"/>
      <c r="C13" s="3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f>4+13</f>
        <v>17</v>
      </c>
      <c r="X13" s="2">
        <f>1+15</f>
        <v>16</v>
      </c>
      <c r="Y13" s="2">
        <v>20</v>
      </c>
      <c r="Z13" s="2">
        <f>4+34</f>
        <v>38</v>
      </c>
      <c r="AA13" s="2">
        <f>3+14</f>
        <v>17</v>
      </c>
      <c r="AB13" s="2">
        <f>4+23</f>
        <v>27</v>
      </c>
      <c r="AC13" s="2">
        <f>1+20</f>
        <v>21</v>
      </c>
      <c r="AD13" s="2">
        <f>1+18</f>
        <v>19</v>
      </c>
      <c r="AE13" s="2">
        <f>8+10</f>
        <v>18</v>
      </c>
      <c r="AF13" s="2">
        <f>3+17</f>
        <v>20</v>
      </c>
      <c r="AG13" s="2">
        <f>5+8</f>
        <v>13</v>
      </c>
      <c r="AH13" s="2">
        <f>5+9</f>
        <v>14</v>
      </c>
      <c r="AI13" s="2">
        <f>7+10</f>
        <v>17</v>
      </c>
      <c r="AJ13" s="2">
        <f>4+12</f>
        <v>16</v>
      </c>
      <c r="AK13" s="2">
        <f>5+13</f>
        <v>18</v>
      </c>
      <c r="AL13" s="2">
        <f>6+9</f>
        <v>15</v>
      </c>
      <c r="AM13" s="2">
        <v>17</v>
      </c>
      <c r="AN13" s="2">
        <v>15</v>
      </c>
      <c r="AO13" s="2">
        <v>14</v>
      </c>
      <c r="AP13" s="2">
        <v>14</v>
      </c>
      <c r="AQ13" s="2">
        <v>17</v>
      </c>
      <c r="AR13" s="2">
        <v>11</v>
      </c>
      <c r="AS13" s="2">
        <v>22</v>
      </c>
      <c r="AT13" s="2">
        <v>12</v>
      </c>
      <c r="AU13" s="2">
        <v>18</v>
      </c>
      <c r="AV13" s="2">
        <v>18</v>
      </c>
      <c r="AW13" s="2">
        <v>24</v>
      </c>
      <c r="AX13" s="2">
        <v>22</v>
      </c>
      <c r="AY13" s="2">
        <v>22</v>
      </c>
      <c r="AZ13" s="2">
        <v>17</v>
      </c>
      <c r="BA13" s="2">
        <v>29</v>
      </c>
      <c r="BB13" s="2">
        <v>20</v>
      </c>
      <c r="BC13" s="8"/>
    </row>
    <row r="14" spans="1:55" ht="13.5" customHeight="1" x14ac:dyDescent="0.2">
      <c r="A14" s="7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1">
        <f t="shared" ref="W14:AA14" si="0">SUM(W11:W13)</f>
        <v>338</v>
      </c>
      <c r="X14" s="11">
        <f t="shared" si="0"/>
        <v>345</v>
      </c>
      <c r="Y14" s="11">
        <f t="shared" si="0"/>
        <v>276</v>
      </c>
      <c r="Z14" s="11">
        <f t="shared" si="0"/>
        <v>264</v>
      </c>
      <c r="AA14" s="11">
        <f t="shared" si="0"/>
        <v>213</v>
      </c>
      <c r="AB14" s="11">
        <f>SUM(AB11:AB13)</f>
        <v>210</v>
      </c>
      <c r="AC14" s="11">
        <f t="shared" ref="AC14:AD14" si="1">SUM(AC11:AC13)</f>
        <v>224</v>
      </c>
      <c r="AD14" s="11">
        <f t="shared" si="1"/>
        <v>224</v>
      </c>
      <c r="AE14" s="11">
        <f t="shared" ref="AE14:AG14" si="2">SUM(AE11:AE13)</f>
        <v>237</v>
      </c>
      <c r="AF14" s="11">
        <f t="shared" si="2"/>
        <v>248</v>
      </c>
      <c r="AG14" s="11">
        <f t="shared" si="2"/>
        <v>238</v>
      </c>
      <c r="AH14" s="11">
        <f t="shared" ref="AH14:AJ14" si="3">SUM(AH11:AH13)</f>
        <v>259</v>
      </c>
      <c r="AI14" s="11">
        <f t="shared" si="3"/>
        <v>251</v>
      </c>
      <c r="AJ14" s="11">
        <f t="shared" si="3"/>
        <v>279</v>
      </c>
      <c r="AK14" s="11">
        <f t="shared" ref="AK14:AV14" si="4">SUM(AK11:AK13)</f>
        <v>293</v>
      </c>
      <c r="AL14" s="11">
        <f t="shared" si="4"/>
        <v>230</v>
      </c>
      <c r="AM14" s="11">
        <f t="shared" si="4"/>
        <v>257</v>
      </c>
      <c r="AN14" s="11">
        <f t="shared" si="4"/>
        <v>241</v>
      </c>
      <c r="AO14" s="11">
        <f t="shared" si="4"/>
        <v>234</v>
      </c>
      <c r="AP14" s="11">
        <f t="shared" si="4"/>
        <v>253</v>
      </c>
      <c r="AQ14" s="11">
        <f t="shared" si="4"/>
        <v>253</v>
      </c>
      <c r="AR14" s="11">
        <f t="shared" si="4"/>
        <v>254</v>
      </c>
      <c r="AS14" s="11">
        <f t="shared" si="4"/>
        <v>265</v>
      </c>
      <c r="AT14" s="11">
        <f t="shared" si="4"/>
        <v>249</v>
      </c>
      <c r="AU14" s="11">
        <f t="shared" si="4"/>
        <v>280</v>
      </c>
      <c r="AV14" s="11">
        <f t="shared" si="4"/>
        <v>293</v>
      </c>
      <c r="AW14" s="11">
        <f t="shared" ref="AW14:BB14" si="5">SUM(AW11:AW13)</f>
        <v>331</v>
      </c>
      <c r="AX14" s="11">
        <f t="shared" si="5"/>
        <v>350</v>
      </c>
      <c r="AY14" s="11">
        <f t="shared" si="5"/>
        <v>319</v>
      </c>
      <c r="AZ14" s="11">
        <f t="shared" si="5"/>
        <v>384</v>
      </c>
      <c r="BA14" s="11">
        <f t="shared" si="5"/>
        <v>354</v>
      </c>
      <c r="BB14" s="11">
        <f t="shared" si="5"/>
        <v>368</v>
      </c>
      <c r="BC14" s="8"/>
    </row>
    <row r="15" spans="1:55" ht="13.5" customHeight="1" x14ac:dyDescent="0.2">
      <c r="A15" s="7"/>
      <c r="B15" s="33" t="s">
        <v>65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8"/>
    </row>
    <row r="16" spans="1:55" ht="13.5" customHeight="1" x14ac:dyDescent="0.2">
      <c r="A16" s="7"/>
      <c r="B16" s="3"/>
      <c r="C16" s="3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56</v>
      </c>
      <c r="X16" s="2">
        <v>55</v>
      </c>
      <c r="Y16" s="2">
        <v>46</v>
      </c>
      <c r="Z16" s="2">
        <v>41</v>
      </c>
      <c r="AA16" s="2">
        <v>30</v>
      </c>
      <c r="AB16" s="2">
        <v>47</v>
      </c>
      <c r="AC16" s="2">
        <v>49</v>
      </c>
      <c r="AD16" s="2">
        <v>42</v>
      </c>
      <c r="AE16" s="2">
        <v>34</v>
      </c>
      <c r="AF16" s="2">
        <v>49</v>
      </c>
      <c r="AG16" s="2">
        <v>45</v>
      </c>
      <c r="AH16" s="2">
        <v>43</v>
      </c>
      <c r="AI16" s="2">
        <v>61</v>
      </c>
      <c r="AJ16" s="2">
        <v>41</v>
      </c>
      <c r="AK16" s="2">
        <v>36</v>
      </c>
      <c r="AL16" s="2">
        <v>39</v>
      </c>
      <c r="AM16" s="2">
        <v>56</v>
      </c>
      <c r="AN16" s="2">
        <v>49</v>
      </c>
      <c r="AO16" s="2">
        <v>52</v>
      </c>
      <c r="AP16" s="2">
        <v>53</v>
      </c>
      <c r="AQ16" s="2">
        <v>72</v>
      </c>
      <c r="AR16" s="2">
        <v>70</v>
      </c>
      <c r="AS16" s="2">
        <v>52</v>
      </c>
      <c r="AT16" s="2">
        <v>51</v>
      </c>
      <c r="AU16" s="2">
        <v>58</v>
      </c>
      <c r="AV16" s="2">
        <v>60</v>
      </c>
      <c r="AW16" s="2">
        <v>50</v>
      </c>
      <c r="AX16" s="2">
        <v>64</v>
      </c>
      <c r="AY16" s="2">
        <v>64</v>
      </c>
      <c r="AZ16" s="2">
        <v>66</v>
      </c>
      <c r="BA16" s="2">
        <v>51</v>
      </c>
      <c r="BB16" s="2">
        <v>44</v>
      </c>
      <c r="BC16" s="8"/>
    </row>
    <row r="17" spans="1:56" ht="13.5" customHeight="1" x14ac:dyDescent="0.2">
      <c r="A17" s="7"/>
      <c r="B17" s="3"/>
      <c r="C17" s="3" t="s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>
        <v>0</v>
      </c>
      <c r="AX17" s="2">
        <v>0</v>
      </c>
      <c r="AY17" s="2">
        <v>0</v>
      </c>
      <c r="AZ17" s="2">
        <v>1</v>
      </c>
      <c r="BA17" s="2">
        <v>5</v>
      </c>
      <c r="BB17" s="2">
        <v>11</v>
      </c>
      <c r="BC17" s="8"/>
    </row>
    <row r="18" spans="1:56" ht="13.5" customHeight="1" x14ac:dyDescent="0.2">
      <c r="A18" s="7"/>
      <c r="B18" s="3"/>
      <c r="C18" s="3" t="s">
        <v>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10</v>
      </c>
      <c r="X18" s="2">
        <v>13</v>
      </c>
      <c r="Y18" s="2">
        <v>12</v>
      </c>
      <c r="Z18" s="2">
        <v>9</v>
      </c>
      <c r="AA18" s="2">
        <v>12</v>
      </c>
      <c r="AB18" s="2">
        <v>13</v>
      </c>
      <c r="AC18" s="2">
        <v>14</v>
      </c>
      <c r="AD18" s="2">
        <v>14</v>
      </c>
      <c r="AE18" s="2">
        <v>11</v>
      </c>
      <c r="AF18" s="2">
        <v>13</v>
      </c>
      <c r="AG18" s="2">
        <v>17</v>
      </c>
      <c r="AH18" s="2">
        <v>12</v>
      </c>
      <c r="AI18" s="2">
        <v>13</v>
      </c>
      <c r="AJ18" s="2">
        <v>12</v>
      </c>
      <c r="AK18" s="2">
        <v>12</v>
      </c>
      <c r="AL18" s="2">
        <v>8</v>
      </c>
      <c r="AM18" s="2">
        <v>11</v>
      </c>
      <c r="AN18" s="2">
        <v>12</v>
      </c>
      <c r="AO18" s="2">
        <v>13</v>
      </c>
      <c r="AP18" s="2">
        <v>12</v>
      </c>
      <c r="AQ18" s="2">
        <v>14</v>
      </c>
      <c r="AR18" s="2">
        <v>8</v>
      </c>
      <c r="AS18" s="2">
        <v>14</v>
      </c>
      <c r="AT18" s="2">
        <v>5</v>
      </c>
      <c r="AU18" s="2">
        <v>17</v>
      </c>
      <c r="AV18" s="2">
        <v>13</v>
      </c>
      <c r="AW18" s="2">
        <v>14</v>
      </c>
      <c r="AX18" s="2">
        <v>9</v>
      </c>
      <c r="AY18" s="2">
        <v>16</v>
      </c>
      <c r="AZ18" s="2">
        <v>34</v>
      </c>
      <c r="BA18" s="2">
        <v>39</v>
      </c>
      <c r="BB18" s="2">
        <v>21</v>
      </c>
      <c r="BC18" s="8"/>
    </row>
    <row r="19" spans="1:56" ht="13.5" customHeight="1" x14ac:dyDescent="0.2">
      <c r="A19" s="7"/>
      <c r="B19" s="3"/>
      <c r="C19" s="3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4</v>
      </c>
      <c r="X19" s="2">
        <v>3</v>
      </c>
      <c r="Y19" s="2">
        <v>7</v>
      </c>
      <c r="Z19" s="2">
        <v>4</v>
      </c>
      <c r="AA19" s="2">
        <v>1</v>
      </c>
      <c r="AB19" s="2">
        <v>5</v>
      </c>
      <c r="AC19" s="2">
        <v>1</v>
      </c>
      <c r="AD19" s="2">
        <v>3</v>
      </c>
      <c r="AE19" s="2">
        <v>2</v>
      </c>
      <c r="AF19" s="2">
        <v>5</v>
      </c>
      <c r="AG19" s="2">
        <v>6</v>
      </c>
      <c r="AH19" s="2">
        <v>2</v>
      </c>
      <c r="AI19" s="2">
        <v>1</v>
      </c>
      <c r="AJ19" s="2">
        <v>3</v>
      </c>
      <c r="AK19" s="2">
        <v>7</v>
      </c>
      <c r="AL19" s="2">
        <v>5</v>
      </c>
      <c r="AM19" s="2">
        <v>1</v>
      </c>
      <c r="AN19" s="2">
        <v>2</v>
      </c>
      <c r="AO19" s="2">
        <v>4</v>
      </c>
      <c r="AP19" s="2">
        <v>6</v>
      </c>
      <c r="AQ19" s="2">
        <v>8</v>
      </c>
      <c r="AR19" s="2">
        <v>7</v>
      </c>
      <c r="AS19" s="2">
        <v>5</v>
      </c>
      <c r="AT19" s="2">
        <v>1</v>
      </c>
      <c r="AU19" s="2">
        <v>5</v>
      </c>
      <c r="AV19" s="2">
        <v>4</v>
      </c>
      <c r="AW19" s="2">
        <v>8</v>
      </c>
      <c r="AX19" s="2">
        <v>1</v>
      </c>
      <c r="AY19" s="2">
        <v>3</v>
      </c>
      <c r="AZ19" s="2">
        <v>5</v>
      </c>
      <c r="BA19" s="2">
        <v>10</v>
      </c>
      <c r="BB19" s="2">
        <v>2</v>
      </c>
      <c r="BC19" s="8"/>
    </row>
    <row r="20" spans="1:56" ht="13.5" customHeight="1" x14ac:dyDescent="0.2">
      <c r="A20" s="7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1">
        <f t="shared" ref="W20:AA20" si="6">SUM(W16:W19)</f>
        <v>70</v>
      </c>
      <c r="X20" s="11">
        <f t="shared" si="6"/>
        <v>71</v>
      </c>
      <c r="Y20" s="11">
        <f t="shared" si="6"/>
        <v>65</v>
      </c>
      <c r="Z20" s="11">
        <f t="shared" si="6"/>
        <v>54</v>
      </c>
      <c r="AA20" s="11">
        <f t="shared" si="6"/>
        <v>43</v>
      </c>
      <c r="AB20" s="11">
        <f t="shared" ref="AB20:AD20" si="7">SUM(AB16:AB19)</f>
        <v>65</v>
      </c>
      <c r="AC20" s="11">
        <f t="shared" si="7"/>
        <v>64</v>
      </c>
      <c r="AD20" s="11">
        <f t="shared" si="7"/>
        <v>59</v>
      </c>
      <c r="AE20" s="11">
        <f t="shared" ref="AE20:AG20" si="8">SUM(AE16:AE19)</f>
        <v>47</v>
      </c>
      <c r="AF20" s="11">
        <f t="shared" si="8"/>
        <v>67</v>
      </c>
      <c r="AG20" s="11">
        <f t="shared" si="8"/>
        <v>68</v>
      </c>
      <c r="AH20" s="11">
        <f t="shared" ref="AH20:AJ20" si="9">SUM(AH16:AH19)</f>
        <v>57</v>
      </c>
      <c r="AI20" s="11">
        <f t="shared" si="9"/>
        <v>75</v>
      </c>
      <c r="AJ20" s="11">
        <f t="shared" si="9"/>
        <v>56</v>
      </c>
      <c r="AK20" s="11">
        <f>SUM(AK16:AK19)</f>
        <v>55</v>
      </c>
      <c r="AL20" s="11">
        <f t="shared" ref="AL20:AV20" si="10">SUM(AL16:AL19)</f>
        <v>52</v>
      </c>
      <c r="AM20" s="11">
        <f t="shared" si="10"/>
        <v>68</v>
      </c>
      <c r="AN20" s="11">
        <f t="shared" si="10"/>
        <v>63</v>
      </c>
      <c r="AO20" s="11">
        <f t="shared" si="10"/>
        <v>69</v>
      </c>
      <c r="AP20" s="11">
        <f t="shared" si="10"/>
        <v>71</v>
      </c>
      <c r="AQ20" s="11">
        <f t="shared" si="10"/>
        <v>94</v>
      </c>
      <c r="AR20" s="11">
        <f t="shared" si="10"/>
        <v>85</v>
      </c>
      <c r="AS20" s="11">
        <f t="shared" si="10"/>
        <v>71</v>
      </c>
      <c r="AT20" s="11">
        <f t="shared" si="10"/>
        <v>57</v>
      </c>
      <c r="AU20" s="11">
        <f t="shared" si="10"/>
        <v>80</v>
      </c>
      <c r="AV20" s="11">
        <f t="shared" si="10"/>
        <v>77</v>
      </c>
      <c r="AW20" s="11">
        <f t="shared" ref="AW20:BB20" si="11">SUM(AW16:AW19)</f>
        <v>72</v>
      </c>
      <c r="AX20" s="11">
        <f t="shared" si="11"/>
        <v>74</v>
      </c>
      <c r="AY20" s="11">
        <f t="shared" si="11"/>
        <v>83</v>
      </c>
      <c r="AZ20" s="11">
        <f t="shared" si="11"/>
        <v>106</v>
      </c>
      <c r="BA20" s="11">
        <f t="shared" si="11"/>
        <v>105</v>
      </c>
      <c r="BB20" s="11">
        <f t="shared" si="11"/>
        <v>78</v>
      </c>
      <c r="BC20" s="8"/>
    </row>
    <row r="21" spans="1:56" ht="13.5" customHeight="1" x14ac:dyDescent="0.2">
      <c r="A21" s="7"/>
      <c r="B21" s="33" t="s">
        <v>67</v>
      </c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8"/>
    </row>
    <row r="22" spans="1:56" ht="13.5" customHeight="1" x14ac:dyDescent="0.2">
      <c r="A22" s="7"/>
      <c r="B22" s="3"/>
      <c r="C22" s="3" t="s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11</v>
      </c>
      <c r="X22" s="2">
        <v>12</v>
      </c>
      <c r="Y22" s="2">
        <v>12</v>
      </c>
      <c r="Z22" s="2">
        <v>5</v>
      </c>
      <c r="AA22" s="2">
        <v>8</v>
      </c>
      <c r="AB22" s="2">
        <v>12</v>
      </c>
      <c r="AC22" s="2">
        <v>13</v>
      </c>
      <c r="AD22" s="2">
        <v>15</v>
      </c>
      <c r="AE22" s="2">
        <v>13</v>
      </c>
      <c r="AF22" s="2">
        <v>16</v>
      </c>
      <c r="AG22" s="2">
        <v>16</v>
      </c>
      <c r="AH22" s="2">
        <v>16</v>
      </c>
      <c r="AI22" s="2">
        <v>30</v>
      </c>
      <c r="AJ22" s="2">
        <v>37</v>
      </c>
      <c r="AK22" s="2">
        <v>31</v>
      </c>
      <c r="AL22" s="2">
        <v>52</v>
      </c>
      <c r="AM22" s="2">
        <v>41</v>
      </c>
      <c r="AN22" s="2">
        <v>55</v>
      </c>
      <c r="AO22" s="2">
        <v>62</v>
      </c>
      <c r="AP22" s="2">
        <v>69</v>
      </c>
      <c r="AQ22" s="2">
        <v>53</v>
      </c>
      <c r="AR22" s="2">
        <v>49</v>
      </c>
      <c r="AS22" s="2">
        <v>73</v>
      </c>
      <c r="AT22" s="2">
        <v>86</v>
      </c>
      <c r="AU22" s="2">
        <v>100</v>
      </c>
      <c r="AV22" s="2">
        <v>99</v>
      </c>
      <c r="AW22" s="2">
        <v>104</v>
      </c>
      <c r="AX22" s="2">
        <v>106</v>
      </c>
      <c r="AY22" s="2">
        <v>98</v>
      </c>
      <c r="AZ22" s="2">
        <v>93</v>
      </c>
      <c r="BA22" s="2">
        <v>97</v>
      </c>
      <c r="BB22" s="2">
        <v>106</v>
      </c>
      <c r="BC22" s="8"/>
    </row>
    <row r="23" spans="1:56" ht="13.5" hidden="1" customHeight="1" x14ac:dyDescent="0.2">
      <c r="A23" s="7"/>
      <c r="B23" s="3"/>
      <c r="C23" s="3" t="s">
        <v>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0</v>
      </c>
      <c r="AM23" s="2">
        <v>0</v>
      </c>
      <c r="AN23" s="2">
        <v>0</v>
      </c>
      <c r="AO23" s="2">
        <v>1</v>
      </c>
      <c r="AP23" s="2">
        <v>1</v>
      </c>
      <c r="AQ23" s="2">
        <v>2</v>
      </c>
      <c r="AR23" s="2">
        <v>1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/>
      <c r="BC23" s="8"/>
      <c r="BD23" s="20"/>
    </row>
    <row r="24" spans="1:56" ht="13.5" hidden="1" customHeight="1" x14ac:dyDescent="0.2">
      <c r="A24" s="7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1">
        <f t="shared" ref="W24:AA24" si="12">W22</f>
        <v>11</v>
      </c>
      <c r="X24" s="11">
        <f t="shared" si="12"/>
        <v>12</v>
      </c>
      <c r="Y24" s="11">
        <f t="shared" si="12"/>
        <v>12</v>
      </c>
      <c r="Z24" s="11">
        <f t="shared" si="12"/>
        <v>5</v>
      </c>
      <c r="AA24" s="11">
        <f t="shared" si="12"/>
        <v>8</v>
      </c>
      <c r="AB24" s="11">
        <f t="shared" ref="AB24:AD24" si="13">AB22</f>
        <v>12</v>
      </c>
      <c r="AC24" s="11">
        <f t="shared" si="13"/>
        <v>13</v>
      </c>
      <c r="AD24" s="11">
        <f t="shared" si="13"/>
        <v>15</v>
      </c>
      <c r="AE24" s="11">
        <f t="shared" ref="AE24:AG24" si="14">AE22</f>
        <v>13</v>
      </c>
      <c r="AF24" s="11">
        <f t="shared" si="14"/>
        <v>16</v>
      </c>
      <c r="AG24" s="11">
        <f t="shared" si="14"/>
        <v>16</v>
      </c>
      <c r="AH24" s="11">
        <f t="shared" ref="AH24:AJ24" si="15">AH22</f>
        <v>16</v>
      </c>
      <c r="AI24" s="11">
        <f t="shared" si="15"/>
        <v>30</v>
      </c>
      <c r="AJ24" s="11">
        <f t="shared" si="15"/>
        <v>37</v>
      </c>
      <c r="AK24" s="11">
        <f>AK22</f>
        <v>31</v>
      </c>
      <c r="AL24" s="11">
        <f t="shared" ref="AL24:AV24" si="16">SUM(AL22:AL23)</f>
        <v>52</v>
      </c>
      <c r="AM24" s="11">
        <f t="shared" si="16"/>
        <v>41</v>
      </c>
      <c r="AN24" s="11">
        <f t="shared" si="16"/>
        <v>55</v>
      </c>
      <c r="AO24" s="11">
        <f t="shared" si="16"/>
        <v>63</v>
      </c>
      <c r="AP24" s="11">
        <f t="shared" si="16"/>
        <v>70</v>
      </c>
      <c r="AQ24" s="11">
        <f t="shared" si="16"/>
        <v>55</v>
      </c>
      <c r="AR24" s="11">
        <f t="shared" si="16"/>
        <v>50</v>
      </c>
      <c r="AS24" s="11">
        <f t="shared" si="16"/>
        <v>73</v>
      </c>
      <c r="AT24" s="11">
        <f t="shared" si="16"/>
        <v>86</v>
      </c>
      <c r="AU24" s="11">
        <f t="shared" si="16"/>
        <v>100</v>
      </c>
      <c r="AV24" s="11">
        <f t="shared" si="16"/>
        <v>99</v>
      </c>
      <c r="AW24" s="2"/>
      <c r="AX24" s="2"/>
      <c r="AY24" s="2"/>
      <c r="AZ24" s="2"/>
      <c r="BA24" s="2"/>
      <c r="BB24" s="2"/>
      <c r="BC24" s="8"/>
    </row>
    <row r="25" spans="1:56" ht="13.5" customHeight="1" x14ac:dyDescent="0.2">
      <c r="A25" s="7"/>
      <c r="B25" s="33" t="s">
        <v>68</v>
      </c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8"/>
    </row>
    <row r="26" spans="1:56" ht="13.5" customHeight="1" x14ac:dyDescent="0.2">
      <c r="A26" s="7"/>
      <c r="B26" s="3"/>
      <c r="C26" s="3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354</v>
      </c>
      <c r="X26" s="2">
        <v>301</v>
      </c>
      <c r="Y26" s="2">
        <v>304</v>
      </c>
      <c r="Z26" s="2">
        <v>287</v>
      </c>
      <c r="AA26" s="2">
        <v>286</v>
      </c>
      <c r="AB26" s="2">
        <v>394</v>
      </c>
      <c r="AC26" s="2">
        <v>358</v>
      </c>
      <c r="AD26" s="2">
        <v>355</v>
      </c>
      <c r="AE26" s="2">
        <v>311</v>
      </c>
      <c r="AF26" s="2">
        <v>313</v>
      </c>
      <c r="AG26" s="2">
        <v>299</v>
      </c>
      <c r="AH26" s="2">
        <v>373</v>
      </c>
      <c r="AI26" s="2">
        <v>386</v>
      </c>
      <c r="AJ26" s="2">
        <v>407</v>
      </c>
      <c r="AK26" s="2">
        <v>392</v>
      </c>
      <c r="AL26" s="2">
        <v>460</v>
      </c>
      <c r="AM26" s="2">
        <v>454</v>
      </c>
      <c r="AN26" s="2">
        <v>471</v>
      </c>
      <c r="AO26" s="2">
        <v>510</v>
      </c>
      <c r="AP26" s="2">
        <v>546</v>
      </c>
      <c r="AQ26" s="2">
        <v>547</v>
      </c>
      <c r="AR26" s="2">
        <v>590</v>
      </c>
      <c r="AS26" s="2">
        <v>651</v>
      </c>
      <c r="AT26" s="2">
        <v>675</v>
      </c>
      <c r="AU26" s="2">
        <v>646</v>
      </c>
      <c r="AV26" s="2">
        <v>683</v>
      </c>
      <c r="AW26" s="2">
        <v>679</v>
      </c>
      <c r="AX26" s="2">
        <v>664</v>
      </c>
      <c r="AY26" s="2">
        <v>648</v>
      </c>
      <c r="AZ26" s="2">
        <v>732</v>
      </c>
      <c r="BA26" s="2">
        <v>722</v>
      </c>
      <c r="BB26" s="2">
        <v>701</v>
      </c>
      <c r="BC26" s="8"/>
    </row>
    <row r="27" spans="1:56" ht="13.5" customHeight="1" x14ac:dyDescent="0.2">
      <c r="A27" s="7"/>
      <c r="B27" s="3"/>
      <c r="C27" s="3" t="s">
        <v>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70</v>
      </c>
      <c r="X27" s="2">
        <v>62</v>
      </c>
      <c r="Y27" s="2">
        <v>84</v>
      </c>
      <c r="Z27" s="2">
        <v>63</v>
      </c>
      <c r="AA27" s="2">
        <v>81</v>
      </c>
      <c r="AB27" s="2">
        <v>64</v>
      </c>
      <c r="AC27" s="2">
        <v>74</v>
      </c>
      <c r="AD27" s="2">
        <v>74</v>
      </c>
      <c r="AE27" s="2">
        <v>58</v>
      </c>
      <c r="AF27" s="2">
        <v>56</v>
      </c>
      <c r="AG27" s="2">
        <v>57</v>
      </c>
      <c r="AH27" s="2">
        <v>64</v>
      </c>
      <c r="AI27" s="2">
        <v>54</v>
      </c>
      <c r="AJ27" s="2">
        <v>57</v>
      </c>
      <c r="AK27" s="2">
        <v>64</v>
      </c>
      <c r="AL27" s="2">
        <v>63</v>
      </c>
      <c r="AM27" s="2">
        <v>75</v>
      </c>
      <c r="AN27" s="2">
        <v>64</v>
      </c>
      <c r="AO27" s="2">
        <v>95</v>
      </c>
      <c r="AP27" s="2">
        <v>72</v>
      </c>
      <c r="AQ27" s="2">
        <v>69</v>
      </c>
      <c r="AR27" s="2">
        <v>92</v>
      </c>
      <c r="AS27" s="2">
        <v>108</v>
      </c>
      <c r="AT27" s="2">
        <v>113</v>
      </c>
      <c r="AU27" s="2">
        <v>89</v>
      </c>
      <c r="AV27" s="2">
        <v>111</v>
      </c>
      <c r="AW27" s="2">
        <v>75</v>
      </c>
      <c r="AX27" s="2">
        <v>92</v>
      </c>
      <c r="AY27" s="2">
        <v>68</v>
      </c>
      <c r="AZ27" s="2">
        <v>105</v>
      </c>
      <c r="BA27" s="2">
        <v>82</v>
      </c>
      <c r="BB27" s="2">
        <v>95</v>
      </c>
      <c r="BC27" s="8"/>
    </row>
    <row r="28" spans="1:56" ht="13.5" customHeight="1" x14ac:dyDescent="0.2">
      <c r="A28" s="7"/>
      <c r="B28" s="3"/>
      <c r="C28" s="3" t="s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6</v>
      </c>
      <c r="X28" s="2">
        <v>8</v>
      </c>
      <c r="Y28" s="2">
        <v>3</v>
      </c>
      <c r="Z28" s="2">
        <v>2</v>
      </c>
      <c r="AA28" s="2">
        <v>4</v>
      </c>
      <c r="AB28" s="2">
        <v>4</v>
      </c>
      <c r="AC28" s="2">
        <v>8</v>
      </c>
      <c r="AD28" s="2">
        <v>11</v>
      </c>
      <c r="AE28" s="2">
        <v>7</v>
      </c>
      <c r="AF28" s="2">
        <v>15</v>
      </c>
      <c r="AG28" s="2">
        <v>7</v>
      </c>
      <c r="AH28" s="2">
        <v>12</v>
      </c>
      <c r="AI28" s="2">
        <v>8</v>
      </c>
      <c r="AJ28" s="2">
        <v>5</v>
      </c>
      <c r="AK28" s="2">
        <v>13</v>
      </c>
      <c r="AL28" s="2">
        <v>13</v>
      </c>
      <c r="AM28" s="2">
        <v>17</v>
      </c>
      <c r="AN28" s="2">
        <v>18</v>
      </c>
      <c r="AO28" s="2">
        <v>16</v>
      </c>
      <c r="AP28" s="2">
        <v>20</v>
      </c>
      <c r="AQ28" s="2">
        <v>8</v>
      </c>
      <c r="AR28" s="2">
        <v>20</v>
      </c>
      <c r="AS28" s="2">
        <v>12</v>
      </c>
      <c r="AT28" s="2">
        <v>15</v>
      </c>
      <c r="AU28" s="2">
        <v>20</v>
      </c>
      <c r="AV28" s="2">
        <v>17</v>
      </c>
      <c r="AW28" s="2">
        <v>14</v>
      </c>
      <c r="AX28" s="2">
        <v>11</v>
      </c>
      <c r="AY28" s="2">
        <v>19</v>
      </c>
      <c r="AZ28" s="2">
        <v>15</v>
      </c>
      <c r="BA28" s="2">
        <v>13</v>
      </c>
      <c r="BB28" s="2">
        <v>28</v>
      </c>
      <c r="BC28" s="8"/>
    </row>
    <row r="29" spans="1:56" ht="13.5" customHeight="1" x14ac:dyDescent="0.2">
      <c r="A29" s="7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1">
        <f>SUM(W26:W28)</f>
        <v>430</v>
      </c>
      <c r="X29" s="11">
        <f t="shared" ref="X29:AA29" si="17">SUM(X26:X28)</f>
        <v>371</v>
      </c>
      <c r="Y29" s="11">
        <f t="shared" si="17"/>
        <v>391</v>
      </c>
      <c r="Z29" s="11">
        <f t="shared" si="17"/>
        <v>352</v>
      </c>
      <c r="AA29" s="11">
        <f t="shared" si="17"/>
        <v>371</v>
      </c>
      <c r="AB29" s="11">
        <f t="shared" ref="AB29:AD29" si="18">SUM(AB26:AB28)</f>
        <v>462</v>
      </c>
      <c r="AC29" s="11">
        <f t="shared" si="18"/>
        <v>440</v>
      </c>
      <c r="AD29" s="11">
        <f t="shared" si="18"/>
        <v>440</v>
      </c>
      <c r="AE29" s="11">
        <f t="shared" ref="AE29:AG29" si="19">SUM(AE26:AE28)</f>
        <v>376</v>
      </c>
      <c r="AF29" s="11">
        <f t="shared" si="19"/>
        <v>384</v>
      </c>
      <c r="AG29" s="11">
        <f t="shared" si="19"/>
        <v>363</v>
      </c>
      <c r="AH29" s="11">
        <f t="shared" ref="AH29:AJ29" si="20">SUM(AH26:AH28)</f>
        <v>449</v>
      </c>
      <c r="AI29" s="11">
        <f t="shared" si="20"/>
        <v>448</v>
      </c>
      <c r="AJ29" s="11">
        <f t="shared" si="20"/>
        <v>469</v>
      </c>
      <c r="AK29" s="11">
        <f t="shared" ref="AK29:AV29" si="21">SUM(AK26:AK28)</f>
        <v>469</v>
      </c>
      <c r="AL29" s="11">
        <f t="shared" si="21"/>
        <v>536</v>
      </c>
      <c r="AM29" s="11">
        <f t="shared" si="21"/>
        <v>546</v>
      </c>
      <c r="AN29" s="11">
        <f t="shared" si="21"/>
        <v>553</v>
      </c>
      <c r="AO29" s="11">
        <f t="shared" si="21"/>
        <v>621</v>
      </c>
      <c r="AP29" s="11">
        <f t="shared" si="21"/>
        <v>638</v>
      </c>
      <c r="AQ29" s="11">
        <f t="shared" si="21"/>
        <v>624</v>
      </c>
      <c r="AR29" s="11">
        <f t="shared" si="21"/>
        <v>702</v>
      </c>
      <c r="AS29" s="11">
        <f t="shared" si="21"/>
        <v>771</v>
      </c>
      <c r="AT29" s="11">
        <f t="shared" si="21"/>
        <v>803</v>
      </c>
      <c r="AU29" s="11">
        <f t="shared" si="21"/>
        <v>755</v>
      </c>
      <c r="AV29" s="11">
        <f t="shared" si="21"/>
        <v>811</v>
      </c>
      <c r="AW29" s="11">
        <f t="shared" ref="AW29:BB29" si="22">SUM(AW26:AW28)</f>
        <v>768</v>
      </c>
      <c r="AX29" s="11">
        <f t="shared" si="22"/>
        <v>767</v>
      </c>
      <c r="AY29" s="11">
        <f t="shared" si="22"/>
        <v>735</v>
      </c>
      <c r="AZ29" s="11">
        <f t="shared" si="22"/>
        <v>852</v>
      </c>
      <c r="BA29" s="11">
        <f t="shared" si="22"/>
        <v>817</v>
      </c>
      <c r="BB29" s="11">
        <f t="shared" si="22"/>
        <v>824</v>
      </c>
      <c r="BC29" s="8"/>
    </row>
    <row r="30" spans="1:56" ht="13.5" customHeight="1" x14ac:dyDescent="0.2">
      <c r="A30" s="7"/>
      <c r="B30" s="33" t="s">
        <v>69</v>
      </c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8"/>
    </row>
    <row r="31" spans="1:56" ht="13.5" customHeight="1" x14ac:dyDescent="0.2">
      <c r="A31" s="7"/>
      <c r="B31" s="3"/>
      <c r="C31" s="3" t="s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53</v>
      </c>
      <c r="X31" s="2">
        <v>47</v>
      </c>
      <c r="Y31" s="2">
        <v>49</v>
      </c>
      <c r="Z31" s="2">
        <v>44</v>
      </c>
      <c r="AA31" s="2">
        <v>45</v>
      </c>
      <c r="AB31" s="2">
        <v>48</v>
      </c>
      <c r="AC31" s="2">
        <v>51</v>
      </c>
      <c r="AD31" s="2">
        <v>44</v>
      </c>
      <c r="AE31" s="2">
        <v>42</v>
      </c>
      <c r="AF31" s="2">
        <v>32</v>
      </c>
      <c r="AG31" s="2">
        <v>39</v>
      </c>
      <c r="AH31" s="2">
        <v>49</v>
      </c>
      <c r="AI31" s="2">
        <v>74</v>
      </c>
      <c r="AJ31" s="2">
        <v>98</v>
      </c>
      <c r="AK31" s="2">
        <v>92</v>
      </c>
      <c r="AL31" s="2">
        <v>106</v>
      </c>
      <c r="AM31" s="2">
        <v>94</v>
      </c>
      <c r="AN31" s="2">
        <v>109</v>
      </c>
      <c r="AO31" s="2">
        <v>105</v>
      </c>
      <c r="AP31" s="2">
        <v>65</v>
      </c>
      <c r="AQ31" s="2">
        <v>65</v>
      </c>
      <c r="AR31" s="2">
        <v>52</v>
      </c>
      <c r="AS31" s="2">
        <v>61</v>
      </c>
      <c r="AT31" s="2">
        <v>68</v>
      </c>
      <c r="AU31" s="2">
        <v>81</v>
      </c>
      <c r="AV31" s="2">
        <v>99</v>
      </c>
      <c r="AW31" s="2">
        <v>80</v>
      </c>
      <c r="AX31" s="2">
        <v>98</v>
      </c>
      <c r="AY31" s="2">
        <v>145</v>
      </c>
      <c r="AZ31" s="2">
        <v>154</v>
      </c>
      <c r="BA31" s="2">
        <v>151</v>
      </c>
      <c r="BB31" s="2">
        <v>179</v>
      </c>
      <c r="BC31" s="8"/>
    </row>
    <row r="32" spans="1:56" ht="13.5" customHeight="1" x14ac:dyDescent="0.2">
      <c r="A32" s="7"/>
      <c r="B32" s="3"/>
      <c r="C32" s="3" t="s">
        <v>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9</v>
      </c>
      <c r="X32" s="2">
        <v>10</v>
      </c>
      <c r="Y32" s="2">
        <v>13</v>
      </c>
      <c r="Z32" s="2">
        <v>15</v>
      </c>
      <c r="AA32" s="2">
        <v>15</v>
      </c>
      <c r="AB32" s="2">
        <v>18</v>
      </c>
      <c r="AC32" s="2">
        <v>26</v>
      </c>
      <c r="AD32" s="2">
        <v>19</v>
      </c>
      <c r="AE32" s="2">
        <v>13</v>
      </c>
      <c r="AF32" s="2">
        <v>15</v>
      </c>
      <c r="AG32" s="2">
        <v>13</v>
      </c>
      <c r="AH32" s="2">
        <v>19</v>
      </c>
      <c r="AI32" s="2">
        <v>19</v>
      </c>
      <c r="AJ32" s="2">
        <v>7</v>
      </c>
      <c r="AK32" s="2">
        <v>17</v>
      </c>
      <c r="AL32" s="2">
        <v>14</v>
      </c>
      <c r="AM32" s="2">
        <v>20</v>
      </c>
      <c r="AN32" s="2">
        <v>28</v>
      </c>
      <c r="AO32" s="2">
        <v>15</v>
      </c>
      <c r="AP32" s="2">
        <v>20</v>
      </c>
      <c r="AQ32" s="2">
        <v>9</v>
      </c>
      <c r="AR32" s="2">
        <v>16</v>
      </c>
      <c r="AS32" s="2">
        <v>14</v>
      </c>
      <c r="AT32" s="2">
        <v>14</v>
      </c>
      <c r="AU32" s="2">
        <v>12</v>
      </c>
      <c r="AV32" s="2">
        <v>18</v>
      </c>
      <c r="AW32" s="2">
        <v>11</v>
      </c>
      <c r="AX32" s="2">
        <v>17</v>
      </c>
      <c r="AY32" s="2">
        <v>29</v>
      </c>
      <c r="AZ32" s="2">
        <v>34</v>
      </c>
      <c r="BA32" s="2">
        <v>25</v>
      </c>
      <c r="BB32" s="2">
        <v>48</v>
      </c>
      <c r="BC32" s="8"/>
    </row>
    <row r="33" spans="1:55" ht="13.5" customHeight="1" x14ac:dyDescent="0.2">
      <c r="A33" s="7"/>
      <c r="B33" s="3"/>
      <c r="C33" s="3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/>
      <c r="AH33" s="2">
        <v>3</v>
      </c>
      <c r="AI33" s="2">
        <v>1</v>
      </c>
      <c r="AJ33" s="2">
        <v>4</v>
      </c>
      <c r="AK33" s="2">
        <v>2</v>
      </c>
      <c r="AL33" s="2">
        <v>0</v>
      </c>
      <c r="AM33" s="2">
        <v>5</v>
      </c>
      <c r="AN33" s="2">
        <v>3</v>
      </c>
      <c r="AO33" s="2">
        <v>4</v>
      </c>
      <c r="AP33" s="2">
        <v>5</v>
      </c>
      <c r="AQ33" s="2">
        <v>6</v>
      </c>
      <c r="AR33" s="2">
        <v>3</v>
      </c>
      <c r="AS33" s="2">
        <v>6</v>
      </c>
      <c r="AT33" s="2">
        <v>4</v>
      </c>
      <c r="AU33" s="2">
        <v>8</v>
      </c>
      <c r="AV33" s="2">
        <v>5</v>
      </c>
      <c r="AW33" s="2">
        <v>4</v>
      </c>
      <c r="AX33" s="2">
        <v>8</v>
      </c>
      <c r="AY33" s="2">
        <v>6</v>
      </c>
      <c r="AZ33" s="2">
        <v>4</v>
      </c>
      <c r="BA33" s="2">
        <v>7</v>
      </c>
      <c r="BB33" s="2">
        <v>10</v>
      </c>
      <c r="BC33" s="8"/>
    </row>
    <row r="34" spans="1:55" ht="13.5" customHeight="1" x14ac:dyDescent="0.2">
      <c r="A34" s="7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1">
        <f t="shared" ref="W34:AA34" si="23">SUM(W31:W32)</f>
        <v>62</v>
      </c>
      <c r="X34" s="11">
        <f t="shared" si="23"/>
        <v>57</v>
      </c>
      <c r="Y34" s="11">
        <f t="shared" si="23"/>
        <v>62</v>
      </c>
      <c r="Z34" s="11">
        <f t="shared" si="23"/>
        <v>59</v>
      </c>
      <c r="AA34" s="11">
        <f t="shared" si="23"/>
        <v>60</v>
      </c>
      <c r="AB34" s="11">
        <f t="shared" ref="AB34:AD34" si="24">SUM(AB31:AB32)</f>
        <v>66</v>
      </c>
      <c r="AC34" s="11">
        <f t="shared" si="24"/>
        <v>77</v>
      </c>
      <c r="AD34" s="11">
        <f t="shared" si="24"/>
        <v>63</v>
      </c>
      <c r="AE34" s="11">
        <f t="shared" ref="AE34:AF34" si="25">SUM(AE31:AE32)</f>
        <v>55</v>
      </c>
      <c r="AF34" s="11">
        <f t="shared" si="25"/>
        <v>47</v>
      </c>
      <c r="AG34" s="11">
        <f>SUM(AG31:AG32)</f>
        <v>52</v>
      </c>
      <c r="AH34" s="11">
        <f t="shared" ref="AH34:AJ34" si="26">SUM(AH31:AH33)</f>
        <v>71</v>
      </c>
      <c r="AI34" s="11">
        <f t="shared" si="26"/>
        <v>94</v>
      </c>
      <c r="AJ34" s="11">
        <f t="shared" si="26"/>
        <v>109</v>
      </c>
      <c r="AK34" s="11">
        <f t="shared" ref="AK34:AV34" si="27">SUM(AK31:AK33)</f>
        <v>111</v>
      </c>
      <c r="AL34" s="11">
        <f t="shared" si="27"/>
        <v>120</v>
      </c>
      <c r="AM34" s="11">
        <f t="shared" si="27"/>
        <v>119</v>
      </c>
      <c r="AN34" s="11">
        <f t="shared" si="27"/>
        <v>140</v>
      </c>
      <c r="AO34" s="11">
        <f t="shared" si="27"/>
        <v>124</v>
      </c>
      <c r="AP34" s="11">
        <f t="shared" si="27"/>
        <v>90</v>
      </c>
      <c r="AQ34" s="11">
        <f t="shared" si="27"/>
        <v>80</v>
      </c>
      <c r="AR34" s="11">
        <f t="shared" si="27"/>
        <v>71</v>
      </c>
      <c r="AS34" s="11">
        <f t="shared" si="27"/>
        <v>81</v>
      </c>
      <c r="AT34" s="11">
        <f t="shared" si="27"/>
        <v>86</v>
      </c>
      <c r="AU34" s="11">
        <f t="shared" si="27"/>
        <v>101</v>
      </c>
      <c r="AV34" s="11">
        <f t="shared" si="27"/>
        <v>122</v>
      </c>
      <c r="AW34" s="11">
        <f t="shared" ref="AW34:BB34" si="28">SUM(AW31:AW33)</f>
        <v>95</v>
      </c>
      <c r="AX34" s="11">
        <f t="shared" si="28"/>
        <v>123</v>
      </c>
      <c r="AY34" s="11">
        <f t="shared" si="28"/>
        <v>180</v>
      </c>
      <c r="AZ34" s="11">
        <f t="shared" si="28"/>
        <v>192</v>
      </c>
      <c r="BA34" s="11">
        <f t="shared" si="28"/>
        <v>183</v>
      </c>
      <c r="BB34" s="11">
        <f t="shared" si="28"/>
        <v>237</v>
      </c>
      <c r="BC34" s="8"/>
    </row>
    <row r="35" spans="1:55" ht="13.5" customHeight="1" x14ac:dyDescent="0.2">
      <c r="A35" s="7"/>
      <c r="B35" s="33" t="s">
        <v>70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8"/>
    </row>
    <row r="36" spans="1:55" ht="13.5" customHeight="1" x14ac:dyDescent="0.2">
      <c r="A36" s="7"/>
      <c r="B36" s="3"/>
      <c r="C36" s="3" t="s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405</v>
      </c>
      <c r="X36" s="2">
        <v>360</v>
      </c>
      <c r="Y36" s="2">
        <v>377</v>
      </c>
      <c r="Z36" s="2">
        <v>399</v>
      </c>
      <c r="AA36" s="2">
        <v>358</v>
      </c>
      <c r="AB36" s="2">
        <v>319</v>
      </c>
      <c r="AC36" s="2">
        <v>315</v>
      </c>
      <c r="AD36" s="2">
        <v>306</v>
      </c>
      <c r="AE36" s="2">
        <v>309</v>
      </c>
      <c r="AF36" s="2">
        <v>284</v>
      </c>
      <c r="AG36" s="2">
        <v>272</v>
      </c>
      <c r="AH36" s="2">
        <v>281</v>
      </c>
      <c r="AI36" s="2">
        <v>333</v>
      </c>
      <c r="AJ36" s="2">
        <v>272</v>
      </c>
      <c r="AK36" s="2">
        <v>252</v>
      </c>
      <c r="AL36" s="2">
        <v>243</v>
      </c>
      <c r="AM36" s="2">
        <v>229</v>
      </c>
      <c r="AN36" s="2">
        <v>247</v>
      </c>
      <c r="AO36" s="2">
        <v>262</v>
      </c>
      <c r="AP36" s="2">
        <v>306</v>
      </c>
      <c r="AQ36" s="2">
        <v>282</v>
      </c>
      <c r="AR36" s="2">
        <v>264</v>
      </c>
      <c r="AS36" s="2">
        <v>265</v>
      </c>
      <c r="AT36" s="2">
        <v>266</v>
      </c>
      <c r="AU36" s="2">
        <v>267</v>
      </c>
      <c r="AV36" s="2">
        <v>297</v>
      </c>
      <c r="AW36" s="2">
        <v>312</v>
      </c>
      <c r="AX36" s="2">
        <v>327</v>
      </c>
      <c r="AY36" s="2">
        <v>301</v>
      </c>
      <c r="AZ36" s="2">
        <v>321</v>
      </c>
      <c r="BA36" s="2">
        <v>248</v>
      </c>
      <c r="BB36" s="2">
        <v>269</v>
      </c>
      <c r="BC36" s="8"/>
    </row>
    <row r="37" spans="1:55" ht="13.5" customHeight="1" x14ac:dyDescent="0.2">
      <c r="A37" s="7"/>
      <c r="B37" s="3"/>
      <c r="C37" s="3" t="s">
        <v>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3"/>
      <c r="AR37" s="2">
        <v>0</v>
      </c>
      <c r="AS37" s="2">
        <v>0</v>
      </c>
      <c r="AT37" s="2">
        <v>3</v>
      </c>
      <c r="AU37" s="2">
        <v>4</v>
      </c>
      <c r="AV37" s="2">
        <v>10</v>
      </c>
      <c r="AW37" s="2">
        <v>26</v>
      </c>
      <c r="AX37" s="2">
        <v>21</v>
      </c>
      <c r="AY37" s="2">
        <v>26</v>
      </c>
      <c r="AZ37" s="2">
        <v>22</v>
      </c>
      <c r="BA37" s="2">
        <v>20</v>
      </c>
      <c r="BB37" s="2">
        <v>24</v>
      </c>
      <c r="BC37" s="8"/>
    </row>
    <row r="38" spans="1:55" ht="13.5" customHeight="1" x14ac:dyDescent="0.2">
      <c r="A38" s="7"/>
      <c r="B38" s="3"/>
      <c r="C38" s="3" t="s">
        <v>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221</v>
      </c>
      <c r="X38" s="2">
        <v>225</v>
      </c>
      <c r="Y38" s="2">
        <v>242</v>
      </c>
      <c r="Z38" s="2">
        <v>208</v>
      </c>
      <c r="AA38" s="2">
        <v>242</v>
      </c>
      <c r="AB38" s="2">
        <v>272</v>
      </c>
      <c r="AC38" s="2">
        <v>203</v>
      </c>
      <c r="AD38" s="2">
        <v>218</v>
      </c>
      <c r="AE38" s="2">
        <v>203</v>
      </c>
      <c r="AF38" s="2">
        <v>202</v>
      </c>
      <c r="AG38" s="2">
        <v>257</v>
      </c>
      <c r="AH38" s="2">
        <v>199</v>
      </c>
      <c r="AI38" s="2">
        <v>294</v>
      </c>
      <c r="AJ38" s="2">
        <v>267</v>
      </c>
      <c r="AK38" s="2">
        <v>265</v>
      </c>
      <c r="AL38" s="2">
        <v>295</v>
      </c>
      <c r="AM38" s="2">
        <v>417</v>
      </c>
      <c r="AN38" s="2">
        <v>421</v>
      </c>
      <c r="AO38" s="2">
        <v>364</v>
      </c>
      <c r="AP38" s="2">
        <v>448</v>
      </c>
      <c r="AQ38" s="2">
        <v>456</v>
      </c>
      <c r="AR38" s="2">
        <v>456</v>
      </c>
      <c r="AS38" s="2">
        <v>498</v>
      </c>
      <c r="AT38" s="2">
        <v>506</v>
      </c>
      <c r="AU38" s="2">
        <v>501</v>
      </c>
      <c r="AV38" s="2">
        <v>542</v>
      </c>
      <c r="AW38" s="2">
        <v>469</v>
      </c>
      <c r="AX38" s="2">
        <v>427</v>
      </c>
      <c r="AY38" s="2">
        <v>476</v>
      </c>
      <c r="AZ38" s="2">
        <v>467</v>
      </c>
      <c r="BA38" s="2">
        <v>493</v>
      </c>
      <c r="BB38" s="2">
        <v>402</v>
      </c>
      <c r="BC38" s="8"/>
    </row>
    <row r="39" spans="1:55" ht="13.5" customHeight="1" x14ac:dyDescent="0.2">
      <c r="A39" s="7"/>
      <c r="B39" s="3"/>
      <c r="C39" s="3" t="s">
        <v>11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v>36</v>
      </c>
      <c r="X39" s="2">
        <v>35</v>
      </c>
      <c r="Y39" s="2">
        <v>38</v>
      </c>
      <c r="Z39" s="2">
        <v>44</v>
      </c>
      <c r="AA39" s="2">
        <v>39</v>
      </c>
      <c r="AB39" s="2">
        <v>33</v>
      </c>
      <c r="AC39" s="2">
        <v>33</v>
      </c>
      <c r="AD39" s="2">
        <v>29</v>
      </c>
      <c r="AE39" s="2">
        <v>33</v>
      </c>
      <c r="AF39" s="2">
        <v>31</v>
      </c>
      <c r="AG39" s="2">
        <v>32</v>
      </c>
      <c r="AH39" s="2">
        <v>24</v>
      </c>
      <c r="AI39" s="2">
        <v>32</v>
      </c>
      <c r="AJ39" s="2">
        <v>12</v>
      </c>
      <c r="AK39" s="2">
        <v>36</v>
      </c>
      <c r="AL39" s="2">
        <v>33</v>
      </c>
      <c r="AM39" s="2">
        <v>41</v>
      </c>
      <c r="AN39" s="2">
        <v>23</v>
      </c>
      <c r="AO39" s="2">
        <v>33</v>
      </c>
      <c r="AP39" s="2">
        <v>21</v>
      </c>
      <c r="AQ39" s="2">
        <v>36</v>
      </c>
      <c r="AR39" s="2">
        <v>34</v>
      </c>
      <c r="AS39" s="2">
        <v>57</v>
      </c>
      <c r="AT39" s="2">
        <v>59</v>
      </c>
      <c r="AU39" s="2">
        <v>53</v>
      </c>
      <c r="AV39" s="2">
        <v>43</v>
      </c>
      <c r="AW39" s="2">
        <v>63</v>
      </c>
      <c r="AX39" s="2">
        <v>65</v>
      </c>
      <c r="AY39" s="2">
        <v>82</v>
      </c>
      <c r="AZ39" s="2">
        <v>51</v>
      </c>
      <c r="BA39" s="2">
        <v>56</v>
      </c>
      <c r="BB39" s="2">
        <v>35</v>
      </c>
      <c r="BC39" s="8"/>
    </row>
    <row r="40" spans="1:55" ht="13.5" customHeight="1" x14ac:dyDescent="0.2">
      <c r="A40" s="7"/>
      <c r="B40" s="3"/>
      <c r="C40" s="3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v>74</v>
      </c>
      <c r="X40" s="2">
        <v>77</v>
      </c>
      <c r="Y40" s="2">
        <v>82</v>
      </c>
      <c r="Z40" s="2">
        <v>70</v>
      </c>
      <c r="AA40" s="2">
        <v>72</v>
      </c>
      <c r="AB40" s="2">
        <v>80</v>
      </c>
      <c r="AC40" s="2">
        <v>85</v>
      </c>
      <c r="AD40" s="2">
        <v>69</v>
      </c>
      <c r="AE40" s="2">
        <v>62</v>
      </c>
      <c r="AF40" s="2">
        <v>68</v>
      </c>
      <c r="AG40" s="2">
        <v>68</v>
      </c>
      <c r="AH40" s="2">
        <v>77</v>
      </c>
      <c r="AI40" s="2">
        <v>68</v>
      </c>
      <c r="AJ40" s="2">
        <v>76</v>
      </c>
      <c r="AK40" s="2">
        <v>76</v>
      </c>
      <c r="AL40" s="2">
        <v>71</v>
      </c>
      <c r="AM40" s="2">
        <v>73</v>
      </c>
      <c r="AN40" s="2">
        <v>70</v>
      </c>
      <c r="AO40" s="2">
        <v>74</v>
      </c>
      <c r="AP40" s="2">
        <v>65</v>
      </c>
      <c r="AQ40" s="2">
        <v>86</v>
      </c>
      <c r="AR40" s="2">
        <v>90</v>
      </c>
      <c r="AS40" s="2">
        <v>88</v>
      </c>
      <c r="AT40" s="2">
        <v>78</v>
      </c>
      <c r="AU40" s="2">
        <v>86</v>
      </c>
      <c r="AV40" s="2">
        <v>81</v>
      </c>
      <c r="AW40" s="2">
        <v>119</v>
      </c>
      <c r="AX40" s="2">
        <v>75</v>
      </c>
      <c r="AY40" s="2">
        <v>87</v>
      </c>
      <c r="AZ40" s="2">
        <v>75</v>
      </c>
      <c r="BA40" s="2">
        <v>104</v>
      </c>
      <c r="BB40" s="2">
        <v>86</v>
      </c>
      <c r="BC40" s="8"/>
    </row>
    <row r="41" spans="1:55" ht="13.5" customHeight="1" x14ac:dyDescent="0.2">
      <c r="A41" s="7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1">
        <f t="shared" ref="W41:AA41" si="29">SUM(W36:W40)</f>
        <v>736</v>
      </c>
      <c r="X41" s="11">
        <f t="shared" si="29"/>
        <v>697</v>
      </c>
      <c r="Y41" s="11">
        <f t="shared" si="29"/>
        <v>739</v>
      </c>
      <c r="Z41" s="11">
        <f t="shared" si="29"/>
        <v>721</v>
      </c>
      <c r="AA41" s="11">
        <f t="shared" si="29"/>
        <v>711</v>
      </c>
      <c r="AB41" s="11">
        <f t="shared" ref="AB41:AD41" si="30">SUM(AB36:AB40)</f>
        <v>704</v>
      </c>
      <c r="AC41" s="11">
        <f t="shared" si="30"/>
        <v>636</v>
      </c>
      <c r="AD41" s="11">
        <f t="shared" si="30"/>
        <v>622</v>
      </c>
      <c r="AE41" s="11">
        <f t="shared" ref="AE41:AG41" si="31">SUM(AE36:AE40)</f>
        <v>607</v>
      </c>
      <c r="AF41" s="11">
        <f t="shared" si="31"/>
        <v>585</v>
      </c>
      <c r="AG41" s="11">
        <f t="shared" si="31"/>
        <v>629</v>
      </c>
      <c r="AH41" s="11">
        <f>SUM(AH36:AH40)</f>
        <v>581</v>
      </c>
      <c r="AI41" s="11">
        <f t="shared" ref="AI41:AJ41" si="32">SUM(AI36:AI40)</f>
        <v>727</v>
      </c>
      <c r="AJ41" s="11">
        <f t="shared" si="32"/>
        <v>627</v>
      </c>
      <c r="AK41" s="11">
        <f t="shared" ref="AK41:AV41" si="33">SUM(AK36:AK40)</f>
        <v>629</v>
      </c>
      <c r="AL41" s="11">
        <f t="shared" si="33"/>
        <v>642</v>
      </c>
      <c r="AM41" s="11">
        <f t="shared" si="33"/>
        <v>760</v>
      </c>
      <c r="AN41" s="11">
        <f t="shared" si="33"/>
        <v>761</v>
      </c>
      <c r="AO41" s="11">
        <f t="shared" si="33"/>
        <v>733</v>
      </c>
      <c r="AP41" s="11">
        <f t="shared" si="33"/>
        <v>840</v>
      </c>
      <c r="AQ41" s="11">
        <f t="shared" si="33"/>
        <v>860</v>
      </c>
      <c r="AR41" s="11">
        <f t="shared" si="33"/>
        <v>844</v>
      </c>
      <c r="AS41" s="11">
        <f t="shared" si="33"/>
        <v>908</v>
      </c>
      <c r="AT41" s="11">
        <f t="shared" si="33"/>
        <v>912</v>
      </c>
      <c r="AU41" s="11">
        <f t="shared" si="33"/>
        <v>911</v>
      </c>
      <c r="AV41" s="11">
        <f t="shared" si="33"/>
        <v>973</v>
      </c>
      <c r="AW41" s="11">
        <f t="shared" ref="AW41:BB41" si="34">SUM(AW36:AW40)</f>
        <v>989</v>
      </c>
      <c r="AX41" s="11">
        <f t="shared" si="34"/>
        <v>915</v>
      </c>
      <c r="AY41" s="11">
        <f t="shared" si="34"/>
        <v>972</v>
      </c>
      <c r="AZ41" s="11">
        <f t="shared" si="34"/>
        <v>936</v>
      </c>
      <c r="BA41" s="11">
        <f t="shared" si="34"/>
        <v>921</v>
      </c>
      <c r="BB41" s="11">
        <f t="shared" si="34"/>
        <v>816</v>
      </c>
      <c r="BC41" s="8"/>
    </row>
    <row r="42" spans="1:55" ht="13.5" customHeight="1" x14ac:dyDescent="0.2">
      <c r="A42" s="7"/>
      <c r="B42" s="33" t="s">
        <v>71</v>
      </c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8"/>
    </row>
    <row r="43" spans="1:55" ht="13.5" customHeight="1" x14ac:dyDescent="0.2">
      <c r="A43" s="7"/>
      <c r="B43" s="3"/>
      <c r="C43" s="3" t="s"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>
        <v>480</v>
      </c>
      <c r="X43" s="2">
        <v>425</v>
      </c>
      <c r="Y43" s="2">
        <v>433</v>
      </c>
      <c r="Z43" s="2">
        <v>413</v>
      </c>
      <c r="AA43" s="2">
        <v>401</v>
      </c>
      <c r="AB43" s="2">
        <v>335</v>
      </c>
      <c r="AC43" s="2">
        <v>376</v>
      </c>
      <c r="AD43" s="2">
        <v>392</v>
      </c>
      <c r="AE43" s="2">
        <v>340</v>
      </c>
      <c r="AF43" s="2">
        <v>389</v>
      </c>
      <c r="AG43" s="2">
        <v>335</v>
      </c>
      <c r="AH43" s="2">
        <v>321</v>
      </c>
      <c r="AI43" s="2">
        <v>311</v>
      </c>
      <c r="AJ43" s="2">
        <v>336</v>
      </c>
      <c r="AK43" s="2">
        <v>310</v>
      </c>
      <c r="AL43" s="2">
        <v>272</v>
      </c>
      <c r="AM43" s="2">
        <v>278</v>
      </c>
      <c r="AN43" s="2">
        <v>299</v>
      </c>
      <c r="AO43" s="2">
        <v>311</v>
      </c>
      <c r="AP43" s="2">
        <v>305</v>
      </c>
      <c r="AQ43" s="2">
        <v>332</v>
      </c>
      <c r="AR43" s="2">
        <v>325</v>
      </c>
      <c r="AS43" s="2">
        <v>330</v>
      </c>
      <c r="AT43" s="2">
        <v>335</v>
      </c>
      <c r="AU43" s="2">
        <v>346</v>
      </c>
      <c r="AV43" s="2">
        <v>423</v>
      </c>
      <c r="AW43" s="2">
        <v>401</v>
      </c>
      <c r="AX43" s="2">
        <v>402</v>
      </c>
      <c r="AY43" s="2">
        <v>465</v>
      </c>
      <c r="AZ43" s="2">
        <v>549</v>
      </c>
      <c r="BA43" s="2">
        <v>486</v>
      </c>
      <c r="BB43" s="2">
        <v>522</v>
      </c>
      <c r="BC43" s="8"/>
    </row>
    <row r="44" spans="1:55" ht="13.5" customHeight="1" x14ac:dyDescent="0.2">
      <c r="A44" s="7"/>
      <c r="B44" s="3"/>
      <c r="C44" s="3" t="s">
        <v>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3"/>
      <c r="AQ44" s="2">
        <v>1</v>
      </c>
      <c r="AR44" s="2">
        <v>0</v>
      </c>
      <c r="AS44" s="2">
        <v>1</v>
      </c>
      <c r="AT44" s="2">
        <v>0</v>
      </c>
      <c r="AU44" s="2">
        <v>1</v>
      </c>
      <c r="AV44" s="2">
        <v>1</v>
      </c>
      <c r="AW44" s="2">
        <v>6</v>
      </c>
      <c r="AX44" s="2">
        <v>2</v>
      </c>
      <c r="AY44" s="2">
        <v>1</v>
      </c>
      <c r="AZ44" s="2">
        <v>0</v>
      </c>
      <c r="BA44" s="2">
        <v>3</v>
      </c>
      <c r="BB44" s="2">
        <v>1</v>
      </c>
      <c r="BC44" s="8"/>
    </row>
    <row r="45" spans="1:55" ht="13.5" customHeight="1" x14ac:dyDescent="0.2">
      <c r="A45" s="7"/>
      <c r="B45" s="3"/>
      <c r="C45" s="3" t="s">
        <v>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91</v>
      </c>
      <c r="X45" s="2">
        <v>96</v>
      </c>
      <c r="Y45" s="2">
        <v>100</v>
      </c>
      <c r="Z45" s="2">
        <v>146</v>
      </c>
      <c r="AA45" s="2">
        <v>169</v>
      </c>
      <c r="AB45" s="2">
        <v>188</v>
      </c>
      <c r="AC45" s="2">
        <v>180</v>
      </c>
      <c r="AD45" s="2">
        <v>120</v>
      </c>
      <c r="AE45" s="2">
        <v>133</v>
      </c>
      <c r="AF45" s="2">
        <v>122</v>
      </c>
      <c r="AG45" s="2">
        <v>120</v>
      </c>
      <c r="AH45" s="2">
        <v>78</v>
      </c>
      <c r="AI45" s="2">
        <v>76</v>
      </c>
      <c r="AJ45" s="2">
        <v>77</v>
      </c>
      <c r="AK45" s="2">
        <v>67</v>
      </c>
      <c r="AL45" s="2">
        <v>65</v>
      </c>
      <c r="AM45" s="2">
        <v>83</v>
      </c>
      <c r="AN45" s="2">
        <v>69</v>
      </c>
      <c r="AO45" s="2">
        <v>75</v>
      </c>
      <c r="AP45" s="2">
        <v>91</v>
      </c>
      <c r="AQ45" s="2">
        <v>55</v>
      </c>
      <c r="AR45" s="2">
        <v>96</v>
      </c>
      <c r="AS45" s="2">
        <v>88</v>
      </c>
      <c r="AT45" s="2">
        <v>75</v>
      </c>
      <c r="AU45" s="2">
        <v>103</v>
      </c>
      <c r="AV45" s="2">
        <v>98</v>
      </c>
      <c r="AW45" s="2">
        <v>124</v>
      </c>
      <c r="AX45" s="2">
        <v>123</v>
      </c>
      <c r="AY45" s="2">
        <v>145</v>
      </c>
      <c r="AZ45" s="2">
        <v>106</v>
      </c>
      <c r="BA45" s="2">
        <v>136</v>
      </c>
      <c r="BB45" s="2">
        <v>118</v>
      </c>
      <c r="BC45" s="8"/>
    </row>
    <row r="46" spans="1:55" ht="13.5" customHeight="1" x14ac:dyDescent="0.2">
      <c r="A46" s="7"/>
      <c r="B46" s="3"/>
      <c r="C46" s="3" t="s">
        <v>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12</v>
      </c>
      <c r="X46" s="2">
        <v>22</v>
      </c>
      <c r="Y46" s="2">
        <v>28</v>
      </c>
      <c r="Z46" s="2">
        <v>21</v>
      </c>
      <c r="AA46" s="2">
        <v>16</v>
      </c>
      <c r="AB46" s="2">
        <v>18</v>
      </c>
      <c r="AC46" s="2">
        <v>29</v>
      </c>
      <c r="AD46" s="2">
        <v>35</v>
      </c>
      <c r="AE46" s="2">
        <v>31</v>
      </c>
      <c r="AF46" s="2">
        <v>31</v>
      </c>
      <c r="AG46" s="2">
        <v>31</v>
      </c>
      <c r="AH46" s="2">
        <v>28</v>
      </c>
      <c r="AI46" s="2">
        <v>16</v>
      </c>
      <c r="AJ46" s="2">
        <v>30</v>
      </c>
      <c r="AK46" s="2">
        <v>13</v>
      </c>
      <c r="AL46" s="2">
        <v>16</v>
      </c>
      <c r="AM46" s="2">
        <v>25</v>
      </c>
      <c r="AN46" s="2">
        <v>13</v>
      </c>
      <c r="AO46" s="2">
        <v>20</v>
      </c>
      <c r="AP46" s="2">
        <v>28</v>
      </c>
      <c r="AQ46" s="2">
        <v>33</v>
      </c>
      <c r="AR46" s="2">
        <v>37</v>
      </c>
      <c r="AS46" s="2">
        <v>21</v>
      </c>
      <c r="AT46" s="2">
        <v>22</v>
      </c>
      <c r="AU46" s="2">
        <v>44</v>
      </c>
      <c r="AV46" s="2">
        <v>36</v>
      </c>
      <c r="AW46" s="2">
        <v>39</v>
      </c>
      <c r="AX46" s="2">
        <v>38</v>
      </c>
      <c r="AY46" s="2">
        <v>37</v>
      </c>
      <c r="AZ46" s="2">
        <v>36</v>
      </c>
      <c r="BA46" s="2">
        <v>47</v>
      </c>
      <c r="BB46" s="2">
        <v>51</v>
      </c>
      <c r="BC46" s="8"/>
    </row>
    <row r="47" spans="1:55" ht="13.5" customHeight="1" x14ac:dyDescent="0.2">
      <c r="A47" s="7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1">
        <f t="shared" ref="W47:AA47" si="35">SUM(W43:W46)</f>
        <v>583</v>
      </c>
      <c r="X47" s="11">
        <f t="shared" si="35"/>
        <v>543</v>
      </c>
      <c r="Y47" s="11">
        <f t="shared" si="35"/>
        <v>561</v>
      </c>
      <c r="Z47" s="11">
        <f t="shared" si="35"/>
        <v>580</v>
      </c>
      <c r="AA47" s="11">
        <f t="shared" si="35"/>
        <v>586</v>
      </c>
      <c r="AB47" s="11">
        <f t="shared" ref="AB47:AD47" si="36">SUM(AB43:AB46)</f>
        <v>541</v>
      </c>
      <c r="AC47" s="11">
        <f t="shared" si="36"/>
        <v>585</v>
      </c>
      <c r="AD47" s="11">
        <f t="shared" si="36"/>
        <v>547</v>
      </c>
      <c r="AE47" s="11">
        <f t="shared" ref="AE47:AG47" si="37">SUM(AE43:AE46)</f>
        <v>504</v>
      </c>
      <c r="AF47" s="11">
        <f t="shared" si="37"/>
        <v>542</v>
      </c>
      <c r="AG47" s="11">
        <f t="shared" si="37"/>
        <v>486</v>
      </c>
      <c r="AH47" s="11">
        <f t="shared" ref="AH47:AJ47" si="38">SUM(AH43:AH46)</f>
        <v>427</v>
      </c>
      <c r="AI47" s="11">
        <f t="shared" si="38"/>
        <v>403</v>
      </c>
      <c r="AJ47" s="11">
        <f t="shared" si="38"/>
        <v>443</v>
      </c>
      <c r="AK47" s="11">
        <f>SUM(AK43:AK46)</f>
        <v>390</v>
      </c>
      <c r="AL47" s="11">
        <f t="shared" ref="AL47:AV47" si="39">SUM(AL43:AL46)</f>
        <v>353</v>
      </c>
      <c r="AM47" s="11">
        <f t="shared" si="39"/>
        <v>386</v>
      </c>
      <c r="AN47" s="11">
        <f t="shared" si="39"/>
        <v>381</v>
      </c>
      <c r="AO47" s="11">
        <f t="shared" si="39"/>
        <v>406</v>
      </c>
      <c r="AP47" s="11">
        <f t="shared" si="39"/>
        <v>424</v>
      </c>
      <c r="AQ47" s="11">
        <f t="shared" si="39"/>
        <v>421</v>
      </c>
      <c r="AR47" s="11">
        <f t="shared" si="39"/>
        <v>458</v>
      </c>
      <c r="AS47" s="11">
        <f t="shared" si="39"/>
        <v>440</v>
      </c>
      <c r="AT47" s="11">
        <f t="shared" si="39"/>
        <v>432</v>
      </c>
      <c r="AU47" s="11">
        <f t="shared" si="39"/>
        <v>494</v>
      </c>
      <c r="AV47" s="11">
        <f t="shared" si="39"/>
        <v>558</v>
      </c>
      <c r="AW47" s="11">
        <f t="shared" ref="AW47:BB47" si="40">SUM(AW43:AW46)</f>
        <v>570</v>
      </c>
      <c r="AX47" s="11">
        <f t="shared" si="40"/>
        <v>565</v>
      </c>
      <c r="AY47" s="11">
        <f t="shared" si="40"/>
        <v>648</v>
      </c>
      <c r="AZ47" s="11">
        <f t="shared" si="40"/>
        <v>691</v>
      </c>
      <c r="BA47" s="11">
        <f t="shared" si="40"/>
        <v>672</v>
      </c>
      <c r="BB47" s="11">
        <f t="shared" si="40"/>
        <v>692</v>
      </c>
      <c r="BC47" s="8"/>
    </row>
    <row r="48" spans="1:55" ht="13.5" customHeight="1" x14ac:dyDescent="0.2">
      <c r="A48" s="7"/>
      <c r="B48" s="33" t="s">
        <v>92</v>
      </c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8"/>
    </row>
    <row r="49" spans="1:55" ht="13.5" customHeight="1" x14ac:dyDescent="0.2">
      <c r="A49" s="7"/>
      <c r="B49" s="3"/>
      <c r="C49" s="3" t="s"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26</v>
      </c>
      <c r="X49" s="2">
        <v>19</v>
      </c>
      <c r="Y49" s="2">
        <v>16</v>
      </c>
      <c r="Z49" s="2">
        <v>16</v>
      </c>
      <c r="AA49" s="2">
        <v>31</v>
      </c>
      <c r="AB49" s="2">
        <v>34</v>
      </c>
      <c r="AC49" s="2">
        <v>45</v>
      </c>
      <c r="AD49" s="2">
        <v>52</v>
      </c>
      <c r="AE49" s="2">
        <v>44</v>
      </c>
      <c r="AF49" s="2">
        <v>61</v>
      </c>
      <c r="AG49" s="2">
        <v>50</v>
      </c>
      <c r="AH49" s="2">
        <v>46</v>
      </c>
      <c r="AI49" s="2">
        <v>60</v>
      </c>
      <c r="AJ49" s="2">
        <v>64</v>
      </c>
      <c r="AK49" s="2">
        <v>61</v>
      </c>
      <c r="AL49" s="2">
        <v>40</v>
      </c>
      <c r="AM49" s="2">
        <v>61</v>
      </c>
      <c r="AN49" s="2">
        <v>59</v>
      </c>
      <c r="AO49" s="2">
        <v>59</v>
      </c>
      <c r="AP49" s="2">
        <v>59</v>
      </c>
      <c r="AQ49" s="2">
        <v>72</v>
      </c>
      <c r="AR49" s="2">
        <v>72</v>
      </c>
      <c r="AS49" s="2">
        <v>88</v>
      </c>
      <c r="AT49" s="2">
        <v>78</v>
      </c>
      <c r="AU49" s="2">
        <v>99</v>
      </c>
      <c r="AV49" s="2">
        <v>96</v>
      </c>
      <c r="AW49" s="2">
        <v>116</v>
      </c>
      <c r="AX49" s="2">
        <v>102</v>
      </c>
      <c r="AY49" s="2">
        <v>109</v>
      </c>
      <c r="AZ49" s="2">
        <v>93</v>
      </c>
      <c r="BA49" s="2">
        <v>87</v>
      </c>
      <c r="BB49" s="2">
        <v>97</v>
      </c>
      <c r="BC49" s="8"/>
    </row>
    <row r="50" spans="1:55" ht="13.5" customHeight="1" x14ac:dyDescent="0.2">
      <c r="A50" s="7"/>
      <c r="B50" s="3"/>
      <c r="C50" s="3" t="s">
        <v>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5</v>
      </c>
      <c r="X50" s="2">
        <v>4</v>
      </c>
      <c r="Y50" s="2">
        <v>10</v>
      </c>
      <c r="Z50" s="2">
        <v>10</v>
      </c>
      <c r="AA50" s="2">
        <v>10</v>
      </c>
      <c r="AB50" s="2">
        <v>14</v>
      </c>
      <c r="AC50" s="2">
        <v>14</v>
      </c>
      <c r="AD50" s="2">
        <v>9</v>
      </c>
      <c r="AE50" s="2">
        <v>21</v>
      </c>
      <c r="AF50" s="2">
        <v>8</v>
      </c>
      <c r="AG50" s="2">
        <v>21</v>
      </c>
      <c r="AH50" s="2">
        <v>9</v>
      </c>
      <c r="AI50" s="2">
        <v>13</v>
      </c>
      <c r="AJ50" s="2">
        <v>8</v>
      </c>
      <c r="AK50" s="2">
        <v>15</v>
      </c>
      <c r="AL50" s="2">
        <v>12</v>
      </c>
      <c r="AM50" s="2">
        <v>11</v>
      </c>
      <c r="AN50" s="2">
        <v>11</v>
      </c>
      <c r="AO50" s="2">
        <v>14</v>
      </c>
      <c r="AP50" s="2">
        <v>21</v>
      </c>
      <c r="AQ50" s="2">
        <v>21</v>
      </c>
      <c r="AR50" s="2">
        <v>15</v>
      </c>
      <c r="AS50" s="2">
        <v>16</v>
      </c>
      <c r="AT50" s="2">
        <v>16</v>
      </c>
      <c r="AU50" s="2">
        <v>21</v>
      </c>
      <c r="AV50" s="2">
        <v>18</v>
      </c>
      <c r="AW50" s="2">
        <v>8</v>
      </c>
      <c r="AX50" s="2">
        <v>17</v>
      </c>
      <c r="AY50" s="2">
        <v>15</v>
      </c>
      <c r="AZ50" s="2">
        <v>12</v>
      </c>
      <c r="BA50" s="2">
        <v>10</v>
      </c>
      <c r="BB50" s="2">
        <v>17</v>
      </c>
      <c r="BC50" s="8"/>
    </row>
    <row r="51" spans="1:55" ht="13.5" customHeight="1" x14ac:dyDescent="0.2">
      <c r="A51" s="7"/>
      <c r="B51" s="3"/>
      <c r="C51" s="3" t="s">
        <v>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0</v>
      </c>
      <c r="X51" s="2">
        <v>3</v>
      </c>
      <c r="Y51" s="2">
        <v>0</v>
      </c>
      <c r="Z51" s="2">
        <v>1</v>
      </c>
      <c r="AA51" s="2">
        <v>0</v>
      </c>
      <c r="AB51" s="2">
        <v>1</v>
      </c>
      <c r="AC51" s="2">
        <v>1</v>
      </c>
      <c r="AD51" s="2">
        <v>4</v>
      </c>
      <c r="AE51" s="2">
        <v>0</v>
      </c>
      <c r="AF51" s="3">
        <v>0</v>
      </c>
      <c r="AG51" s="2">
        <v>2</v>
      </c>
      <c r="AH51" s="2">
        <v>4</v>
      </c>
      <c r="AI51" s="2">
        <v>1</v>
      </c>
      <c r="AJ51" s="2">
        <v>6</v>
      </c>
      <c r="AK51" s="2">
        <v>4</v>
      </c>
      <c r="AL51" s="2">
        <v>3</v>
      </c>
      <c r="AM51" s="2">
        <v>4</v>
      </c>
      <c r="AN51" s="2">
        <v>7</v>
      </c>
      <c r="AO51" s="2">
        <v>3</v>
      </c>
      <c r="AP51" s="2">
        <v>2</v>
      </c>
      <c r="AQ51" s="2">
        <v>4</v>
      </c>
      <c r="AR51" s="2">
        <v>2</v>
      </c>
      <c r="AS51" s="2">
        <v>0</v>
      </c>
      <c r="AT51" s="2">
        <v>3</v>
      </c>
      <c r="AU51" s="2">
        <v>4</v>
      </c>
      <c r="AV51" s="2">
        <v>2</v>
      </c>
      <c r="AW51" s="2">
        <v>2</v>
      </c>
      <c r="AX51" s="2">
        <v>3</v>
      </c>
      <c r="AY51" s="2">
        <v>7</v>
      </c>
      <c r="AZ51" s="2">
        <v>4</v>
      </c>
      <c r="BA51" s="2">
        <v>2</v>
      </c>
      <c r="BB51" s="2">
        <v>3</v>
      </c>
      <c r="BC51" s="8"/>
    </row>
    <row r="52" spans="1:55" ht="13.5" customHeight="1" x14ac:dyDescent="0.2">
      <c r="A52" s="7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1">
        <f t="shared" ref="W52:AA52" si="41">SUM(W49:W51)</f>
        <v>31</v>
      </c>
      <c r="X52" s="11">
        <f t="shared" si="41"/>
        <v>26</v>
      </c>
      <c r="Y52" s="11">
        <f t="shared" si="41"/>
        <v>26</v>
      </c>
      <c r="Z52" s="11">
        <f t="shared" si="41"/>
        <v>27</v>
      </c>
      <c r="AA52" s="11">
        <f t="shared" si="41"/>
        <v>41</v>
      </c>
      <c r="AB52" s="11">
        <f t="shared" ref="AB52:AD52" si="42">SUM(AB49:AB51)</f>
        <v>49</v>
      </c>
      <c r="AC52" s="11">
        <f t="shared" si="42"/>
        <v>60</v>
      </c>
      <c r="AD52" s="11">
        <f t="shared" si="42"/>
        <v>65</v>
      </c>
      <c r="AE52" s="11">
        <f t="shared" ref="AE52:AG52" si="43">SUM(AE49:AE51)</f>
        <v>65</v>
      </c>
      <c r="AF52" s="11">
        <f t="shared" si="43"/>
        <v>69</v>
      </c>
      <c r="AG52" s="11">
        <f t="shared" si="43"/>
        <v>73</v>
      </c>
      <c r="AH52" s="11">
        <f t="shared" ref="AH52:AJ52" si="44">SUM(AH49:AH51)</f>
        <v>59</v>
      </c>
      <c r="AI52" s="11">
        <f t="shared" si="44"/>
        <v>74</v>
      </c>
      <c r="AJ52" s="11">
        <f t="shared" si="44"/>
        <v>78</v>
      </c>
      <c r="AK52" s="11">
        <f t="shared" ref="AK52:AV52" si="45">SUM(AK49:AK51)</f>
        <v>80</v>
      </c>
      <c r="AL52" s="11">
        <f t="shared" si="45"/>
        <v>55</v>
      </c>
      <c r="AM52" s="11">
        <f t="shared" si="45"/>
        <v>76</v>
      </c>
      <c r="AN52" s="11">
        <f t="shared" si="45"/>
        <v>77</v>
      </c>
      <c r="AO52" s="11">
        <f t="shared" si="45"/>
        <v>76</v>
      </c>
      <c r="AP52" s="11">
        <f t="shared" si="45"/>
        <v>82</v>
      </c>
      <c r="AQ52" s="11">
        <f t="shared" si="45"/>
        <v>97</v>
      </c>
      <c r="AR52" s="11">
        <f t="shared" si="45"/>
        <v>89</v>
      </c>
      <c r="AS52" s="11">
        <f t="shared" si="45"/>
        <v>104</v>
      </c>
      <c r="AT52" s="11">
        <f t="shared" si="45"/>
        <v>97</v>
      </c>
      <c r="AU52" s="11">
        <f t="shared" si="45"/>
        <v>124</v>
      </c>
      <c r="AV52" s="11">
        <f t="shared" si="45"/>
        <v>116</v>
      </c>
      <c r="AW52" s="11">
        <f t="shared" ref="AW52:BB52" si="46">SUM(AW49:AW51)</f>
        <v>126</v>
      </c>
      <c r="AX52" s="11">
        <f t="shared" si="46"/>
        <v>122</v>
      </c>
      <c r="AY52" s="11">
        <f t="shared" si="46"/>
        <v>131</v>
      </c>
      <c r="AZ52" s="11">
        <f t="shared" si="46"/>
        <v>109</v>
      </c>
      <c r="BA52" s="11">
        <f t="shared" si="46"/>
        <v>99</v>
      </c>
      <c r="BB52" s="11">
        <f t="shared" si="46"/>
        <v>117</v>
      </c>
      <c r="BC52" s="8"/>
    </row>
    <row r="53" spans="1:55" ht="13.5" customHeight="1" x14ac:dyDescent="0.2">
      <c r="A53" s="7"/>
      <c r="B53" s="33" t="s">
        <v>86</v>
      </c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8"/>
    </row>
    <row r="54" spans="1:55" ht="13.5" customHeight="1" x14ac:dyDescent="0.2">
      <c r="A54" s="7"/>
      <c r="B54" s="3"/>
      <c r="C54" s="3" t="s"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>
        <v>160</v>
      </c>
      <c r="X54" s="2">
        <v>178</v>
      </c>
      <c r="Y54" s="2">
        <v>191</v>
      </c>
      <c r="Z54" s="2">
        <v>185</v>
      </c>
      <c r="AA54" s="2">
        <v>177</v>
      </c>
      <c r="AB54" s="2">
        <v>200</v>
      </c>
      <c r="AC54" s="2">
        <v>232</v>
      </c>
      <c r="AD54" s="2">
        <v>244</v>
      </c>
      <c r="AE54" s="2">
        <v>253</v>
      </c>
      <c r="AF54" s="2">
        <v>200</v>
      </c>
      <c r="AG54" s="2">
        <v>189</v>
      </c>
      <c r="AH54" s="2">
        <v>190</v>
      </c>
      <c r="AI54" s="2">
        <v>228</v>
      </c>
      <c r="AJ54" s="2">
        <v>262</v>
      </c>
      <c r="AK54" s="2">
        <v>284</v>
      </c>
      <c r="AL54" s="2">
        <v>237</v>
      </c>
      <c r="AM54" s="2">
        <v>228</v>
      </c>
      <c r="AN54" s="2">
        <v>233</v>
      </c>
      <c r="AO54" s="2">
        <v>263</v>
      </c>
      <c r="AP54" s="2">
        <v>250</v>
      </c>
      <c r="AQ54" s="2">
        <v>234</v>
      </c>
      <c r="AR54" s="2">
        <v>278</v>
      </c>
      <c r="AS54" s="2">
        <v>298</v>
      </c>
      <c r="AT54" s="2">
        <v>274</v>
      </c>
      <c r="AU54" s="2">
        <v>275</v>
      </c>
      <c r="AV54" s="2">
        <v>279</v>
      </c>
      <c r="AW54" s="2">
        <v>309</v>
      </c>
      <c r="AX54" s="2">
        <v>318</v>
      </c>
      <c r="AY54" s="2">
        <v>269</v>
      </c>
      <c r="AZ54" s="2">
        <v>282</v>
      </c>
      <c r="BA54" s="2">
        <v>336</v>
      </c>
      <c r="BB54" s="2">
        <v>323</v>
      </c>
      <c r="BC54" s="8"/>
    </row>
    <row r="55" spans="1:55" ht="13.5" customHeight="1" x14ac:dyDescent="0.2">
      <c r="A55" s="7"/>
      <c r="B55" s="3"/>
      <c r="C55" s="3" t="s">
        <v>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3"/>
      <c r="AO55" s="2">
        <v>0</v>
      </c>
      <c r="AP55" s="2">
        <v>1</v>
      </c>
      <c r="AQ55" s="2">
        <v>0</v>
      </c>
      <c r="AR55" s="2">
        <v>3</v>
      </c>
      <c r="AS55" s="2">
        <v>0</v>
      </c>
      <c r="AT55" s="2">
        <v>0</v>
      </c>
      <c r="AU55" s="2">
        <v>3</v>
      </c>
      <c r="AV55" s="2">
        <v>2</v>
      </c>
      <c r="AW55" s="2">
        <v>1</v>
      </c>
      <c r="AX55" s="2">
        <v>3</v>
      </c>
      <c r="AY55" s="2">
        <v>5</v>
      </c>
      <c r="AZ55" s="2">
        <v>1</v>
      </c>
      <c r="BA55" s="2">
        <v>2</v>
      </c>
      <c r="BB55" s="2">
        <v>4</v>
      </c>
      <c r="BC55" s="8"/>
    </row>
    <row r="56" spans="1:55" ht="13.5" customHeight="1" x14ac:dyDescent="0.2">
      <c r="A56" s="7"/>
      <c r="B56" s="3"/>
      <c r="C56" s="3" t="s">
        <v>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10</v>
      </c>
      <c r="X56" s="2">
        <v>10</v>
      </c>
      <c r="Y56" s="2">
        <v>17</v>
      </c>
      <c r="Z56" s="2">
        <v>8</v>
      </c>
      <c r="AA56" s="2">
        <v>15</v>
      </c>
      <c r="AB56" s="2">
        <v>16</v>
      </c>
      <c r="AC56" s="2">
        <v>30</v>
      </c>
      <c r="AD56" s="2">
        <v>24</v>
      </c>
      <c r="AE56" s="2">
        <v>21</v>
      </c>
      <c r="AF56" s="2">
        <v>17</v>
      </c>
      <c r="AG56" s="2">
        <v>20</v>
      </c>
      <c r="AH56" s="2">
        <v>18</v>
      </c>
      <c r="AI56" s="2">
        <v>16</v>
      </c>
      <c r="AJ56" s="2">
        <v>15</v>
      </c>
      <c r="AK56" s="2">
        <v>14</v>
      </c>
      <c r="AL56" s="2">
        <v>23</v>
      </c>
      <c r="AM56" s="2">
        <v>14</v>
      </c>
      <c r="AN56" s="2">
        <v>13</v>
      </c>
      <c r="AO56" s="2">
        <v>29</v>
      </c>
      <c r="AP56" s="2">
        <v>23</v>
      </c>
      <c r="AQ56" s="2">
        <v>13</v>
      </c>
      <c r="AR56" s="2">
        <v>16</v>
      </c>
      <c r="AS56" s="2">
        <v>29</v>
      </c>
      <c r="AT56" s="2">
        <v>16</v>
      </c>
      <c r="AU56" s="2">
        <v>27</v>
      </c>
      <c r="AV56" s="2">
        <v>30</v>
      </c>
      <c r="AW56" s="2">
        <v>22</v>
      </c>
      <c r="AX56" s="2">
        <v>23</v>
      </c>
      <c r="AY56" s="2">
        <v>36</v>
      </c>
      <c r="AZ56" s="2">
        <v>38</v>
      </c>
      <c r="BA56" s="2">
        <v>32</v>
      </c>
      <c r="BB56" s="2">
        <v>29</v>
      </c>
      <c r="BC56" s="8"/>
    </row>
    <row r="57" spans="1:55" ht="13.5" customHeight="1" x14ac:dyDescent="0.2">
      <c r="A57" s="7"/>
      <c r="B57" s="3"/>
      <c r="C57" s="3" t="s">
        <v>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6</v>
      </c>
      <c r="X57" s="2">
        <v>9</v>
      </c>
      <c r="Y57" s="2">
        <v>3</v>
      </c>
      <c r="Z57" s="2">
        <v>1</v>
      </c>
      <c r="AA57" s="2">
        <v>4</v>
      </c>
      <c r="AB57" s="2">
        <v>1</v>
      </c>
      <c r="AC57" s="2">
        <v>8</v>
      </c>
      <c r="AD57" s="2">
        <v>5</v>
      </c>
      <c r="AE57" s="2">
        <v>3</v>
      </c>
      <c r="AF57" s="2">
        <v>5</v>
      </c>
      <c r="AG57" s="2">
        <v>6</v>
      </c>
      <c r="AH57" s="2">
        <v>3</v>
      </c>
      <c r="AI57" s="2">
        <v>6</v>
      </c>
      <c r="AJ57" s="2">
        <v>4</v>
      </c>
      <c r="AK57" s="2">
        <v>11</v>
      </c>
      <c r="AL57" s="3">
        <v>5</v>
      </c>
      <c r="AM57" s="2">
        <v>10</v>
      </c>
      <c r="AN57" s="2">
        <v>6</v>
      </c>
      <c r="AO57" s="2">
        <v>3</v>
      </c>
      <c r="AP57" s="2">
        <v>4</v>
      </c>
      <c r="AQ57" s="2">
        <v>5</v>
      </c>
      <c r="AR57" s="2">
        <v>4</v>
      </c>
      <c r="AS57" s="2">
        <v>8</v>
      </c>
      <c r="AT57" s="2">
        <v>7</v>
      </c>
      <c r="AU57" s="2">
        <v>8</v>
      </c>
      <c r="AV57" s="2">
        <v>7</v>
      </c>
      <c r="AW57" s="2">
        <v>9</v>
      </c>
      <c r="AX57" s="2">
        <v>11</v>
      </c>
      <c r="AY57" s="2">
        <v>17</v>
      </c>
      <c r="AZ57" s="2">
        <v>8</v>
      </c>
      <c r="BA57" s="2">
        <v>11</v>
      </c>
      <c r="BB57" s="2">
        <v>12</v>
      </c>
      <c r="BC57" s="8"/>
    </row>
    <row r="58" spans="1:55" ht="13.5" customHeight="1" x14ac:dyDescent="0.2">
      <c r="A58" s="7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1">
        <f t="shared" ref="W58:AA58" si="47">SUM(W54:W57)</f>
        <v>176</v>
      </c>
      <c r="X58" s="11">
        <f t="shared" si="47"/>
        <v>197</v>
      </c>
      <c r="Y58" s="11">
        <f t="shared" si="47"/>
        <v>211</v>
      </c>
      <c r="Z58" s="11">
        <f t="shared" si="47"/>
        <v>194</v>
      </c>
      <c r="AA58" s="11">
        <f t="shared" si="47"/>
        <v>196</v>
      </c>
      <c r="AB58" s="11">
        <f>SUM(AB54:AB57)</f>
        <v>217</v>
      </c>
      <c r="AC58" s="11">
        <f t="shared" ref="AC58:AD58" si="48">SUM(AC54:AC57)</f>
        <v>270</v>
      </c>
      <c r="AD58" s="11">
        <f t="shared" si="48"/>
        <v>273</v>
      </c>
      <c r="AE58" s="11">
        <f t="shared" ref="AE58:AG58" si="49">SUM(AE54:AE57)</f>
        <v>277</v>
      </c>
      <c r="AF58" s="11">
        <f t="shared" si="49"/>
        <v>222</v>
      </c>
      <c r="AG58" s="11">
        <f t="shared" si="49"/>
        <v>215</v>
      </c>
      <c r="AH58" s="11">
        <f t="shared" ref="AH58:AJ58" si="50">SUM(AH54:AH57)</f>
        <v>211</v>
      </c>
      <c r="AI58" s="11">
        <f t="shared" si="50"/>
        <v>250</v>
      </c>
      <c r="AJ58" s="11">
        <f t="shared" si="50"/>
        <v>281</v>
      </c>
      <c r="AK58" s="11">
        <f>SUM(AK54:AK57)</f>
        <v>309</v>
      </c>
      <c r="AL58" s="11">
        <f t="shared" ref="AL58:AV58" si="51">SUM(AL54:AL57)</f>
        <v>265</v>
      </c>
      <c r="AM58" s="11">
        <f t="shared" si="51"/>
        <v>252</v>
      </c>
      <c r="AN58" s="11">
        <f t="shared" si="51"/>
        <v>252</v>
      </c>
      <c r="AO58" s="11">
        <f t="shared" si="51"/>
        <v>295</v>
      </c>
      <c r="AP58" s="11">
        <f t="shared" si="51"/>
        <v>278</v>
      </c>
      <c r="AQ58" s="11">
        <f t="shared" si="51"/>
        <v>252</v>
      </c>
      <c r="AR58" s="11">
        <f t="shared" si="51"/>
        <v>301</v>
      </c>
      <c r="AS58" s="11">
        <f t="shared" si="51"/>
        <v>335</v>
      </c>
      <c r="AT58" s="11">
        <f t="shared" si="51"/>
        <v>297</v>
      </c>
      <c r="AU58" s="11">
        <f t="shared" si="51"/>
        <v>313</v>
      </c>
      <c r="AV58" s="11">
        <f t="shared" si="51"/>
        <v>318</v>
      </c>
      <c r="AW58" s="11">
        <f t="shared" ref="AW58:BB58" si="52">SUM(AW54:AW57)</f>
        <v>341</v>
      </c>
      <c r="AX58" s="11">
        <f t="shared" si="52"/>
        <v>355</v>
      </c>
      <c r="AY58" s="11">
        <f t="shared" si="52"/>
        <v>327</v>
      </c>
      <c r="AZ58" s="11">
        <f t="shared" si="52"/>
        <v>329</v>
      </c>
      <c r="BA58" s="11">
        <f t="shared" si="52"/>
        <v>381</v>
      </c>
      <c r="BB58" s="11">
        <f t="shared" si="52"/>
        <v>368</v>
      </c>
      <c r="BC58" s="8"/>
    </row>
    <row r="59" spans="1:55" ht="13.5" customHeight="1" x14ac:dyDescent="0.2">
      <c r="A59" s="7"/>
      <c r="B59" s="33" t="s">
        <v>87</v>
      </c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8"/>
    </row>
    <row r="60" spans="1:55" ht="13.5" customHeight="1" x14ac:dyDescent="0.2">
      <c r="A60" s="7"/>
      <c r="B60" s="3"/>
      <c r="C60" s="3" t="s">
        <v>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>
        <v>0</v>
      </c>
      <c r="AM60" s="2">
        <v>33</v>
      </c>
      <c r="AN60" s="2">
        <v>0</v>
      </c>
      <c r="AO60" s="2">
        <v>1</v>
      </c>
      <c r="AP60" s="2">
        <v>18</v>
      </c>
      <c r="AQ60" s="2">
        <v>0</v>
      </c>
      <c r="AR60" s="2">
        <v>21</v>
      </c>
      <c r="AS60" s="2">
        <v>16</v>
      </c>
      <c r="AT60" s="2">
        <v>37</v>
      </c>
      <c r="AU60" s="2">
        <v>39</v>
      </c>
      <c r="AV60" s="2">
        <v>26</v>
      </c>
      <c r="AW60" s="2">
        <v>41</v>
      </c>
      <c r="AX60" s="2">
        <v>25</v>
      </c>
      <c r="AY60" s="2">
        <v>21</v>
      </c>
      <c r="AZ60" s="2">
        <v>20</v>
      </c>
      <c r="BA60" s="2">
        <v>16</v>
      </c>
      <c r="BB60" s="2">
        <v>24</v>
      </c>
      <c r="BC60" s="8"/>
    </row>
    <row r="61" spans="1:55" ht="13.5" customHeight="1" x14ac:dyDescent="0.2">
      <c r="A61" s="7"/>
      <c r="B61" s="3"/>
      <c r="C61" s="3" t="s">
        <v>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>
        <v>0</v>
      </c>
      <c r="AJ61" s="2">
        <v>6</v>
      </c>
      <c r="AK61" s="2">
        <v>4</v>
      </c>
      <c r="AL61" s="2">
        <v>13</v>
      </c>
      <c r="AM61" s="2">
        <f>15-AM67</f>
        <v>7</v>
      </c>
      <c r="AN61" s="2">
        <v>12</v>
      </c>
      <c r="AO61" s="2">
        <v>10</v>
      </c>
      <c r="AP61" s="2">
        <v>7</v>
      </c>
      <c r="AQ61" s="2">
        <v>13</v>
      </c>
      <c r="AR61" s="2">
        <v>15</v>
      </c>
      <c r="AS61" s="2">
        <v>13</v>
      </c>
      <c r="AT61" s="2">
        <v>7</v>
      </c>
      <c r="AU61" s="2">
        <v>19</v>
      </c>
      <c r="AV61" s="2">
        <v>8</v>
      </c>
      <c r="AW61" s="2">
        <v>14</v>
      </c>
      <c r="AX61" s="2">
        <v>8</v>
      </c>
      <c r="AY61" s="2">
        <v>12</v>
      </c>
      <c r="AZ61" s="2">
        <v>7</v>
      </c>
      <c r="BA61" s="2">
        <v>6</v>
      </c>
      <c r="BB61" s="2">
        <v>3</v>
      </c>
      <c r="BC61" s="8"/>
    </row>
    <row r="62" spans="1:55" ht="13.5" hidden="1" customHeight="1" x14ac:dyDescent="0.2">
      <c r="A62" s="7"/>
      <c r="B62" s="3"/>
      <c r="C62" s="3" t="s">
        <v>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9">
        <f>5-AM68</f>
        <v>0</v>
      </c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8"/>
    </row>
    <row r="63" spans="1:55" ht="13.5" customHeight="1" x14ac:dyDescent="0.2">
      <c r="A63" s="7"/>
      <c r="B63" s="3"/>
      <c r="C63" s="3" t="s">
        <v>32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137</v>
      </c>
      <c r="X63" s="2">
        <v>134</v>
      </c>
      <c r="Y63" s="2">
        <v>131</v>
      </c>
      <c r="Z63" s="2">
        <v>154</v>
      </c>
      <c r="AA63" s="2">
        <v>158</v>
      </c>
      <c r="AB63" s="2">
        <v>149</v>
      </c>
      <c r="AC63" s="2">
        <v>130</v>
      </c>
      <c r="AD63" s="2">
        <v>131</v>
      </c>
      <c r="AE63" s="2">
        <v>121</v>
      </c>
      <c r="AF63" s="2">
        <v>153</v>
      </c>
      <c r="AG63" s="2">
        <v>121</v>
      </c>
      <c r="AH63" s="2">
        <v>131</v>
      </c>
      <c r="AI63" s="2">
        <v>185</v>
      </c>
      <c r="AJ63" s="2">
        <v>166</v>
      </c>
      <c r="AK63" s="2">
        <v>157</v>
      </c>
      <c r="AL63" s="2">
        <v>139</v>
      </c>
      <c r="AM63" s="2">
        <v>172</v>
      </c>
      <c r="AN63" s="2">
        <v>175</v>
      </c>
      <c r="AO63" s="2">
        <v>138</v>
      </c>
      <c r="AP63" s="2">
        <v>139</v>
      </c>
      <c r="AQ63" s="2">
        <v>143</v>
      </c>
      <c r="AR63" s="2">
        <v>148</v>
      </c>
      <c r="AS63" s="2">
        <v>152</v>
      </c>
      <c r="AT63" s="2">
        <v>141</v>
      </c>
      <c r="AU63" s="2">
        <v>144</v>
      </c>
      <c r="AV63" s="2">
        <v>142</v>
      </c>
      <c r="AW63" s="2">
        <v>133</v>
      </c>
      <c r="AX63" s="2">
        <v>132</v>
      </c>
      <c r="AY63" s="2">
        <v>132</v>
      </c>
      <c r="AZ63" s="2">
        <v>114</v>
      </c>
      <c r="BA63" s="2">
        <v>101</v>
      </c>
      <c r="BB63" s="2">
        <v>94</v>
      </c>
      <c r="BC63" s="8"/>
    </row>
    <row r="64" spans="1:55" ht="13.5" customHeight="1" x14ac:dyDescent="0.2">
      <c r="A64" s="7"/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1">
        <f t="shared" ref="W64:AA64" si="53">W63</f>
        <v>137</v>
      </c>
      <c r="X64" s="11">
        <f t="shared" si="53"/>
        <v>134</v>
      </c>
      <c r="Y64" s="11">
        <f t="shared" si="53"/>
        <v>131</v>
      </c>
      <c r="Z64" s="11">
        <f t="shared" si="53"/>
        <v>154</v>
      </c>
      <c r="AA64" s="11">
        <f t="shared" si="53"/>
        <v>158</v>
      </c>
      <c r="AB64" s="11">
        <f t="shared" ref="AB64:AD64" si="54">AB63</f>
        <v>149</v>
      </c>
      <c r="AC64" s="11">
        <f t="shared" si="54"/>
        <v>130</v>
      </c>
      <c r="AD64" s="11">
        <f t="shared" si="54"/>
        <v>131</v>
      </c>
      <c r="AE64" s="11">
        <f t="shared" ref="AE64:AG64" si="55">AE63</f>
        <v>121</v>
      </c>
      <c r="AF64" s="11">
        <f t="shared" si="55"/>
        <v>153</v>
      </c>
      <c r="AG64" s="11">
        <f t="shared" si="55"/>
        <v>121</v>
      </c>
      <c r="AH64" s="11">
        <f>AH63</f>
        <v>131</v>
      </c>
      <c r="AI64" s="11">
        <f t="shared" ref="AI64:AJ64" si="56">SUM(AI61:AI63)</f>
        <v>185</v>
      </c>
      <c r="AJ64" s="11">
        <f t="shared" si="56"/>
        <v>172</v>
      </c>
      <c r="AK64" s="11">
        <f>SUM(AK61:AK63)</f>
        <v>161</v>
      </c>
      <c r="AL64" s="11">
        <f t="shared" ref="AL64:AV64" si="57">SUM(AL60:AL63)</f>
        <v>152</v>
      </c>
      <c r="AM64" s="11">
        <f t="shared" si="57"/>
        <v>212</v>
      </c>
      <c r="AN64" s="11">
        <f t="shared" si="57"/>
        <v>187</v>
      </c>
      <c r="AO64" s="11">
        <f t="shared" si="57"/>
        <v>149</v>
      </c>
      <c r="AP64" s="11">
        <f t="shared" si="57"/>
        <v>164</v>
      </c>
      <c r="AQ64" s="11">
        <f t="shared" si="57"/>
        <v>156</v>
      </c>
      <c r="AR64" s="11">
        <f t="shared" si="57"/>
        <v>184</v>
      </c>
      <c r="AS64" s="11">
        <f t="shared" si="57"/>
        <v>181</v>
      </c>
      <c r="AT64" s="11">
        <f t="shared" si="57"/>
        <v>185</v>
      </c>
      <c r="AU64" s="11">
        <f t="shared" si="57"/>
        <v>202</v>
      </c>
      <c r="AV64" s="11">
        <f t="shared" si="57"/>
        <v>176</v>
      </c>
      <c r="AW64" s="11">
        <f t="shared" ref="AW64:BB64" si="58">SUM(AW60:AW63)</f>
        <v>188</v>
      </c>
      <c r="AX64" s="11">
        <f t="shared" si="58"/>
        <v>165</v>
      </c>
      <c r="AY64" s="11">
        <f t="shared" si="58"/>
        <v>165</v>
      </c>
      <c r="AZ64" s="11">
        <f t="shared" si="58"/>
        <v>141</v>
      </c>
      <c r="BA64" s="11">
        <f t="shared" si="58"/>
        <v>123</v>
      </c>
      <c r="BB64" s="11">
        <f t="shared" si="58"/>
        <v>121</v>
      </c>
      <c r="BC64" s="8"/>
    </row>
    <row r="65" spans="1:55" ht="13.5" customHeight="1" x14ac:dyDescent="0.2">
      <c r="A65" s="7"/>
      <c r="B65" s="33" t="s">
        <v>88</v>
      </c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8"/>
    </row>
    <row r="66" spans="1:55" ht="13.5" customHeight="1" x14ac:dyDescent="0.2">
      <c r="A66" s="7"/>
      <c r="B66" s="3"/>
      <c r="C66" s="3" t="s"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>
        <v>81</v>
      </c>
      <c r="X66" s="2">
        <v>136</v>
      </c>
      <c r="Y66" s="2">
        <v>140</v>
      </c>
      <c r="Z66" s="2">
        <v>151</v>
      </c>
      <c r="AA66" s="2">
        <v>160</v>
      </c>
      <c r="AB66" s="2">
        <v>139</v>
      </c>
      <c r="AC66" s="2">
        <v>164</v>
      </c>
      <c r="AD66" s="2">
        <v>128</v>
      </c>
      <c r="AE66" s="2">
        <v>113</v>
      </c>
      <c r="AF66" s="2">
        <v>91</v>
      </c>
      <c r="AG66" s="2">
        <v>87</v>
      </c>
      <c r="AH66" s="2">
        <v>108</v>
      </c>
      <c r="AI66" s="2">
        <v>98</v>
      </c>
      <c r="AJ66" s="2">
        <v>125</v>
      </c>
      <c r="AK66" s="2">
        <v>97</v>
      </c>
      <c r="AL66" s="2">
        <v>110</v>
      </c>
      <c r="AM66" s="2">
        <v>119</v>
      </c>
      <c r="AN66" s="2">
        <v>126</v>
      </c>
      <c r="AO66" s="2">
        <v>123</v>
      </c>
      <c r="AP66" s="2">
        <v>99</v>
      </c>
      <c r="AQ66" s="2">
        <v>124</v>
      </c>
      <c r="AR66" s="2">
        <v>125</v>
      </c>
      <c r="AS66" s="2">
        <v>133</v>
      </c>
      <c r="AT66" s="2">
        <v>128</v>
      </c>
      <c r="AU66" s="2">
        <v>135</v>
      </c>
      <c r="AV66" s="2">
        <v>155</v>
      </c>
      <c r="AW66" s="2">
        <v>141</v>
      </c>
      <c r="AX66" s="2">
        <v>132</v>
      </c>
      <c r="AY66" s="2">
        <v>126</v>
      </c>
      <c r="AZ66" s="2">
        <v>95</v>
      </c>
      <c r="BA66" s="2">
        <v>90</v>
      </c>
      <c r="BB66" s="2">
        <v>100</v>
      </c>
      <c r="BC66" s="8"/>
    </row>
    <row r="67" spans="1:55" ht="13.5" customHeight="1" x14ac:dyDescent="0.2">
      <c r="A67" s="7"/>
      <c r="B67" s="3"/>
      <c r="C67" s="3" t="s">
        <v>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>
        <v>12</v>
      </c>
      <c r="X67" s="2">
        <v>16</v>
      </c>
      <c r="Y67" s="2">
        <v>27</v>
      </c>
      <c r="Z67" s="2">
        <v>27</v>
      </c>
      <c r="AA67" s="2">
        <v>25</v>
      </c>
      <c r="AB67" s="2">
        <v>24</v>
      </c>
      <c r="AC67" s="2">
        <v>28</v>
      </c>
      <c r="AD67" s="2">
        <v>19</v>
      </c>
      <c r="AE67" s="2">
        <v>13</v>
      </c>
      <c r="AF67" s="2">
        <v>8</v>
      </c>
      <c r="AG67" s="2">
        <v>14</v>
      </c>
      <c r="AH67" s="2">
        <v>9</v>
      </c>
      <c r="AI67" s="2">
        <v>15</v>
      </c>
      <c r="AJ67" s="2">
        <v>3</v>
      </c>
      <c r="AK67" s="2">
        <v>9</v>
      </c>
      <c r="AL67" s="2">
        <v>7</v>
      </c>
      <c r="AM67" s="2">
        <v>8</v>
      </c>
      <c r="AN67" s="2">
        <v>10</v>
      </c>
      <c r="AO67" s="2">
        <v>10</v>
      </c>
      <c r="AP67" s="2">
        <v>4</v>
      </c>
      <c r="AQ67" s="2">
        <v>14</v>
      </c>
      <c r="AR67" s="2">
        <v>16</v>
      </c>
      <c r="AS67" s="2">
        <v>7</v>
      </c>
      <c r="AT67" s="2">
        <v>9</v>
      </c>
      <c r="AU67" s="2">
        <v>6</v>
      </c>
      <c r="AV67" s="2">
        <v>3</v>
      </c>
      <c r="AW67" s="2">
        <v>6</v>
      </c>
      <c r="AX67" s="2">
        <v>7</v>
      </c>
      <c r="AY67" s="2">
        <v>4</v>
      </c>
      <c r="AZ67" s="2">
        <v>7</v>
      </c>
      <c r="BA67" s="2">
        <v>9</v>
      </c>
      <c r="BB67" s="2">
        <v>6</v>
      </c>
      <c r="BC67" s="8"/>
    </row>
    <row r="68" spans="1:55" ht="13.5" customHeight="1" x14ac:dyDescent="0.2">
      <c r="A68" s="7"/>
      <c r="B68" s="3"/>
      <c r="C68" s="3" t="s">
        <v>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>
        <v>7</v>
      </c>
      <c r="X68" s="2">
        <v>7</v>
      </c>
      <c r="Y68" s="2">
        <v>12</v>
      </c>
      <c r="Z68" s="2">
        <v>9</v>
      </c>
      <c r="AA68" s="2">
        <v>11</v>
      </c>
      <c r="AB68" s="2">
        <v>8</v>
      </c>
      <c r="AC68" s="2">
        <v>12</v>
      </c>
      <c r="AD68" s="2">
        <v>6</v>
      </c>
      <c r="AE68" s="2">
        <v>12</v>
      </c>
      <c r="AF68" s="2">
        <v>11</v>
      </c>
      <c r="AG68" s="2">
        <v>11</v>
      </c>
      <c r="AH68" s="2">
        <v>7</v>
      </c>
      <c r="AI68" s="2">
        <v>10</v>
      </c>
      <c r="AJ68" s="2">
        <v>10</v>
      </c>
      <c r="AK68" s="2">
        <v>7</v>
      </c>
      <c r="AL68" s="2">
        <v>11</v>
      </c>
      <c r="AM68" s="2">
        <v>5</v>
      </c>
      <c r="AN68" s="2">
        <v>14</v>
      </c>
      <c r="AO68" s="2">
        <v>12</v>
      </c>
      <c r="AP68" s="2">
        <v>11</v>
      </c>
      <c r="AQ68" s="2">
        <v>5</v>
      </c>
      <c r="AR68" s="2">
        <v>13</v>
      </c>
      <c r="AS68" s="2">
        <v>12</v>
      </c>
      <c r="AT68" s="2">
        <v>9</v>
      </c>
      <c r="AU68" s="2">
        <v>14</v>
      </c>
      <c r="AV68" s="2">
        <v>13</v>
      </c>
      <c r="AW68" s="2">
        <v>10</v>
      </c>
      <c r="AX68" s="2">
        <v>16</v>
      </c>
      <c r="AY68" s="2">
        <v>10</v>
      </c>
      <c r="AZ68" s="2">
        <v>11</v>
      </c>
      <c r="BA68" s="2">
        <v>9</v>
      </c>
      <c r="BB68" s="2">
        <v>15</v>
      </c>
      <c r="BC68" s="8"/>
    </row>
    <row r="69" spans="1:55" ht="13.5" customHeight="1" x14ac:dyDescent="0.2">
      <c r="A69" s="7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1">
        <f t="shared" ref="W69:AA69" si="59">SUM(W66:W68)</f>
        <v>100</v>
      </c>
      <c r="X69" s="11">
        <f t="shared" si="59"/>
        <v>159</v>
      </c>
      <c r="Y69" s="11">
        <f t="shared" si="59"/>
        <v>179</v>
      </c>
      <c r="Z69" s="11">
        <f t="shared" si="59"/>
        <v>187</v>
      </c>
      <c r="AA69" s="11">
        <f t="shared" si="59"/>
        <v>196</v>
      </c>
      <c r="AB69" s="11">
        <f t="shared" ref="AB69:AD69" si="60">SUM(AB66:AB68)</f>
        <v>171</v>
      </c>
      <c r="AC69" s="11">
        <f t="shared" si="60"/>
        <v>204</v>
      </c>
      <c r="AD69" s="11">
        <f t="shared" si="60"/>
        <v>153</v>
      </c>
      <c r="AE69" s="11">
        <f t="shared" ref="AE69:AG69" si="61">SUM(AE66:AE68)</f>
        <v>138</v>
      </c>
      <c r="AF69" s="11">
        <f t="shared" si="61"/>
        <v>110</v>
      </c>
      <c r="AG69" s="11">
        <f t="shared" si="61"/>
        <v>112</v>
      </c>
      <c r="AH69" s="11">
        <f t="shared" ref="AH69:AJ69" si="62">SUM(AH66:AH68)</f>
        <v>124</v>
      </c>
      <c r="AI69" s="11">
        <f t="shared" si="62"/>
        <v>123</v>
      </c>
      <c r="AJ69" s="11">
        <f t="shared" si="62"/>
        <v>138</v>
      </c>
      <c r="AK69" s="11">
        <f t="shared" ref="AK69:AV69" si="63">SUM(AK66:AK68)</f>
        <v>113</v>
      </c>
      <c r="AL69" s="11">
        <f t="shared" si="63"/>
        <v>128</v>
      </c>
      <c r="AM69" s="11">
        <f t="shared" si="63"/>
        <v>132</v>
      </c>
      <c r="AN69" s="11">
        <f t="shared" si="63"/>
        <v>150</v>
      </c>
      <c r="AO69" s="11">
        <f t="shared" si="63"/>
        <v>145</v>
      </c>
      <c r="AP69" s="11">
        <f t="shared" si="63"/>
        <v>114</v>
      </c>
      <c r="AQ69" s="11">
        <f t="shared" si="63"/>
        <v>143</v>
      </c>
      <c r="AR69" s="11">
        <f t="shared" si="63"/>
        <v>154</v>
      </c>
      <c r="AS69" s="11">
        <f t="shared" si="63"/>
        <v>152</v>
      </c>
      <c r="AT69" s="11">
        <f t="shared" si="63"/>
        <v>146</v>
      </c>
      <c r="AU69" s="11">
        <f t="shared" si="63"/>
        <v>155</v>
      </c>
      <c r="AV69" s="11">
        <f t="shared" si="63"/>
        <v>171</v>
      </c>
      <c r="AW69" s="11">
        <f t="shared" ref="AW69:BB69" si="64">SUM(AW66:AW68)</f>
        <v>157</v>
      </c>
      <c r="AX69" s="11">
        <f t="shared" si="64"/>
        <v>155</v>
      </c>
      <c r="AY69" s="11">
        <f t="shared" si="64"/>
        <v>140</v>
      </c>
      <c r="AZ69" s="11">
        <f t="shared" si="64"/>
        <v>113</v>
      </c>
      <c r="BA69" s="11">
        <f t="shared" si="64"/>
        <v>108</v>
      </c>
      <c r="BB69" s="11">
        <f t="shared" si="64"/>
        <v>121</v>
      </c>
      <c r="BC69" s="8"/>
    </row>
    <row r="70" spans="1:55" ht="13.5" customHeight="1" x14ac:dyDescent="0.2">
      <c r="A70" s="7"/>
      <c r="B70" s="33" t="s">
        <v>91</v>
      </c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8"/>
    </row>
    <row r="71" spans="1:55" ht="13.5" customHeight="1" x14ac:dyDescent="0.2">
      <c r="A71" s="7"/>
      <c r="B71" s="3"/>
      <c r="C71" s="3" t="s"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39</v>
      </c>
      <c r="X71" s="2">
        <v>32</v>
      </c>
      <c r="Y71" s="2">
        <v>59</v>
      </c>
      <c r="Z71" s="2">
        <v>41</v>
      </c>
      <c r="AA71" s="2">
        <v>69</v>
      </c>
      <c r="AB71" s="2">
        <v>73</v>
      </c>
      <c r="AC71" s="2">
        <v>61</v>
      </c>
      <c r="AD71" s="2">
        <v>30</v>
      </c>
      <c r="AE71" s="2">
        <v>33</v>
      </c>
      <c r="AF71" s="2">
        <v>48</v>
      </c>
      <c r="AG71" s="2">
        <v>38</v>
      </c>
      <c r="AH71" s="2">
        <v>29</v>
      </c>
      <c r="AI71" s="2">
        <v>18</v>
      </c>
      <c r="AJ71" s="2">
        <v>21</v>
      </c>
      <c r="AK71" s="2">
        <v>17</v>
      </c>
      <c r="AL71" s="2">
        <v>32</v>
      </c>
      <c r="AM71" s="2">
        <v>56</v>
      </c>
      <c r="AN71" s="2">
        <v>57</v>
      </c>
      <c r="AO71" s="2">
        <v>70</v>
      </c>
      <c r="AP71" s="2">
        <v>77</v>
      </c>
      <c r="AQ71" s="2">
        <v>90</v>
      </c>
      <c r="AR71" s="2">
        <v>90</v>
      </c>
      <c r="AS71" s="2">
        <v>95</v>
      </c>
      <c r="AT71" s="2">
        <v>86</v>
      </c>
      <c r="AU71" s="2">
        <v>116</v>
      </c>
      <c r="AV71" s="2">
        <v>112</v>
      </c>
      <c r="AW71" s="2">
        <v>124</v>
      </c>
      <c r="AX71" s="2">
        <v>70</v>
      </c>
      <c r="AY71" s="2">
        <v>134</v>
      </c>
      <c r="AZ71" s="2">
        <v>91</v>
      </c>
      <c r="BA71" s="2">
        <v>118</v>
      </c>
      <c r="BB71" s="2">
        <v>110</v>
      </c>
      <c r="BC71" s="8"/>
    </row>
    <row r="72" spans="1:55" ht="13.5" customHeight="1" x14ac:dyDescent="0.2">
      <c r="A72" s="7"/>
      <c r="B72" s="33" t="s">
        <v>90</v>
      </c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8"/>
    </row>
    <row r="73" spans="1:55" ht="13.5" hidden="1" customHeight="1" x14ac:dyDescent="0.2">
      <c r="A73" s="7"/>
      <c r="B73" s="3"/>
      <c r="C73" s="3" t="s"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v>0</v>
      </c>
      <c r="X73" s="3">
        <v>3</v>
      </c>
      <c r="Y73" s="3">
        <v>2</v>
      </c>
      <c r="Z73" s="3">
        <v>4</v>
      </c>
      <c r="AA73" s="3">
        <v>3</v>
      </c>
      <c r="AB73" s="3">
        <v>1</v>
      </c>
      <c r="AC73" s="3"/>
      <c r="AD73" s="3"/>
      <c r="AE73" s="3"/>
      <c r="AF73" s="3"/>
      <c r="AG73" s="3"/>
      <c r="AH73" s="3"/>
      <c r="AI73" s="3"/>
      <c r="AJ73" s="3"/>
      <c r="AK73" s="2"/>
      <c r="AL73" s="2"/>
      <c r="AM73" s="2"/>
      <c r="AN73" s="3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8"/>
    </row>
    <row r="74" spans="1:55" ht="13.5" customHeight="1" x14ac:dyDescent="0.2">
      <c r="A74" s="7"/>
      <c r="B74" s="3"/>
      <c r="C74" s="3" t="s">
        <v>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>
        <v>47</v>
      </c>
      <c r="X74" s="3">
        <v>36</v>
      </c>
      <c r="Y74" s="3">
        <v>56</v>
      </c>
      <c r="Z74" s="3">
        <v>83</v>
      </c>
      <c r="AA74" s="3">
        <v>100</v>
      </c>
      <c r="AB74" s="3">
        <v>105</v>
      </c>
      <c r="AC74" s="3">
        <v>91</v>
      </c>
      <c r="AD74" s="3">
        <v>113</v>
      </c>
      <c r="AE74" s="3">
        <v>88</v>
      </c>
      <c r="AF74" s="3">
        <v>95</v>
      </c>
      <c r="AG74" s="3">
        <v>66</v>
      </c>
      <c r="AH74" s="3">
        <v>46</v>
      </c>
      <c r="AI74" s="3">
        <v>0</v>
      </c>
      <c r="AJ74" s="3">
        <v>0</v>
      </c>
      <c r="AK74" s="2">
        <v>2</v>
      </c>
      <c r="AL74" s="2">
        <v>2</v>
      </c>
      <c r="AM74" s="2">
        <v>1</v>
      </c>
      <c r="AN74" s="3">
        <v>1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>
        <v>20</v>
      </c>
      <c r="BC74" s="8"/>
    </row>
    <row r="75" spans="1:55" ht="13.5" hidden="1" customHeight="1" x14ac:dyDescent="0.2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2">
        <f t="shared" ref="W75:AA75" si="65">SUM(W73:W74)</f>
        <v>47</v>
      </c>
      <c r="X75" s="22">
        <f t="shared" si="65"/>
        <v>39</v>
      </c>
      <c r="Y75" s="22">
        <f t="shared" si="65"/>
        <v>58</v>
      </c>
      <c r="Z75" s="22">
        <f t="shared" si="65"/>
        <v>87</v>
      </c>
      <c r="AA75" s="22">
        <f t="shared" si="65"/>
        <v>103</v>
      </c>
      <c r="AB75" s="22">
        <f>SUM(AB73:AB74)</f>
        <v>106</v>
      </c>
      <c r="AC75" s="22">
        <f>AC74</f>
        <v>91</v>
      </c>
      <c r="AD75" s="22">
        <f t="shared" ref="AD75:AN75" si="66">AD74</f>
        <v>113</v>
      </c>
      <c r="AE75" s="22">
        <f t="shared" si="66"/>
        <v>88</v>
      </c>
      <c r="AF75" s="22">
        <f t="shared" si="66"/>
        <v>95</v>
      </c>
      <c r="AG75" s="22">
        <f t="shared" si="66"/>
        <v>66</v>
      </c>
      <c r="AH75" s="22">
        <f t="shared" si="66"/>
        <v>46</v>
      </c>
      <c r="AI75" s="22">
        <f t="shared" si="66"/>
        <v>0</v>
      </c>
      <c r="AJ75" s="22">
        <f t="shared" si="66"/>
        <v>0</v>
      </c>
      <c r="AK75" s="22">
        <f t="shared" si="66"/>
        <v>2</v>
      </c>
      <c r="AL75" s="22">
        <f t="shared" si="66"/>
        <v>2</v>
      </c>
      <c r="AM75" s="22">
        <f t="shared" si="66"/>
        <v>1</v>
      </c>
      <c r="AN75" s="22">
        <f t="shared" si="66"/>
        <v>1</v>
      </c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8"/>
    </row>
    <row r="76" spans="1:55" ht="13.5" customHeight="1" x14ac:dyDescent="0.2">
      <c r="A76" s="7"/>
      <c r="B76" s="33" t="s">
        <v>89</v>
      </c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8"/>
    </row>
    <row r="77" spans="1:55" ht="13.5" customHeight="1" x14ac:dyDescent="0.2">
      <c r="A77" s="7"/>
      <c r="B77" s="3"/>
      <c r="C77" s="3" t="s"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>
        <v>109</v>
      </c>
      <c r="X77" s="2">
        <v>85</v>
      </c>
      <c r="Y77" s="2">
        <v>69</v>
      </c>
      <c r="Z77" s="2">
        <v>87</v>
      </c>
      <c r="AA77" s="2">
        <v>108</v>
      </c>
      <c r="AB77" s="2">
        <v>131</v>
      </c>
      <c r="AC77" s="2">
        <v>128</v>
      </c>
      <c r="AD77" s="2">
        <v>160</v>
      </c>
      <c r="AE77" s="2">
        <v>164</v>
      </c>
      <c r="AF77" s="2">
        <v>170</v>
      </c>
      <c r="AG77" s="2">
        <v>187</v>
      </c>
      <c r="AH77" s="2">
        <v>196</v>
      </c>
      <c r="AI77" s="2">
        <v>217</v>
      </c>
      <c r="AJ77" s="2">
        <v>236</v>
      </c>
      <c r="AK77" s="2">
        <v>214</v>
      </c>
      <c r="AL77" s="2">
        <v>225</v>
      </c>
      <c r="AM77" s="2">
        <v>220</v>
      </c>
      <c r="AN77" s="2">
        <v>238</v>
      </c>
      <c r="AO77" s="2">
        <v>227</v>
      </c>
      <c r="AP77" s="2">
        <v>255</v>
      </c>
      <c r="AQ77" s="2">
        <v>275</v>
      </c>
      <c r="AR77" s="2">
        <v>270</v>
      </c>
      <c r="AS77" s="2">
        <v>265</v>
      </c>
      <c r="AT77" s="2">
        <v>303</v>
      </c>
      <c r="AU77" s="2">
        <v>290</v>
      </c>
      <c r="AV77" s="2">
        <v>318</v>
      </c>
      <c r="AW77" s="2">
        <v>355</v>
      </c>
      <c r="AX77" s="2">
        <v>299</v>
      </c>
      <c r="AY77" s="2">
        <v>381</v>
      </c>
      <c r="AZ77" s="2">
        <v>332</v>
      </c>
      <c r="BA77" s="2">
        <v>353</v>
      </c>
      <c r="BB77" s="2">
        <v>356</v>
      </c>
      <c r="BC77" s="8"/>
    </row>
    <row r="78" spans="1:55" ht="13.5" customHeight="1" x14ac:dyDescent="0.2">
      <c r="A78" s="7"/>
      <c r="B78" s="3"/>
      <c r="C78" s="3" t="s">
        <v>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3"/>
      <c r="AM78" s="2">
        <v>0</v>
      </c>
      <c r="AN78" s="2">
        <v>0</v>
      </c>
      <c r="AO78" s="2">
        <v>2</v>
      </c>
      <c r="AP78" s="2">
        <v>2</v>
      </c>
      <c r="AQ78" s="2">
        <v>0</v>
      </c>
      <c r="AR78" s="2">
        <v>1</v>
      </c>
      <c r="AS78" s="2">
        <v>2</v>
      </c>
      <c r="AT78" s="2">
        <v>2</v>
      </c>
      <c r="AU78" s="2">
        <v>2</v>
      </c>
      <c r="AV78" s="2">
        <v>7</v>
      </c>
      <c r="AW78" s="2">
        <v>6</v>
      </c>
      <c r="AX78" s="2">
        <v>7</v>
      </c>
      <c r="AY78" s="2">
        <v>7</v>
      </c>
      <c r="AZ78" s="2">
        <v>5</v>
      </c>
      <c r="BA78" s="2">
        <v>9</v>
      </c>
      <c r="BB78" s="2">
        <v>14</v>
      </c>
      <c r="BC78" s="8"/>
    </row>
    <row r="79" spans="1:55" ht="13.5" customHeight="1" x14ac:dyDescent="0.2">
      <c r="A79" s="7"/>
      <c r="B79" s="3"/>
      <c r="C79" s="3" t="s">
        <v>5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>
        <v>12</v>
      </c>
      <c r="X79" s="2">
        <v>11</v>
      </c>
      <c r="Y79" s="2">
        <v>24</v>
      </c>
      <c r="Z79" s="2">
        <v>14</v>
      </c>
      <c r="AA79" s="2">
        <v>20</v>
      </c>
      <c r="AB79" s="2">
        <v>10</v>
      </c>
      <c r="AC79" s="2">
        <v>11</v>
      </c>
      <c r="AD79" s="2">
        <v>8</v>
      </c>
      <c r="AE79" s="2">
        <v>16</v>
      </c>
      <c r="AF79" s="2">
        <v>6</v>
      </c>
      <c r="AG79" s="2">
        <v>21</v>
      </c>
      <c r="AH79" s="2">
        <v>12</v>
      </c>
      <c r="AI79" s="2">
        <v>10</v>
      </c>
      <c r="AJ79" s="2">
        <v>11</v>
      </c>
      <c r="AK79" s="2">
        <v>11</v>
      </c>
      <c r="AL79" s="2">
        <v>8</v>
      </c>
      <c r="AM79" s="2">
        <v>14</v>
      </c>
      <c r="AN79" s="2">
        <v>11</v>
      </c>
      <c r="AO79" s="2">
        <v>11</v>
      </c>
      <c r="AP79" s="2">
        <v>10</v>
      </c>
      <c r="AQ79" s="2">
        <v>9</v>
      </c>
      <c r="AR79" s="2">
        <v>11</v>
      </c>
      <c r="AS79" s="2">
        <v>13</v>
      </c>
      <c r="AT79" s="2">
        <v>13</v>
      </c>
      <c r="AU79" s="2">
        <v>13</v>
      </c>
      <c r="AV79" s="2">
        <v>11</v>
      </c>
      <c r="AW79" s="2">
        <v>16</v>
      </c>
      <c r="AX79" s="2">
        <v>11</v>
      </c>
      <c r="AY79" s="2">
        <v>6</v>
      </c>
      <c r="AZ79" s="2">
        <v>5</v>
      </c>
      <c r="BA79" s="2">
        <v>10</v>
      </c>
      <c r="BB79" s="2">
        <v>11</v>
      </c>
      <c r="BC79" s="8"/>
    </row>
    <row r="80" spans="1:55" ht="13.5" customHeight="1" x14ac:dyDescent="0.2">
      <c r="A80" s="7"/>
      <c r="B80" s="3"/>
      <c r="C80" s="3" t="s">
        <v>7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>
        <v>7</v>
      </c>
      <c r="X80" s="2">
        <v>15</v>
      </c>
      <c r="Y80" s="2">
        <v>21</v>
      </c>
      <c r="Z80" s="2">
        <v>17</v>
      </c>
      <c r="AA80" s="2">
        <v>17</v>
      </c>
      <c r="AB80" s="2">
        <v>29</v>
      </c>
      <c r="AC80" s="2">
        <v>20</v>
      </c>
      <c r="AD80" s="2">
        <v>24</v>
      </c>
      <c r="AE80" s="2">
        <v>18</v>
      </c>
      <c r="AF80" s="2">
        <v>16</v>
      </c>
      <c r="AG80" s="2">
        <v>24</v>
      </c>
      <c r="AH80" s="2">
        <v>30</v>
      </c>
      <c r="AI80" s="2">
        <v>26</v>
      </c>
      <c r="AJ80" s="2">
        <v>23</v>
      </c>
      <c r="AK80" s="2">
        <v>29</v>
      </c>
      <c r="AL80" s="2">
        <v>27</v>
      </c>
      <c r="AM80" s="2">
        <v>33</v>
      </c>
      <c r="AN80" s="2">
        <v>23</v>
      </c>
      <c r="AO80" s="2">
        <v>34</v>
      </c>
      <c r="AP80" s="2">
        <v>32</v>
      </c>
      <c r="AQ80" s="2">
        <v>28</v>
      </c>
      <c r="AR80" s="2">
        <v>38</v>
      </c>
      <c r="AS80" s="2">
        <v>40</v>
      </c>
      <c r="AT80" s="2">
        <v>32</v>
      </c>
      <c r="AU80" s="2">
        <v>21</v>
      </c>
      <c r="AV80" s="2">
        <v>36</v>
      </c>
      <c r="AW80" s="2">
        <v>31</v>
      </c>
      <c r="AX80" s="2">
        <v>25</v>
      </c>
      <c r="AY80" s="2">
        <v>37</v>
      </c>
      <c r="AZ80" s="2">
        <v>37</v>
      </c>
      <c r="BA80" s="2">
        <v>28</v>
      </c>
      <c r="BB80" s="2">
        <v>34</v>
      </c>
      <c r="BC80" s="8"/>
    </row>
    <row r="81" spans="1:55" ht="13.5" customHeight="1" x14ac:dyDescent="0.2">
      <c r="A81" s="7"/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1">
        <f t="shared" ref="W81:AA81" si="67">SUM(W77:W80)</f>
        <v>128</v>
      </c>
      <c r="X81" s="11">
        <f t="shared" si="67"/>
        <v>111</v>
      </c>
      <c r="Y81" s="11">
        <f t="shared" si="67"/>
        <v>114</v>
      </c>
      <c r="Z81" s="11">
        <f t="shared" si="67"/>
        <v>118</v>
      </c>
      <c r="AA81" s="11">
        <f t="shared" si="67"/>
        <v>145</v>
      </c>
      <c r="AB81" s="11">
        <f t="shared" ref="AB81:AD81" si="68">SUM(AB77:AB80)</f>
        <v>170</v>
      </c>
      <c r="AC81" s="11">
        <f t="shared" si="68"/>
        <v>159</v>
      </c>
      <c r="AD81" s="11">
        <f t="shared" si="68"/>
        <v>192</v>
      </c>
      <c r="AE81" s="11">
        <f t="shared" ref="AE81:AG81" si="69">SUM(AE77:AE80)</f>
        <v>198</v>
      </c>
      <c r="AF81" s="11">
        <f t="shared" si="69"/>
        <v>192</v>
      </c>
      <c r="AG81" s="11">
        <f t="shared" si="69"/>
        <v>232</v>
      </c>
      <c r="AH81" s="11">
        <f t="shared" ref="AH81:AJ81" si="70">SUM(AH77:AH80)</f>
        <v>238</v>
      </c>
      <c r="AI81" s="11">
        <f t="shared" si="70"/>
        <v>253</v>
      </c>
      <c r="AJ81" s="11">
        <f t="shared" si="70"/>
        <v>270</v>
      </c>
      <c r="AK81" s="11">
        <f>SUM(AK77:AK80)</f>
        <v>254</v>
      </c>
      <c r="AL81" s="11">
        <f t="shared" ref="AL81:AV81" si="71">SUM(AL77:AL80)</f>
        <v>260</v>
      </c>
      <c r="AM81" s="11">
        <f t="shared" si="71"/>
        <v>267</v>
      </c>
      <c r="AN81" s="11">
        <f t="shared" si="71"/>
        <v>272</v>
      </c>
      <c r="AO81" s="11">
        <f t="shared" si="71"/>
        <v>274</v>
      </c>
      <c r="AP81" s="11">
        <f t="shared" si="71"/>
        <v>299</v>
      </c>
      <c r="AQ81" s="11">
        <f t="shared" si="71"/>
        <v>312</v>
      </c>
      <c r="AR81" s="11">
        <f t="shared" si="71"/>
        <v>320</v>
      </c>
      <c r="AS81" s="11">
        <f t="shared" si="71"/>
        <v>320</v>
      </c>
      <c r="AT81" s="11">
        <f t="shared" si="71"/>
        <v>350</v>
      </c>
      <c r="AU81" s="11">
        <f t="shared" si="71"/>
        <v>326</v>
      </c>
      <c r="AV81" s="11">
        <f t="shared" si="71"/>
        <v>372</v>
      </c>
      <c r="AW81" s="11">
        <f t="shared" ref="AW81:BB81" si="72">SUM(AW77:AW80)</f>
        <v>408</v>
      </c>
      <c r="AX81" s="11">
        <f t="shared" si="72"/>
        <v>342</v>
      </c>
      <c r="AY81" s="11">
        <f t="shared" si="72"/>
        <v>431</v>
      </c>
      <c r="AZ81" s="11">
        <f t="shared" si="72"/>
        <v>379</v>
      </c>
      <c r="BA81" s="11">
        <f t="shared" si="72"/>
        <v>400</v>
      </c>
      <c r="BB81" s="11">
        <f t="shared" si="72"/>
        <v>415</v>
      </c>
      <c r="BC81" s="8"/>
    </row>
    <row r="82" spans="1:55" ht="13.5" customHeight="1" x14ac:dyDescent="0.2">
      <c r="A82" s="7"/>
      <c r="B82" s="33" t="s">
        <v>85</v>
      </c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8"/>
    </row>
    <row r="83" spans="1:55" ht="13.5" customHeight="1" x14ac:dyDescent="0.2">
      <c r="A83" s="7"/>
      <c r="B83" s="3"/>
      <c r="C83" s="3" t="s"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14</v>
      </c>
      <c r="X83" s="2">
        <v>18</v>
      </c>
      <c r="Y83" s="2">
        <v>24</v>
      </c>
      <c r="Z83" s="2">
        <v>17</v>
      </c>
      <c r="AA83" s="2">
        <v>26</v>
      </c>
      <c r="AB83" s="2">
        <v>24</v>
      </c>
      <c r="AC83" s="2">
        <v>25</v>
      </c>
      <c r="AD83" s="2">
        <v>31</v>
      </c>
      <c r="AE83" s="2">
        <v>24</v>
      </c>
      <c r="AF83" s="2">
        <v>32</v>
      </c>
      <c r="AG83" s="2">
        <v>22</v>
      </c>
      <c r="AH83" s="2">
        <v>20</v>
      </c>
      <c r="AI83" s="2">
        <v>30</v>
      </c>
      <c r="AJ83" s="2">
        <v>31</v>
      </c>
      <c r="AK83" s="2">
        <v>23</v>
      </c>
      <c r="AL83" s="2">
        <v>31</v>
      </c>
      <c r="AM83" s="2">
        <v>31</v>
      </c>
      <c r="AN83" s="2">
        <v>40</v>
      </c>
      <c r="AO83" s="2">
        <v>26</v>
      </c>
      <c r="AP83" s="2">
        <v>33</v>
      </c>
      <c r="AQ83" s="2">
        <v>38</v>
      </c>
      <c r="AR83" s="2">
        <v>30</v>
      </c>
      <c r="AS83" s="2">
        <v>34</v>
      </c>
      <c r="AT83" s="2">
        <v>36</v>
      </c>
      <c r="AU83" s="2">
        <v>31</v>
      </c>
      <c r="AV83" s="2">
        <v>34</v>
      </c>
      <c r="AW83" s="2">
        <v>45</v>
      </c>
      <c r="AX83" s="2">
        <v>51</v>
      </c>
      <c r="AY83" s="2">
        <v>59</v>
      </c>
      <c r="AZ83" s="2">
        <v>59</v>
      </c>
      <c r="BA83" s="2">
        <v>83</v>
      </c>
      <c r="BB83" s="2">
        <v>84</v>
      </c>
      <c r="BC83" s="8"/>
    </row>
    <row r="84" spans="1:55" ht="13.5" customHeight="1" x14ac:dyDescent="0.2">
      <c r="A84" s="7"/>
      <c r="B84" s="3"/>
      <c r="C84" s="3" t="s">
        <v>5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>
        <v>12</v>
      </c>
      <c r="X84" s="2">
        <v>13</v>
      </c>
      <c r="Y84" s="2">
        <v>10</v>
      </c>
      <c r="Z84" s="2">
        <v>5</v>
      </c>
      <c r="AA84" s="2">
        <v>13</v>
      </c>
      <c r="AB84" s="2">
        <v>14</v>
      </c>
      <c r="AC84" s="2">
        <v>15</v>
      </c>
      <c r="AD84" s="2">
        <v>15</v>
      </c>
      <c r="AE84" s="2">
        <v>22</v>
      </c>
      <c r="AF84" s="2">
        <v>12</v>
      </c>
      <c r="AG84" s="2">
        <v>5</v>
      </c>
      <c r="AH84" s="2">
        <v>9</v>
      </c>
      <c r="AI84" s="2">
        <v>18</v>
      </c>
      <c r="AJ84" s="2">
        <v>13</v>
      </c>
      <c r="AK84" s="2">
        <v>10</v>
      </c>
      <c r="AL84" s="2">
        <v>11</v>
      </c>
      <c r="AM84" s="2">
        <v>24</v>
      </c>
      <c r="AN84" s="2">
        <v>21</v>
      </c>
      <c r="AO84" s="2">
        <v>22</v>
      </c>
      <c r="AP84" s="2">
        <v>27</v>
      </c>
      <c r="AQ84" s="2">
        <v>18</v>
      </c>
      <c r="AR84" s="2">
        <v>24</v>
      </c>
      <c r="AS84" s="2">
        <v>36</v>
      </c>
      <c r="AT84" s="2">
        <v>22</v>
      </c>
      <c r="AU84" s="2">
        <v>26</v>
      </c>
      <c r="AV84" s="2">
        <v>24</v>
      </c>
      <c r="AW84" s="2">
        <v>29</v>
      </c>
      <c r="AX84" s="2">
        <v>62</v>
      </c>
      <c r="AY84" s="2">
        <v>63</v>
      </c>
      <c r="AZ84" s="2">
        <v>46</v>
      </c>
      <c r="BA84" s="2">
        <v>54</v>
      </c>
      <c r="BB84" s="2">
        <v>36</v>
      </c>
      <c r="BC84" s="8"/>
    </row>
    <row r="85" spans="1:55" ht="13.5" customHeight="1" x14ac:dyDescent="0.2">
      <c r="A85" s="7"/>
      <c r="B85" s="3"/>
      <c r="C85" s="3" t="s">
        <v>7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>
        <v>4</v>
      </c>
      <c r="X85" s="2">
        <v>5</v>
      </c>
      <c r="Y85" s="2">
        <v>4</v>
      </c>
      <c r="Z85" s="2">
        <v>2</v>
      </c>
      <c r="AA85" s="2">
        <v>5</v>
      </c>
      <c r="AB85" s="2">
        <v>5</v>
      </c>
      <c r="AC85" s="2">
        <v>4</v>
      </c>
      <c r="AD85" s="2">
        <v>4</v>
      </c>
      <c r="AE85" s="2">
        <v>4</v>
      </c>
      <c r="AF85" s="2">
        <v>8</v>
      </c>
      <c r="AG85" s="2">
        <v>11</v>
      </c>
      <c r="AH85" s="2">
        <v>10</v>
      </c>
      <c r="AI85" s="2">
        <v>7</v>
      </c>
      <c r="AJ85" s="2">
        <v>13</v>
      </c>
      <c r="AK85" s="2">
        <v>5</v>
      </c>
      <c r="AL85" s="2">
        <v>9</v>
      </c>
      <c r="AM85" s="2">
        <v>4</v>
      </c>
      <c r="AN85" s="2">
        <v>7</v>
      </c>
      <c r="AO85" s="2">
        <v>11</v>
      </c>
      <c r="AP85" s="2">
        <v>14</v>
      </c>
      <c r="AQ85" s="2">
        <v>10</v>
      </c>
      <c r="AR85" s="2">
        <v>14</v>
      </c>
      <c r="AS85" s="2">
        <v>11</v>
      </c>
      <c r="AT85" s="2">
        <v>15</v>
      </c>
      <c r="AU85" s="2">
        <v>13</v>
      </c>
      <c r="AV85" s="2">
        <v>10</v>
      </c>
      <c r="AW85" s="2">
        <v>18</v>
      </c>
      <c r="AX85" s="2">
        <v>15</v>
      </c>
      <c r="AY85" s="2">
        <v>14</v>
      </c>
      <c r="AZ85" s="2">
        <v>16</v>
      </c>
      <c r="BA85" s="2">
        <v>16</v>
      </c>
      <c r="BB85" s="2">
        <v>14</v>
      </c>
      <c r="BC85" s="8"/>
    </row>
    <row r="86" spans="1:55" ht="13.5" customHeight="1" x14ac:dyDescent="0.2">
      <c r="A86" s="7"/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1">
        <f t="shared" ref="W86:AA86" si="73">SUM(W83:W85)</f>
        <v>30</v>
      </c>
      <c r="X86" s="11">
        <f t="shared" si="73"/>
        <v>36</v>
      </c>
      <c r="Y86" s="11">
        <f t="shared" si="73"/>
        <v>38</v>
      </c>
      <c r="Z86" s="11">
        <f t="shared" si="73"/>
        <v>24</v>
      </c>
      <c r="AA86" s="11">
        <f t="shared" si="73"/>
        <v>44</v>
      </c>
      <c r="AB86" s="11">
        <f t="shared" ref="AB86:AD86" si="74">SUM(AB83:AB85)</f>
        <v>43</v>
      </c>
      <c r="AC86" s="11">
        <f t="shared" si="74"/>
        <v>44</v>
      </c>
      <c r="AD86" s="11">
        <f t="shared" si="74"/>
        <v>50</v>
      </c>
      <c r="AE86" s="11">
        <f t="shared" ref="AE86:AG86" si="75">SUM(AE83:AE85)</f>
        <v>50</v>
      </c>
      <c r="AF86" s="11">
        <f t="shared" si="75"/>
        <v>52</v>
      </c>
      <c r="AG86" s="11">
        <f t="shared" si="75"/>
        <v>38</v>
      </c>
      <c r="AH86" s="11">
        <f t="shared" ref="AH86:AJ86" si="76">SUM(AH83:AH85)</f>
        <v>39</v>
      </c>
      <c r="AI86" s="11">
        <f t="shared" si="76"/>
        <v>55</v>
      </c>
      <c r="AJ86" s="11">
        <f t="shared" si="76"/>
        <v>57</v>
      </c>
      <c r="AK86" s="11">
        <f t="shared" ref="AK86:AV86" si="77">SUM(AK83:AK85)</f>
        <v>38</v>
      </c>
      <c r="AL86" s="11">
        <f t="shared" si="77"/>
        <v>51</v>
      </c>
      <c r="AM86" s="11">
        <f t="shared" si="77"/>
        <v>59</v>
      </c>
      <c r="AN86" s="11">
        <f t="shared" si="77"/>
        <v>68</v>
      </c>
      <c r="AO86" s="11">
        <f t="shared" si="77"/>
        <v>59</v>
      </c>
      <c r="AP86" s="11">
        <f t="shared" si="77"/>
        <v>74</v>
      </c>
      <c r="AQ86" s="11">
        <f t="shared" si="77"/>
        <v>66</v>
      </c>
      <c r="AR86" s="11">
        <f t="shared" si="77"/>
        <v>68</v>
      </c>
      <c r="AS86" s="11">
        <f t="shared" si="77"/>
        <v>81</v>
      </c>
      <c r="AT86" s="11">
        <f t="shared" si="77"/>
        <v>73</v>
      </c>
      <c r="AU86" s="11">
        <f t="shared" si="77"/>
        <v>70</v>
      </c>
      <c r="AV86" s="11">
        <f t="shared" si="77"/>
        <v>68</v>
      </c>
      <c r="AW86" s="11">
        <f t="shared" ref="AW86:BB86" si="78">SUM(AW83:AW85)</f>
        <v>92</v>
      </c>
      <c r="AX86" s="11">
        <f t="shared" si="78"/>
        <v>128</v>
      </c>
      <c r="AY86" s="11">
        <f t="shared" si="78"/>
        <v>136</v>
      </c>
      <c r="AZ86" s="11">
        <f t="shared" si="78"/>
        <v>121</v>
      </c>
      <c r="BA86" s="11">
        <f t="shared" si="78"/>
        <v>153</v>
      </c>
      <c r="BB86" s="11">
        <f t="shared" si="78"/>
        <v>134</v>
      </c>
      <c r="BC86" s="8"/>
    </row>
    <row r="87" spans="1:55" ht="13.5" customHeight="1" x14ac:dyDescent="0.2">
      <c r="A87" s="7"/>
      <c r="B87" s="33" t="s">
        <v>84</v>
      </c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8"/>
    </row>
    <row r="88" spans="1:55" ht="13.5" customHeight="1" x14ac:dyDescent="0.2">
      <c r="A88" s="7"/>
      <c r="B88" s="3"/>
      <c r="C88" s="3" t="s"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>
        <v>30</v>
      </c>
      <c r="X88" s="2">
        <v>27</v>
      </c>
      <c r="Y88" s="2">
        <v>68</v>
      </c>
      <c r="Z88" s="2">
        <v>68</v>
      </c>
      <c r="AA88" s="2">
        <v>89</v>
      </c>
      <c r="AB88" s="2">
        <v>92</v>
      </c>
      <c r="AC88" s="2">
        <v>73</v>
      </c>
      <c r="AD88" s="2">
        <v>75</v>
      </c>
      <c r="AE88" s="2">
        <v>70</v>
      </c>
      <c r="AF88" s="2">
        <v>71</v>
      </c>
      <c r="AG88" s="2">
        <v>88</v>
      </c>
      <c r="AH88" s="2">
        <v>103</v>
      </c>
      <c r="AI88" s="2">
        <v>127</v>
      </c>
      <c r="AJ88" s="2">
        <v>165</v>
      </c>
      <c r="AK88" s="2">
        <v>155</v>
      </c>
      <c r="AL88" s="2">
        <v>150</v>
      </c>
      <c r="AM88" s="2">
        <v>181</v>
      </c>
      <c r="AN88" s="2">
        <v>159</v>
      </c>
      <c r="AO88" s="2">
        <v>133</v>
      </c>
      <c r="AP88" s="2">
        <v>137</v>
      </c>
      <c r="AQ88" s="2">
        <v>157</v>
      </c>
      <c r="AR88" s="2">
        <v>146</v>
      </c>
      <c r="AS88" s="2">
        <v>143</v>
      </c>
      <c r="AT88" s="2">
        <v>109</v>
      </c>
      <c r="AU88" s="2">
        <v>101</v>
      </c>
      <c r="AV88" s="2">
        <v>90</v>
      </c>
      <c r="AW88" s="2">
        <v>102</v>
      </c>
      <c r="AX88" s="2">
        <v>105</v>
      </c>
      <c r="AY88" s="2">
        <v>109</v>
      </c>
      <c r="AZ88" s="2">
        <v>160</v>
      </c>
      <c r="BA88" s="2">
        <v>129</v>
      </c>
      <c r="BB88" s="2">
        <v>125</v>
      </c>
      <c r="BC88" s="8"/>
    </row>
    <row r="89" spans="1:55" ht="13.5" customHeight="1" x14ac:dyDescent="0.2">
      <c r="A89" s="7"/>
      <c r="B89" s="3"/>
      <c r="C89" s="3" t="s">
        <v>9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>
        <v>1</v>
      </c>
      <c r="AY89" s="2">
        <v>4</v>
      </c>
      <c r="AZ89" s="2">
        <v>5</v>
      </c>
      <c r="BA89" s="2">
        <v>5</v>
      </c>
      <c r="BB89" s="2">
        <v>23</v>
      </c>
      <c r="BC89" s="8"/>
    </row>
    <row r="90" spans="1:55" ht="13.5" customHeight="1" x14ac:dyDescent="0.2">
      <c r="A90" s="7"/>
      <c r="B90" s="3"/>
      <c r="C90" s="3" t="s">
        <v>5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2">
        <v>0</v>
      </c>
      <c r="AL90" s="2">
        <v>0</v>
      </c>
      <c r="AM90" s="2">
        <v>0</v>
      </c>
      <c r="AN90" s="2">
        <v>0</v>
      </c>
      <c r="AO90" s="2">
        <v>2</v>
      </c>
      <c r="AP90" s="2">
        <v>0</v>
      </c>
      <c r="AQ90" s="2">
        <v>0</v>
      </c>
      <c r="AR90" s="2">
        <v>2</v>
      </c>
      <c r="AS90" s="2">
        <v>1</v>
      </c>
      <c r="AT90" s="2">
        <v>0</v>
      </c>
      <c r="AU90" s="2">
        <v>0</v>
      </c>
      <c r="AV90" s="2">
        <v>1</v>
      </c>
      <c r="AW90" s="2">
        <v>2</v>
      </c>
      <c r="AX90" s="2">
        <v>1</v>
      </c>
      <c r="AY90" s="2">
        <v>1</v>
      </c>
      <c r="AZ90" s="2">
        <v>0</v>
      </c>
      <c r="BA90" s="2">
        <v>0</v>
      </c>
      <c r="BB90" s="2">
        <v>5</v>
      </c>
      <c r="BC90" s="8"/>
    </row>
    <row r="91" spans="1:55" ht="13.5" customHeight="1" x14ac:dyDescent="0.2">
      <c r="A91" s="7"/>
      <c r="B91" s="3"/>
      <c r="C91" s="3" t="s">
        <v>11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>
        <v>5</v>
      </c>
      <c r="BC91" s="8"/>
    </row>
    <row r="92" spans="1:55" ht="13.5" customHeight="1" x14ac:dyDescent="0.2">
      <c r="A92" s="7"/>
      <c r="B92" s="3"/>
      <c r="C92" s="3" t="s">
        <v>7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2">
        <v>0</v>
      </c>
      <c r="AM92" s="2">
        <v>1</v>
      </c>
      <c r="AN92" s="2">
        <v>2</v>
      </c>
      <c r="AO92" s="2">
        <v>0</v>
      </c>
      <c r="AP92" s="2">
        <v>0</v>
      </c>
      <c r="AQ92" s="2">
        <v>1</v>
      </c>
      <c r="AR92" s="2">
        <v>1</v>
      </c>
      <c r="AS92" s="2">
        <v>1</v>
      </c>
      <c r="AT92" s="2">
        <v>1</v>
      </c>
      <c r="AU92" s="2">
        <v>2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2</v>
      </c>
      <c r="BB92" s="2">
        <v>5</v>
      </c>
      <c r="BC92" s="8"/>
    </row>
    <row r="93" spans="1:55" ht="13.5" customHeight="1" x14ac:dyDescent="0.2">
      <c r="A93" s="7"/>
      <c r="B93" s="3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1">
        <f t="shared" ref="W93:AA93" si="79">W88</f>
        <v>30</v>
      </c>
      <c r="X93" s="11">
        <f t="shared" si="79"/>
        <v>27</v>
      </c>
      <c r="Y93" s="11">
        <f t="shared" si="79"/>
        <v>68</v>
      </c>
      <c r="Z93" s="11">
        <f t="shared" si="79"/>
        <v>68</v>
      </c>
      <c r="AA93" s="11">
        <f t="shared" si="79"/>
        <v>89</v>
      </c>
      <c r="AB93" s="11">
        <f t="shared" ref="AB93:AD93" si="80">AB88</f>
        <v>92</v>
      </c>
      <c r="AC93" s="11">
        <f t="shared" si="80"/>
        <v>73</v>
      </c>
      <c r="AD93" s="11">
        <f t="shared" si="80"/>
        <v>75</v>
      </c>
      <c r="AE93" s="11">
        <f t="shared" ref="AE93:AG93" si="81">AE88</f>
        <v>70</v>
      </c>
      <c r="AF93" s="11">
        <f t="shared" si="81"/>
        <v>71</v>
      </c>
      <c r="AG93" s="11">
        <f t="shared" si="81"/>
        <v>88</v>
      </c>
      <c r="AH93" s="11">
        <f t="shared" ref="AH93:AI93" si="82">AH88</f>
        <v>103</v>
      </c>
      <c r="AI93" s="11">
        <f t="shared" si="82"/>
        <v>127</v>
      </c>
      <c r="AJ93" s="11">
        <f>AJ88</f>
        <v>165</v>
      </c>
      <c r="AK93" s="11">
        <f>SUM(AK88:AK90)</f>
        <v>155</v>
      </c>
      <c r="AL93" s="11">
        <f t="shared" ref="AL93:AV93" si="83">SUM(AL88:AL92)</f>
        <v>150</v>
      </c>
      <c r="AM93" s="11">
        <f t="shared" si="83"/>
        <v>182</v>
      </c>
      <c r="AN93" s="11">
        <f t="shared" si="83"/>
        <v>161</v>
      </c>
      <c r="AO93" s="11">
        <f t="shared" si="83"/>
        <v>135</v>
      </c>
      <c r="AP93" s="11">
        <f t="shared" si="83"/>
        <v>137</v>
      </c>
      <c r="AQ93" s="11">
        <f t="shared" si="83"/>
        <v>158</v>
      </c>
      <c r="AR93" s="11">
        <f t="shared" si="83"/>
        <v>149</v>
      </c>
      <c r="AS93" s="11">
        <f t="shared" si="83"/>
        <v>145</v>
      </c>
      <c r="AT93" s="11">
        <f t="shared" si="83"/>
        <v>110</v>
      </c>
      <c r="AU93" s="11">
        <f t="shared" si="83"/>
        <v>103</v>
      </c>
      <c r="AV93" s="11">
        <f t="shared" si="83"/>
        <v>91</v>
      </c>
      <c r="AW93" s="11">
        <f t="shared" ref="AW93:BB93" si="84">SUM(AW88:AW92)</f>
        <v>104</v>
      </c>
      <c r="AX93" s="11">
        <f t="shared" si="84"/>
        <v>107</v>
      </c>
      <c r="AY93" s="11">
        <f t="shared" si="84"/>
        <v>114</v>
      </c>
      <c r="AZ93" s="11">
        <f t="shared" si="84"/>
        <v>165</v>
      </c>
      <c r="BA93" s="11">
        <f t="shared" si="84"/>
        <v>136</v>
      </c>
      <c r="BB93" s="11">
        <f t="shared" si="84"/>
        <v>163</v>
      </c>
      <c r="BC93" s="8"/>
    </row>
    <row r="94" spans="1:55" ht="13.5" customHeight="1" x14ac:dyDescent="0.2">
      <c r="A94" s="7"/>
      <c r="B94" s="33" t="s">
        <v>83</v>
      </c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8"/>
    </row>
    <row r="95" spans="1:55" ht="13.5" customHeight="1" x14ac:dyDescent="0.2">
      <c r="A95" s="7"/>
      <c r="B95" s="3"/>
      <c r="C95" s="3" t="s">
        <v>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>
        <v>52</v>
      </c>
      <c r="X95" s="2">
        <v>51</v>
      </c>
      <c r="Y95" s="2">
        <v>32</v>
      </c>
      <c r="Z95" s="2">
        <v>40</v>
      </c>
      <c r="AA95" s="2">
        <v>38</v>
      </c>
      <c r="AB95" s="2">
        <v>58</v>
      </c>
      <c r="AC95" s="2">
        <v>85</v>
      </c>
      <c r="AD95" s="2">
        <v>71</v>
      </c>
      <c r="AE95" s="2">
        <v>78</v>
      </c>
      <c r="AF95" s="2">
        <v>61</v>
      </c>
      <c r="AG95" s="2">
        <v>63</v>
      </c>
      <c r="AH95" s="2">
        <v>70</v>
      </c>
      <c r="AI95" s="2">
        <v>74</v>
      </c>
      <c r="AJ95" s="2">
        <v>67</v>
      </c>
      <c r="AK95" s="2">
        <v>39</v>
      </c>
      <c r="AL95" s="2">
        <v>52</v>
      </c>
      <c r="AM95" s="2">
        <v>50</v>
      </c>
      <c r="AN95" s="2">
        <v>38</v>
      </c>
      <c r="AO95" s="2">
        <v>42</v>
      </c>
      <c r="AP95" s="2">
        <v>27</v>
      </c>
      <c r="AQ95" s="2">
        <v>40</v>
      </c>
      <c r="AR95" s="2">
        <v>29</v>
      </c>
      <c r="AS95" s="2">
        <v>33</v>
      </c>
      <c r="AT95" s="2">
        <v>26</v>
      </c>
      <c r="AU95" s="2">
        <v>27</v>
      </c>
      <c r="AV95" s="2">
        <v>26</v>
      </c>
      <c r="AW95" s="2">
        <v>44</v>
      </c>
      <c r="AX95" s="2">
        <v>99</v>
      </c>
      <c r="AY95" s="2">
        <v>172</v>
      </c>
      <c r="AZ95" s="2">
        <v>132</v>
      </c>
      <c r="BA95" s="2">
        <v>124</v>
      </c>
      <c r="BB95" s="2">
        <v>112</v>
      </c>
      <c r="BC95" s="8"/>
    </row>
    <row r="96" spans="1:55" ht="13.5" customHeight="1" x14ac:dyDescent="0.2">
      <c r="A96" s="7"/>
      <c r="B96" s="3"/>
      <c r="C96" s="3" t="s">
        <v>5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>
        <v>2</v>
      </c>
      <c r="X96" s="2">
        <v>10</v>
      </c>
      <c r="Y96" s="2">
        <v>3</v>
      </c>
      <c r="Z96" s="2">
        <v>4</v>
      </c>
      <c r="AA96" s="2">
        <v>6</v>
      </c>
      <c r="AB96" s="2">
        <v>3</v>
      </c>
      <c r="AC96" s="2">
        <v>4</v>
      </c>
      <c r="AD96" s="2">
        <v>6</v>
      </c>
      <c r="AE96" s="2">
        <v>9</v>
      </c>
      <c r="AF96" s="2">
        <v>7</v>
      </c>
      <c r="AG96" s="2">
        <v>9</v>
      </c>
      <c r="AH96" s="2">
        <v>3</v>
      </c>
      <c r="AI96" s="2">
        <v>7</v>
      </c>
      <c r="AJ96" s="2">
        <v>8</v>
      </c>
      <c r="AK96" s="2">
        <v>4</v>
      </c>
      <c r="AL96" s="2">
        <v>6</v>
      </c>
      <c r="AM96" s="2">
        <v>6</v>
      </c>
      <c r="AN96" s="2">
        <v>5</v>
      </c>
      <c r="AO96" s="2">
        <v>8</v>
      </c>
      <c r="AP96" s="2">
        <v>5</v>
      </c>
      <c r="AQ96" s="2">
        <v>7</v>
      </c>
      <c r="AR96" s="2">
        <v>4</v>
      </c>
      <c r="AS96" s="2">
        <v>7</v>
      </c>
      <c r="AT96" s="2">
        <v>11</v>
      </c>
      <c r="AU96" s="2">
        <v>3</v>
      </c>
      <c r="AV96" s="2">
        <v>7</v>
      </c>
      <c r="AW96" s="2">
        <v>5</v>
      </c>
      <c r="AX96" s="2">
        <v>5</v>
      </c>
      <c r="AY96" s="2">
        <v>3</v>
      </c>
      <c r="AZ96" s="2">
        <v>1</v>
      </c>
      <c r="BA96" s="2">
        <v>7</v>
      </c>
      <c r="BB96" s="2">
        <v>3</v>
      </c>
      <c r="BC96" s="8"/>
    </row>
    <row r="97" spans="1:55" ht="13.5" hidden="1" customHeight="1" x14ac:dyDescent="0.2">
      <c r="A97" s="7"/>
      <c r="B97" s="3"/>
      <c r="C97" s="3" t="s">
        <v>7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>
        <v>3</v>
      </c>
      <c r="AI97" s="3">
        <v>0</v>
      </c>
      <c r="AJ97" s="3">
        <v>0</v>
      </c>
      <c r="AK97" s="2">
        <v>0</v>
      </c>
      <c r="AL97" s="2">
        <v>0</v>
      </c>
      <c r="AM97" s="2">
        <v>1</v>
      </c>
      <c r="AN97" s="2">
        <v>0</v>
      </c>
      <c r="AO97" s="2">
        <v>0</v>
      </c>
      <c r="AP97" s="2">
        <v>0</v>
      </c>
      <c r="AQ97" s="3">
        <v>1</v>
      </c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8"/>
    </row>
    <row r="98" spans="1:55" ht="13.5" customHeight="1" x14ac:dyDescent="0.2">
      <c r="A98" s="7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11">
        <f t="shared" ref="W98:AA98" si="85">SUM(W95:W96)</f>
        <v>54</v>
      </c>
      <c r="X98" s="11">
        <f t="shared" si="85"/>
        <v>61</v>
      </c>
      <c r="Y98" s="11">
        <f t="shared" si="85"/>
        <v>35</v>
      </c>
      <c r="Z98" s="11">
        <f t="shared" si="85"/>
        <v>44</v>
      </c>
      <c r="AA98" s="11">
        <f t="shared" si="85"/>
        <v>44</v>
      </c>
      <c r="AB98" s="11">
        <f t="shared" ref="AB98:AD98" si="86">SUM(AB95:AB96)</f>
        <v>61</v>
      </c>
      <c r="AC98" s="11">
        <f t="shared" si="86"/>
        <v>89</v>
      </c>
      <c r="AD98" s="11">
        <f t="shared" si="86"/>
        <v>77</v>
      </c>
      <c r="AE98" s="11">
        <f t="shared" ref="AE98:AF98" si="87">SUM(AE95:AE96)</f>
        <v>87</v>
      </c>
      <c r="AF98" s="11">
        <f t="shared" si="87"/>
        <v>68</v>
      </c>
      <c r="AG98" s="11">
        <f>SUM(AG95:AG96)</f>
        <v>72</v>
      </c>
      <c r="AH98" s="11">
        <f>SUM(AH95:AH97)</f>
        <v>76</v>
      </c>
      <c r="AI98" s="11">
        <f t="shared" ref="AI98:AJ98" si="88">SUM(AI95:AI97)</f>
        <v>81</v>
      </c>
      <c r="AJ98" s="11">
        <f t="shared" si="88"/>
        <v>75</v>
      </c>
      <c r="AK98" s="11">
        <f t="shared" ref="AK98:AP98" si="89">SUM(AK95:AK97)</f>
        <v>43</v>
      </c>
      <c r="AL98" s="11">
        <f t="shared" si="89"/>
        <v>58</v>
      </c>
      <c r="AM98" s="11">
        <f t="shared" si="89"/>
        <v>57</v>
      </c>
      <c r="AN98" s="11">
        <f t="shared" si="89"/>
        <v>43</v>
      </c>
      <c r="AO98" s="11">
        <f t="shared" si="89"/>
        <v>50</v>
      </c>
      <c r="AP98" s="11">
        <f t="shared" si="89"/>
        <v>32</v>
      </c>
      <c r="AQ98" s="11">
        <f>SUM(AQ95:AQ97)</f>
        <v>48</v>
      </c>
      <c r="AR98" s="11">
        <f t="shared" ref="AR98:AV98" si="90">SUM(AR95:AR96)</f>
        <v>33</v>
      </c>
      <c r="AS98" s="11">
        <f t="shared" si="90"/>
        <v>40</v>
      </c>
      <c r="AT98" s="11">
        <f t="shared" si="90"/>
        <v>37</v>
      </c>
      <c r="AU98" s="11">
        <f t="shared" si="90"/>
        <v>30</v>
      </c>
      <c r="AV98" s="11">
        <f t="shared" si="90"/>
        <v>33</v>
      </c>
      <c r="AW98" s="11">
        <f t="shared" ref="AW98:BB98" si="91">SUM(AW95:AW96)</f>
        <v>49</v>
      </c>
      <c r="AX98" s="11">
        <f t="shared" si="91"/>
        <v>104</v>
      </c>
      <c r="AY98" s="11">
        <f t="shared" si="91"/>
        <v>175</v>
      </c>
      <c r="AZ98" s="11">
        <f t="shared" si="91"/>
        <v>133</v>
      </c>
      <c r="BA98" s="11">
        <f t="shared" si="91"/>
        <v>131</v>
      </c>
      <c r="BB98" s="11">
        <f t="shared" si="91"/>
        <v>115</v>
      </c>
      <c r="BC98" s="8"/>
    </row>
    <row r="99" spans="1:55" ht="13.5" customHeight="1" x14ac:dyDescent="0.2">
      <c r="A99" s="7"/>
      <c r="B99" s="33" t="s">
        <v>82</v>
      </c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8"/>
    </row>
    <row r="100" spans="1:55" ht="13.5" customHeight="1" x14ac:dyDescent="0.2">
      <c r="A100" s="7"/>
      <c r="B100" s="3"/>
      <c r="C100" s="3" t="s">
        <v>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11</v>
      </c>
      <c r="X100" s="2">
        <v>5</v>
      </c>
      <c r="Y100" s="2">
        <v>9</v>
      </c>
      <c r="Z100" s="2">
        <v>5</v>
      </c>
      <c r="AA100" s="2">
        <v>21</v>
      </c>
      <c r="AB100" s="2">
        <v>36</v>
      </c>
      <c r="AC100" s="2">
        <v>38</v>
      </c>
      <c r="AD100" s="2">
        <v>35</v>
      </c>
      <c r="AE100" s="2">
        <v>34</v>
      </c>
      <c r="AF100" s="2">
        <v>11</v>
      </c>
      <c r="AG100" s="2">
        <v>24</v>
      </c>
      <c r="AH100" s="2">
        <v>37</v>
      </c>
      <c r="AI100" s="2">
        <v>28</v>
      </c>
      <c r="AJ100" s="2">
        <v>33</v>
      </c>
      <c r="AK100" s="2">
        <v>29</v>
      </c>
      <c r="AL100" s="2">
        <v>30</v>
      </c>
      <c r="AM100" s="2">
        <v>31</v>
      </c>
      <c r="AN100" s="2">
        <v>35</v>
      </c>
      <c r="AO100" s="2">
        <v>38</v>
      </c>
      <c r="AP100" s="2">
        <v>24</v>
      </c>
      <c r="AQ100" s="2">
        <v>38</v>
      </c>
      <c r="AR100" s="2">
        <v>27</v>
      </c>
      <c r="AS100" s="2">
        <v>39</v>
      </c>
      <c r="AT100" s="2">
        <v>36</v>
      </c>
      <c r="AU100" s="2">
        <v>29</v>
      </c>
      <c r="AV100" s="2">
        <v>26</v>
      </c>
      <c r="AW100" s="2">
        <v>25</v>
      </c>
      <c r="AX100" s="2">
        <v>35</v>
      </c>
      <c r="AY100" s="2">
        <v>20</v>
      </c>
      <c r="AZ100" s="2">
        <v>30</v>
      </c>
      <c r="BA100" s="2">
        <v>23</v>
      </c>
      <c r="BB100" s="2">
        <v>16</v>
      </c>
      <c r="BC100" s="8"/>
    </row>
    <row r="101" spans="1:55" ht="13.5" customHeight="1" x14ac:dyDescent="0.2">
      <c r="A101" s="7"/>
      <c r="B101" s="3"/>
      <c r="C101" s="3" t="s">
        <v>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>
        <v>0</v>
      </c>
      <c r="X101" s="3">
        <v>0</v>
      </c>
      <c r="Y101" s="2">
        <v>2</v>
      </c>
      <c r="Z101" s="2">
        <v>2</v>
      </c>
      <c r="AA101" s="2">
        <v>6</v>
      </c>
      <c r="AB101" s="2">
        <v>2</v>
      </c>
      <c r="AC101" s="2">
        <v>1</v>
      </c>
      <c r="AD101" s="2">
        <v>6</v>
      </c>
      <c r="AE101" s="2">
        <v>6</v>
      </c>
      <c r="AF101" s="2">
        <v>6</v>
      </c>
      <c r="AG101" s="2">
        <v>1</v>
      </c>
      <c r="AH101" s="2">
        <v>4</v>
      </c>
      <c r="AI101" s="2">
        <v>3</v>
      </c>
      <c r="AJ101" s="2">
        <v>3</v>
      </c>
      <c r="AK101" s="2">
        <v>4</v>
      </c>
      <c r="AL101" s="2">
        <v>8</v>
      </c>
      <c r="AM101" s="2">
        <v>5</v>
      </c>
      <c r="AN101" s="2">
        <v>1</v>
      </c>
      <c r="AO101" s="2">
        <v>3</v>
      </c>
      <c r="AP101" s="2">
        <v>14</v>
      </c>
      <c r="AQ101" s="2">
        <v>10</v>
      </c>
      <c r="AR101" s="2">
        <v>9</v>
      </c>
      <c r="AS101" s="2">
        <v>11</v>
      </c>
      <c r="AT101" s="2">
        <v>7</v>
      </c>
      <c r="AU101" s="2">
        <v>9</v>
      </c>
      <c r="AV101" s="2">
        <v>12</v>
      </c>
      <c r="AW101" s="2">
        <v>14</v>
      </c>
      <c r="AX101" s="2">
        <v>5</v>
      </c>
      <c r="AY101" s="2">
        <v>11</v>
      </c>
      <c r="AZ101" s="2">
        <v>7</v>
      </c>
      <c r="BA101" s="2">
        <v>5</v>
      </c>
      <c r="BB101" s="2">
        <v>3</v>
      </c>
      <c r="BC101" s="8"/>
    </row>
    <row r="102" spans="1:55" ht="13.5" customHeight="1" x14ac:dyDescent="0.2">
      <c r="A102" s="7"/>
      <c r="B102" s="3"/>
      <c r="C102" s="3" t="s">
        <v>7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>
        <v>1</v>
      </c>
      <c r="X102" s="3">
        <v>1</v>
      </c>
      <c r="Y102" s="3">
        <v>1</v>
      </c>
      <c r="Z102" s="3">
        <v>0</v>
      </c>
      <c r="AA102" s="3">
        <v>3</v>
      </c>
      <c r="AB102" s="3">
        <v>3</v>
      </c>
      <c r="AC102" s="3">
        <v>1</v>
      </c>
      <c r="AD102" s="3">
        <v>3</v>
      </c>
      <c r="AE102" s="3">
        <v>2</v>
      </c>
      <c r="AF102" s="3">
        <v>3</v>
      </c>
      <c r="AG102" s="3">
        <v>1</v>
      </c>
      <c r="AH102" s="3">
        <v>1</v>
      </c>
      <c r="AI102" s="3">
        <v>0</v>
      </c>
      <c r="AJ102" s="2">
        <v>2</v>
      </c>
      <c r="AK102" s="2">
        <v>4</v>
      </c>
      <c r="AL102" s="2">
        <v>2</v>
      </c>
      <c r="AM102" s="2">
        <v>1</v>
      </c>
      <c r="AN102" s="2">
        <v>0</v>
      </c>
      <c r="AO102" s="2">
        <v>3</v>
      </c>
      <c r="AP102" s="2">
        <v>2</v>
      </c>
      <c r="AQ102" s="2">
        <v>5</v>
      </c>
      <c r="AR102" s="2">
        <v>7</v>
      </c>
      <c r="AS102" s="2">
        <v>6</v>
      </c>
      <c r="AT102" s="2">
        <v>3</v>
      </c>
      <c r="AU102" s="2">
        <v>1</v>
      </c>
      <c r="AV102" s="2">
        <v>7</v>
      </c>
      <c r="AW102" s="2">
        <v>0</v>
      </c>
      <c r="AX102" s="2">
        <v>4</v>
      </c>
      <c r="AY102" s="2">
        <v>2</v>
      </c>
      <c r="AZ102" s="2">
        <v>4</v>
      </c>
      <c r="BA102" s="2">
        <v>3</v>
      </c>
      <c r="BB102" s="2">
        <v>5</v>
      </c>
      <c r="BC102" s="8"/>
    </row>
    <row r="103" spans="1:55" ht="13.5" customHeight="1" x14ac:dyDescent="0.2">
      <c r="A103" s="7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11">
        <f t="shared" ref="W103:AA103" si="92">SUM(W100:W102)</f>
        <v>12</v>
      </c>
      <c r="X103" s="11">
        <f t="shared" si="92"/>
        <v>6</v>
      </c>
      <c r="Y103" s="11">
        <f t="shared" si="92"/>
        <v>12</v>
      </c>
      <c r="Z103" s="11">
        <f t="shared" si="92"/>
        <v>7</v>
      </c>
      <c r="AA103" s="11">
        <f t="shared" si="92"/>
        <v>30</v>
      </c>
      <c r="AB103" s="11">
        <f t="shared" ref="AB103:AD103" si="93">SUM(AB100:AB102)</f>
        <v>41</v>
      </c>
      <c r="AC103" s="11">
        <f t="shared" si="93"/>
        <v>40</v>
      </c>
      <c r="AD103" s="11">
        <f t="shared" si="93"/>
        <v>44</v>
      </c>
      <c r="AE103" s="11">
        <f t="shared" ref="AE103:AG103" si="94">SUM(AE100:AE102)</f>
        <v>42</v>
      </c>
      <c r="AF103" s="11">
        <f t="shared" si="94"/>
        <v>20</v>
      </c>
      <c r="AG103" s="11">
        <f t="shared" si="94"/>
        <v>26</v>
      </c>
      <c r="AH103" s="11">
        <f t="shared" ref="AH103:AJ103" si="95">SUM(AH100:AH102)</f>
        <v>42</v>
      </c>
      <c r="AI103" s="11">
        <f t="shared" si="95"/>
        <v>31</v>
      </c>
      <c r="AJ103" s="11">
        <f t="shared" si="95"/>
        <v>38</v>
      </c>
      <c r="AK103" s="11">
        <f t="shared" ref="AK103:AV103" si="96">SUM(AK100:AK102)</f>
        <v>37</v>
      </c>
      <c r="AL103" s="11">
        <f t="shared" si="96"/>
        <v>40</v>
      </c>
      <c r="AM103" s="11">
        <f t="shared" si="96"/>
        <v>37</v>
      </c>
      <c r="AN103" s="11">
        <f t="shared" si="96"/>
        <v>36</v>
      </c>
      <c r="AO103" s="11">
        <f t="shared" si="96"/>
        <v>44</v>
      </c>
      <c r="AP103" s="11">
        <f t="shared" si="96"/>
        <v>40</v>
      </c>
      <c r="AQ103" s="11">
        <f t="shared" si="96"/>
        <v>53</v>
      </c>
      <c r="AR103" s="11">
        <f t="shared" si="96"/>
        <v>43</v>
      </c>
      <c r="AS103" s="11">
        <f t="shared" si="96"/>
        <v>56</v>
      </c>
      <c r="AT103" s="11">
        <f t="shared" si="96"/>
        <v>46</v>
      </c>
      <c r="AU103" s="11">
        <f t="shared" si="96"/>
        <v>39</v>
      </c>
      <c r="AV103" s="11">
        <f t="shared" si="96"/>
        <v>45</v>
      </c>
      <c r="AW103" s="11">
        <f t="shared" ref="AW103:BB103" si="97">SUM(AW100:AW102)</f>
        <v>39</v>
      </c>
      <c r="AX103" s="11">
        <f t="shared" si="97"/>
        <v>44</v>
      </c>
      <c r="AY103" s="11">
        <f t="shared" si="97"/>
        <v>33</v>
      </c>
      <c r="AZ103" s="11">
        <f t="shared" si="97"/>
        <v>41</v>
      </c>
      <c r="BA103" s="11">
        <f t="shared" si="97"/>
        <v>31</v>
      </c>
      <c r="BB103" s="11">
        <f t="shared" si="97"/>
        <v>24</v>
      </c>
      <c r="BC103" s="8"/>
    </row>
    <row r="104" spans="1:55" ht="13.5" customHeight="1" x14ac:dyDescent="0.2">
      <c r="A104" s="7"/>
      <c r="B104" s="33" t="s">
        <v>81</v>
      </c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8"/>
    </row>
    <row r="105" spans="1:55" ht="13.5" customHeight="1" x14ac:dyDescent="0.2">
      <c r="A105" s="7"/>
      <c r="B105" s="3"/>
      <c r="C105" s="3" t="s">
        <v>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v>49</v>
      </c>
      <c r="X105" s="2">
        <v>41</v>
      </c>
      <c r="Y105" s="2">
        <v>39</v>
      </c>
      <c r="Z105" s="2">
        <v>31</v>
      </c>
      <c r="AA105" s="2">
        <v>34</v>
      </c>
      <c r="AB105" s="2">
        <v>29</v>
      </c>
      <c r="AC105" s="2">
        <v>36</v>
      </c>
      <c r="AD105" s="2">
        <v>48</v>
      </c>
      <c r="AE105" s="2">
        <v>38</v>
      </c>
      <c r="AF105" s="2">
        <v>41</v>
      </c>
      <c r="AG105" s="2">
        <v>39</v>
      </c>
      <c r="AH105" s="2">
        <v>45</v>
      </c>
      <c r="AI105" s="2">
        <v>47</v>
      </c>
      <c r="AJ105" s="2">
        <v>39</v>
      </c>
      <c r="AK105" s="2">
        <v>46</v>
      </c>
      <c r="AL105" s="2">
        <v>44</v>
      </c>
      <c r="AM105" s="2">
        <v>50</v>
      </c>
      <c r="AN105" s="2">
        <v>58</v>
      </c>
      <c r="AO105" s="2">
        <v>47</v>
      </c>
      <c r="AP105" s="2">
        <v>62</v>
      </c>
      <c r="AQ105" s="2">
        <v>66</v>
      </c>
      <c r="AR105" s="2">
        <v>56</v>
      </c>
      <c r="AS105" s="2">
        <v>79</v>
      </c>
      <c r="AT105" s="2">
        <v>58</v>
      </c>
      <c r="AU105" s="2">
        <v>75</v>
      </c>
      <c r="AV105" s="2">
        <v>76</v>
      </c>
      <c r="AW105" s="2">
        <v>77</v>
      </c>
      <c r="AX105" s="2">
        <v>84</v>
      </c>
      <c r="AY105" s="2">
        <v>93</v>
      </c>
      <c r="AZ105" s="2">
        <v>93</v>
      </c>
      <c r="BA105" s="2">
        <v>95</v>
      </c>
      <c r="BB105" s="2">
        <v>101</v>
      </c>
      <c r="BC105" s="8"/>
    </row>
    <row r="106" spans="1:55" ht="13.5" customHeight="1" x14ac:dyDescent="0.2">
      <c r="A106" s="7"/>
      <c r="B106" s="3"/>
      <c r="C106" s="3" t="s">
        <v>9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>
        <v>0</v>
      </c>
      <c r="AV106" s="2">
        <v>0</v>
      </c>
      <c r="AW106" s="2">
        <v>0</v>
      </c>
      <c r="AX106" s="2">
        <v>0</v>
      </c>
      <c r="AY106" s="2">
        <v>29</v>
      </c>
      <c r="AZ106" s="2">
        <v>0</v>
      </c>
      <c r="BA106" s="2">
        <v>0</v>
      </c>
      <c r="BB106" s="2">
        <v>0</v>
      </c>
      <c r="BC106" s="8"/>
    </row>
    <row r="107" spans="1:55" ht="13.5" customHeight="1" x14ac:dyDescent="0.2">
      <c r="A107" s="7"/>
      <c r="B107" s="3"/>
      <c r="C107" s="3" t="s">
        <v>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>
        <v>24</v>
      </c>
      <c r="X107" s="2">
        <v>22</v>
      </c>
      <c r="Y107" s="2">
        <v>30</v>
      </c>
      <c r="Z107" s="2">
        <v>17</v>
      </c>
      <c r="AA107" s="2">
        <v>25</v>
      </c>
      <c r="AB107" s="2">
        <v>14</v>
      </c>
      <c r="AC107" s="2">
        <v>14</v>
      </c>
      <c r="AD107" s="2">
        <v>18</v>
      </c>
      <c r="AE107" s="2">
        <v>18</v>
      </c>
      <c r="AF107" s="2">
        <v>17</v>
      </c>
      <c r="AG107" s="2">
        <v>15</v>
      </c>
      <c r="AH107" s="2">
        <v>19</v>
      </c>
      <c r="AI107" s="2">
        <v>16</v>
      </c>
      <c r="AJ107" s="2">
        <v>14</v>
      </c>
      <c r="AK107" s="2">
        <v>11</v>
      </c>
      <c r="AL107" s="2">
        <v>14</v>
      </c>
      <c r="AM107" s="2">
        <v>15</v>
      </c>
      <c r="AN107" s="2">
        <v>22</v>
      </c>
      <c r="AO107" s="2">
        <v>30</v>
      </c>
      <c r="AP107" s="2">
        <v>21</v>
      </c>
      <c r="AQ107" s="2">
        <v>24</v>
      </c>
      <c r="AR107" s="2">
        <v>21</v>
      </c>
      <c r="AS107" s="2">
        <v>19</v>
      </c>
      <c r="AT107" s="2">
        <v>19</v>
      </c>
      <c r="AU107" s="2">
        <v>24</v>
      </c>
      <c r="AV107" s="2">
        <v>31</v>
      </c>
      <c r="AW107" s="2">
        <v>26</v>
      </c>
      <c r="AX107" s="2">
        <v>32</v>
      </c>
      <c r="AY107" s="2">
        <v>31</v>
      </c>
      <c r="AZ107" s="2">
        <v>23</v>
      </c>
      <c r="BA107" s="2">
        <v>15</v>
      </c>
      <c r="BB107" s="2">
        <v>11</v>
      </c>
      <c r="BC107" s="8"/>
    </row>
    <row r="108" spans="1:55" ht="13.5" customHeight="1" x14ac:dyDescent="0.2">
      <c r="A108" s="7"/>
      <c r="B108" s="3"/>
      <c r="C108" s="3" t="s">
        <v>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>
        <v>8</v>
      </c>
      <c r="X108" s="2">
        <v>13</v>
      </c>
      <c r="Y108" s="2">
        <v>7</v>
      </c>
      <c r="Z108" s="2">
        <v>12</v>
      </c>
      <c r="AA108" s="2">
        <v>14</v>
      </c>
      <c r="AB108" s="2">
        <v>21</v>
      </c>
      <c r="AC108" s="2">
        <v>10</v>
      </c>
      <c r="AD108" s="2">
        <v>22</v>
      </c>
      <c r="AE108" s="2">
        <v>16</v>
      </c>
      <c r="AF108" s="2">
        <v>18</v>
      </c>
      <c r="AG108" s="2">
        <v>17</v>
      </c>
      <c r="AH108" s="2">
        <v>21</v>
      </c>
      <c r="AI108" s="2">
        <v>12</v>
      </c>
      <c r="AJ108" s="2">
        <v>9</v>
      </c>
      <c r="AK108" s="2">
        <v>19</v>
      </c>
      <c r="AL108" s="2">
        <v>18</v>
      </c>
      <c r="AM108" s="2">
        <v>17</v>
      </c>
      <c r="AN108" s="2">
        <v>18</v>
      </c>
      <c r="AO108" s="2">
        <v>19</v>
      </c>
      <c r="AP108" s="2">
        <v>25</v>
      </c>
      <c r="AQ108" s="2">
        <v>17</v>
      </c>
      <c r="AR108" s="2">
        <v>30</v>
      </c>
      <c r="AS108" s="2">
        <v>13</v>
      </c>
      <c r="AT108" s="2">
        <v>29</v>
      </c>
      <c r="AU108" s="2">
        <v>14</v>
      </c>
      <c r="AV108" s="2">
        <v>28</v>
      </c>
      <c r="AW108" s="2">
        <v>17</v>
      </c>
      <c r="AX108" s="2">
        <v>28</v>
      </c>
      <c r="AY108" s="2">
        <v>41</v>
      </c>
      <c r="AZ108" s="2">
        <v>34</v>
      </c>
      <c r="BA108" s="2">
        <v>27</v>
      </c>
      <c r="BB108" s="2">
        <v>30</v>
      </c>
      <c r="BC108" s="8"/>
    </row>
    <row r="109" spans="1:55" ht="13.5" customHeight="1" x14ac:dyDescent="0.2">
      <c r="A109" s="7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11">
        <f t="shared" ref="W109:AA109" si="98">SUM(W105:W108)</f>
        <v>81</v>
      </c>
      <c r="X109" s="11">
        <f t="shared" si="98"/>
        <v>76</v>
      </c>
      <c r="Y109" s="11">
        <f t="shared" si="98"/>
        <v>76</v>
      </c>
      <c r="Z109" s="11">
        <f t="shared" si="98"/>
        <v>60</v>
      </c>
      <c r="AA109" s="11">
        <f t="shared" si="98"/>
        <v>73</v>
      </c>
      <c r="AB109" s="11">
        <f t="shared" ref="AB109:AD109" si="99">SUM(AB105:AB108)</f>
        <v>64</v>
      </c>
      <c r="AC109" s="11">
        <f t="shared" si="99"/>
        <v>60</v>
      </c>
      <c r="AD109" s="11">
        <f t="shared" si="99"/>
        <v>88</v>
      </c>
      <c r="AE109" s="11">
        <f t="shared" ref="AE109:AG109" si="100">SUM(AE105:AE108)</f>
        <v>72</v>
      </c>
      <c r="AF109" s="11">
        <f t="shared" si="100"/>
        <v>76</v>
      </c>
      <c r="AG109" s="11">
        <f t="shared" si="100"/>
        <v>71</v>
      </c>
      <c r="AH109" s="11">
        <f>SUM(AH105:AH108)</f>
        <v>85</v>
      </c>
      <c r="AI109" s="11">
        <f t="shared" ref="AI109:AJ109" si="101">SUM(AI105:AI108)</f>
        <v>75</v>
      </c>
      <c r="AJ109" s="11">
        <f t="shared" si="101"/>
        <v>62</v>
      </c>
      <c r="AK109" s="11">
        <f>SUM(AK105:AK108)</f>
        <v>76</v>
      </c>
      <c r="AL109" s="11">
        <f t="shared" ref="AL109:AV109" si="102">SUM(AL105:AL108)</f>
        <v>76</v>
      </c>
      <c r="AM109" s="11">
        <f t="shared" si="102"/>
        <v>82</v>
      </c>
      <c r="AN109" s="11">
        <f t="shared" si="102"/>
        <v>98</v>
      </c>
      <c r="AO109" s="11">
        <f t="shared" si="102"/>
        <v>96</v>
      </c>
      <c r="AP109" s="11">
        <f t="shared" si="102"/>
        <v>108</v>
      </c>
      <c r="AQ109" s="11">
        <f t="shared" si="102"/>
        <v>107</v>
      </c>
      <c r="AR109" s="11">
        <f t="shared" si="102"/>
        <v>107</v>
      </c>
      <c r="AS109" s="11">
        <f t="shared" si="102"/>
        <v>111</v>
      </c>
      <c r="AT109" s="11">
        <f t="shared" si="102"/>
        <v>106</v>
      </c>
      <c r="AU109" s="11">
        <f t="shared" si="102"/>
        <v>113</v>
      </c>
      <c r="AV109" s="11">
        <f t="shared" si="102"/>
        <v>135</v>
      </c>
      <c r="AW109" s="11">
        <f t="shared" ref="AW109:BB109" si="103">SUM(AW105:AW108)</f>
        <v>120</v>
      </c>
      <c r="AX109" s="11">
        <f t="shared" si="103"/>
        <v>144</v>
      </c>
      <c r="AY109" s="11">
        <f t="shared" si="103"/>
        <v>194</v>
      </c>
      <c r="AZ109" s="11">
        <f t="shared" si="103"/>
        <v>150</v>
      </c>
      <c r="BA109" s="11">
        <f t="shared" si="103"/>
        <v>137</v>
      </c>
      <c r="BB109" s="11">
        <f t="shared" si="103"/>
        <v>142</v>
      </c>
      <c r="BC109" s="8"/>
    </row>
    <row r="110" spans="1:55" ht="13.5" customHeight="1" x14ac:dyDescent="0.2">
      <c r="A110" s="7"/>
      <c r="B110" s="33" t="s">
        <v>80</v>
      </c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8"/>
    </row>
    <row r="111" spans="1:55" ht="13.5" customHeight="1" x14ac:dyDescent="0.2">
      <c r="A111" s="7"/>
      <c r="B111" s="3"/>
      <c r="C111" s="3" t="s">
        <v>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>
        <v>109</v>
      </c>
      <c r="X111" s="2">
        <v>93</v>
      </c>
      <c r="Y111" s="2">
        <v>105</v>
      </c>
      <c r="Z111" s="2">
        <v>110</v>
      </c>
      <c r="AA111" s="2">
        <v>143</v>
      </c>
      <c r="AB111" s="2">
        <v>164</v>
      </c>
      <c r="AC111" s="2">
        <v>196</v>
      </c>
      <c r="AD111" s="2">
        <v>168</v>
      </c>
      <c r="AE111" s="2">
        <v>157</v>
      </c>
      <c r="AF111" s="2">
        <v>153</v>
      </c>
      <c r="AG111" s="2">
        <v>141</v>
      </c>
      <c r="AH111" s="2">
        <v>173</v>
      </c>
      <c r="AI111" s="2">
        <v>159</v>
      </c>
      <c r="AJ111" s="2">
        <v>178</v>
      </c>
      <c r="AK111" s="2">
        <v>195</v>
      </c>
      <c r="AL111" s="2">
        <v>177</v>
      </c>
      <c r="AM111" s="2">
        <v>200</v>
      </c>
      <c r="AN111" s="2">
        <v>219</v>
      </c>
      <c r="AO111" s="2">
        <v>223</v>
      </c>
      <c r="AP111" s="2">
        <v>215</v>
      </c>
      <c r="AQ111" s="2">
        <v>264</v>
      </c>
      <c r="AR111" s="2">
        <v>251</v>
      </c>
      <c r="AS111" s="2">
        <v>245</v>
      </c>
      <c r="AT111" s="2">
        <v>243</v>
      </c>
      <c r="AU111" s="2">
        <v>278</v>
      </c>
      <c r="AV111" s="2">
        <v>317</v>
      </c>
      <c r="AW111" s="2">
        <v>296</v>
      </c>
      <c r="AX111" s="2">
        <v>282</v>
      </c>
      <c r="AY111" s="2">
        <v>283</v>
      </c>
      <c r="AZ111" s="2">
        <v>271</v>
      </c>
      <c r="BA111" s="2">
        <v>302</v>
      </c>
      <c r="BB111" s="2">
        <v>330</v>
      </c>
      <c r="BC111" s="8"/>
    </row>
    <row r="112" spans="1:55" ht="13.5" customHeight="1" x14ac:dyDescent="0.2">
      <c r="A112" s="7"/>
      <c r="B112" s="3"/>
      <c r="C112" s="3" t="s">
        <v>9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>
        <v>0</v>
      </c>
      <c r="AW112" s="2">
        <v>0</v>
      </c>
      <c r="AX112" s="2">
        <v>0</v>
      </c>
      <c r="AY112" s="2">
        <v>2</v>
      </c>
      <c r="AZ112" s="2">
        <v>4</v>
      </c>
      <c r="BA112" s="2">
        <v>14</v>
      </c>
      <c r="BB112" s="2">
        <v>16</v>
      </c>
      <c r="BC112" s="8"/>
    </row>
    <row r="113" spans="1:55" ht="13.5" customHeight="1" x14ac:dyDescent="0.2">
      <c r="A113" s="7"/>
      <c r="B113" s="3"/>
      <c r="C113" s="3" t="s">
        <v>5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14</v>
      </c>
      <c r="X113" s="2">
        <v>24</v>
      </c>
      <c r="Y113" s="2">
        <v>19</v>
      </c>
      <c r="Z113" s="2">
        <v>10</v>
      </c>
      <c r="AA113" s="2">
        <v>11</v>
      </c>
      <c r="AB113" s="2">
        <v>15</v>
      </c>
      <c r="AC113" s="2">
        <v>13</v>
      </c>
      <c r="AD113" s="2">
        <v>15</v>
      </c>
      <c r="AE113" s="2">
        <v>24</v>
      </c>
      <c r="AF113" s="2">
        <v>15</v>
      </c>
      <c r="AG113" s="2">
        <v>10</v>
      </c>
      <c r="AH113" s="2">
        <v>14</v>
      </c>
      <c r="AI113" s="2">
        <v>10</v>
      </c>
      <c r="AJ113" s="2">
        <v>8</v>
      </c>
      <c r="AK113" s="2">
        <v>10</v>
      </c>
      <c r="AL113" s="2">
        <v>5</v>
      </c>
      <c r="AM113" s="2">
        <v>13</v>
      </c>
      <c r="AN113" s="2">
        <v>12</v>
      </c>
      <c r="AO113" s="2">
        <v>8</v>
      </c>
      <c r="AP113" s="2">
        <v>4</v>
      </c>
      <c r="AQ113" s="2">
        <v>15</v>
      </c>
      <c r="AR113" s="2">
        <v>9</v>
      </c>
      <c r="AS113" s="2">
        <v>16</v>
      </c>
      <c r="AT113" s="2">
        <v>11</v>
      </c>
      <c r="AU113" s="2">
        <v>19</v>
      </c>
      <c r="AV113" s="2">
        <v>13</v>
      </c>
      <c r="AW113" s="2">
        <v>14</v>
      </c>
      <c r="AX113" s="2">
        <v>9</v>
      </c>
      <c r="AY113" s="2">
        <v>9</v>
      </c>
      <c r="AZ113" s="2">
        <v>8</v>
      </c>
      <c r="BA113" s="2">
        <v>14</v>
      </c>
      <c r="BB113" s="2">
        <v>19</v>
      </c>
      <c r="BC113" s="8"/>
    </row>
    <row r="114" spans="1:55" ht="13.5" customHeight="1" x14ac:dyDescent="0.2">
      <c r="A114" s="7"/>
      <c r="B114" s="3"/>
      <c r="C114" s="3" t="s">
        <v>7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>
        <v>12</v>
      </c>
      <c r="X114" s="2">
        <v>10</v>
      </c>
      <c r="Y114" s="2">
        <v>12</v>
      </c>
      <c r="Z114" s="2">
        <v>12</v>
      </c>
      <c r="AA114" s="2">
        <v>15</v>
      </c>
      <c r="AB114" s="2">
        <v>12</v>
      </c>
      <c r="AC114" s="2">
        <v>14</v>
      </c>
      <c r="AD114" s="2">
        <v>11</v>
      </c>
      <c r="AE114" s="2">
        <v>13</v>
      </c>
      <c r="AF114" s="2">
        <v>10</v>
      </c>
      <c r="AG114" s="2">
        <v>13</v>
      </c>
      <c r="AH114" s="2">
        <v>19</v>
      </c>
      <c r="AI114" s="2">
        <v>13</v>
      </c>
      <c r="AJ114" s="2">
        <v>13</v>
      </c>
      <c r="AK114" s="2">
        <v>12</v>
      </c>
      <c r="AL114" s="2">
        <v>9</v>
      </c>
      <c r="AM114" s="2">
        <v>3</v>
      </c>
      <c r="AN114" s="2">
        <v>8</v>
      </c>
      <c r="AO114" s="2">
        <v>10</v>
      </c>
      <c r="AP114" s="2">
        <v>8</v>
      </c>
      <c r="AQ114" s="2">
        <v>7</v>
      </c>
      <c r="AR114" s="2">
        <v>11</v>
      </c>
      <c r="AS114" s="2">
        <v>11</v>
      </c>
      <c r="AT114" s="2">
        <v>11</v>
      </c>
      <c r="AU114" s="2">
        <v>14</v>
      </c>
      <c r="AV114" s="2">
        <v>9</v>
      </c>
      <c r="AW114" s="2">
        <v>13</v>
      </c>
      <c r="AX114" s="2">
        <v>8</v>
      </c>
      <c r="AY114" s="2">
        <v>12</v>
      </c>
      <c r="AZ114" s="2">
        <v>13</v>
      </c>
      <c r="BA114" s="2">
        <v>15</v>
      </c>
      <c r="BB114" s="2">
        <v>9</v>
      </c>
      <c r="BC114" s="8"/>
    </row>
    <row r="115" spans="1:55" ht="13.5" customHeight="1" x14ac:dyDescent="0.2">
      <c r="A115" s="7"/>
      <c r="B115" s="3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11">
        <f t="shared" ref="W115:AA115" si="104">SUM(W111:W114)</f>
        <v>135</v>
      </c>
      <c r="X115" s="11">
        <f t="shared" si="104"/>
        <v>127</v>
      </c>
      <c r="Y115" s="11">
        <f t="shared" si="104"/>
        <v>136</v>
      </c>
      <c r="Z115" s="11">
        <f t="shared" si="104"/>
        <v>132</v>
      </c>
      <c r="AA115" s="11">
        <f t="shared" si="104"/>
        <v>169</v>
      </c>
      <c r="AB115" s="11">
        <f t="shared" ref="AB115:AD115" si="105">SUM(AB111:AB114)</f>
        <v>191</v>
      </c>
      <c r="AC115" s="11">
        <f t="shared" si="105"/>
        <v>223</v>
      </c>
      <c r="AD115" s="11">
        <f t="shared" si="105"/>
        <v>194</v>
      </c>
      <c r="AE115" s="11">
        <f t="shared" ref="AE115:AG115" si="106">SUM(AE111:AE114)</f>
        <v>194</v>
      </c>
      <c r="AF115" s="11">
        <f t="shared" si="106"/>
        <v>178</v>
      </c>
      <c r="AG115" s="11">
        <f t="shared" si="106"/>
        <v>164</v>
      </c>
      <c r="AH115" s="11">
        <f t="shared" ref="AH115:AJ115" si="107">SUM(AH111:AH114)</f>
        <v>206</v>
      </c>
      <c r="AI115" s="11">
        <f t="shared" si="107"/>
        <v>182</v>
      </c>
      <c r="AJ115" s="11">
        <f t="shared" si="107"/>
        <v>199</v>
      </c>
      <c r="AK115" s="11">
        <f>SUM(AK111:AK114)</f>
        <v>217</v>
      </c>
      <c r="AL115" s="11">
        <f t="shared" ref="AL115:AV115" si="108">SUM(AL111:AL114)</f>
        <v>191</v>
      </c>
      <c r="AM115" s="11">
        <f t="shared" si="108"/>
        <v>216</v>
      </c>
      <c r="AN115" s="11">
        <f t="shared" si="108"/>
        <v>239</v>
      </c>
      <c r="AO115" s="11">
        <f t="shared" si="108"/>
        <v>241</v>
      </c>
      <c r="AP115" s="11">
        <f t="shared" si="108"/>
        <v>227</v>
      </c>
      <c r="AQ115" s="11">
        <f t="shared" si="108"/>
        <v>286</v>
      </c>
      <c r="AR115" s="11">
        <f t="shared" si="108"/>
        <v>271</v>
      </c>
      <c r="AS115" s="11">
        <f t="shared" si="108"/>
        <v>272</v>
      </c>
      <c r="AT115" s="11">
        <f t="shared" si="108"/>
        <v>265</v>
      </c>
      <c r="AU115" s="11">
        <f t="shared" si="108"/>
        <v>311</v>
      </c>
      <c r="AV115" s="11">
        <f t="shared" si="108"/>
        <v>339</v>
      </c>
      <c r="AW115" s="11">
        <f t="shared" ref="AW115:BB115" si="109">SUM(AW111:AW114)</f>
        <v>323</v>
      </c>
      <c r="AX115" s="11">
        <f t="shared" si="109"/>
        <v>299</v>
      </c>
      <c r="AY115" s="11">
        <f t="shared" si="109"/>
        <v>306</v>
      </c>
      <c r="AZ115" s="11">
        <f t="shared" si="109"/>
        <v>296</v>
      </c>
      <c r="BA115" s="11">
        <f t="shared" si="109"/>
        <v>345</v>
      </c>
      <c r="BB115" s="11">
        <f t="shared" si="109"/>
        <v>374</v>
      </c>
      <c r="BC115" s="8"/>
    </row>
    <row r="116" spans="1:55" ht="13.5" customHeight="1" x14ac:dyDescent="0.2">
      <c r="A116" s="7"/>
      <c r="B116" s="33" t="s">
        <v>78</v>
      </c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8"/>
    </row>
    <row r="117" spans="1:55" ht="13.5" customHeight="1" x14ac:dyDescent="0.2">
      <c r="A117" s="7"/>
      <c r="B117" s="3"/>
      <c r="C117" s="3" t="s">
        <v>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>
        <v>37</v>
      </c>
      <c r="X117" s="2">
        <v>34</v>
      </c>
      <c r="Y117" s="2">
        <v>38</v>
      </c>
      <c r="Z117" s="2">
        <v>31</v>
      </c>
      <c r="AA117" s="2">
        <v>31</v>
      </c>
      <c r="AB117" s="2">
        <v>36</v>
      </c>
      <c r="AC117" s="2">
        <v>33</v>
      </c>
      <c r="AD117" s="2">
        <v>23</v>
      </c>
      <c r="AE117" s="2">
        <v>20</v>
      </c>
      <c r="AF117" s="2">
        <v>26</v>
      </c>
      <c r="AG117" s="2">
        <v>21</v>
      </c>
      <c r="AH117" s="2">
        <v>22</v>
      </c>
      <c r="AI117" s="2">
        <v>22</v>
      </c>
      <c r="AJ117" s="2">
        <v>22</v>
      </c>
      <c r="AK117" s="2">
        <v>30</v>
      </c>
      <c r="AL117" s="2">
        <v>28</v>
      </c>
      <c r="AM117" s="2">
        <v>35</v>
      </c>
      <c r="AN117" s="2">
        <v>32</v>
      </c>
      <c r="AO117" s="2">
        <v>28</v>
      </c>
      <c r="AP117" s="2">
        <v>29</v>
      </c>
      <c r="AQ117" s="2">
        <v>43</v>
      </c>
      <c r="AR117" s="2">
        <v>57</v>
      </c>
      <c r="AS117" s="2">
        <v>34</v>
      </c>
      <c r="AT117" s="2">
        <v>42</v>
      </c>
      <c r="AU117" s="2">
        <v>42</v>
      </c>
      <c r="AV117" s="2">
        <v>37</v>
      </c>
      <c r="AW117" s="2">
        <v>42</v>
      </c>
      <c r="AX117" s="2">
        <v>33</v>
      </c>
      <c r="AY117" s="2">
        <v>40</v>
      </c>
      <c r="AZ117" s="2">
        <v>50</v>
      </c>
      <c r="BA117" s="2">
        <v>32</v>
      </c>
      <c r="BB117" s="2">
        <v>36</v>
      </c>
      <c r="BC117" s="8"/>
    </row>
    <row r="118" spans="1:55" ht="13.5" customHeight="1" x14ac:dyDescent="0.2">
      <c r="A118" s="7"/>
      <c r="B118" s="3"/>
      <c r="C118" s="3" t="s">
        <v>9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3"/>
      <c r="AN118" s="2">
        <v>0</v>
      </c>
      <c r="AO118" s="2">
        <v>7</v>
      </c>
      <c r="AP118" s="2">
        <v>5</v>
      </c>
      <c r="AQ118" s="2">
        <v>8</v>
      </c>
      <c r="AR118" s="2">
        <v>2</v>
      </c>
      <c r="AS118" s="2">
        <v>23</v>
      </c>
      <c r="AT118" s="2">
        <v>18</v>
      </c>
      <c r="AU118" s="2">
        <v>14</v>
      </c>
      <c r="AV118" s="2">
        <v>20</v>
      </c>
      <c r="AW118" s="2">
        <v>29</v>
      </c>
      <c r="AX118" s="2">
        <v>42</v>
      </c>
      <c r="AY118" s="2">
        <v>40</v>
      </c>
      <c r="AZ118" s="2">
        <v>47</v>
      </c>
      <c r="BA118" s="2">
        <v>43</v>
      </c>
      <c r="BB118" s="2">
        <v>33</v>
      </c>
      <c r="BC118" s="8"/>
    </row>
    <row r="119" spans="1:55" ht="13.5" customHeight="1" x14ac:dyDescent="0.2">
      <c r="A119" s="7"/>
      <c r="B119" s="3"/>
      <c r="C119" s="3" t="s">
        <v>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>
        <v>104</v>
      </c>
      <c r="X119" s="2">
        <v>92</v>
      </c>
      <c r="Y119" s="2">
        <v>98</v>
      </c>
      <c r="Z119" s="2">
        <v>115</v>
      </c>
      <c r="AA119" s="2">
        <v>125</v>
      </c>
      <c r="AB119" s="2">
        <v>133</v>
      </c>
      <c r="AC119" s="2">
        <v>116</v>
      </c>
      <c r="AD119" s="2">
        <v>115</v>
      </c>
      <c r="AE119" s="2">
        <v>102</v>
      </c>
      <c r="AF119" s="2">
        <v>113</v>
      </c>
      <c r="AG119" s="2">
        <v>97</v>
      </c>
      <c r="AH119" s="2">
        <v>85</v>
      </c>
      <c r="AI119" s="2">
        <v>82</v>
      </c>
      <c r="AJ119" s="2">
        <v>101</v>
      </c>
      <c r="AK119" s="2">
        <v>135</v>
      </c>
      <c r="AL119" s="2">
        <v>76</v>
      </c>
      <c r="AM119" s="2">
        <v>132</v>
      </c>
      <c r="AN119" s="2">
        <v>141</v>
      </c>
      <c r="AO119" s="2">
        <v>89</v>
      </c>
      <c r="AP119" s="2">
        <v>105</v>
      </c>
      <c r="AQ119" s="2">
        <v>162</v>
      </c>
      <c r="AR119" s="2">
        <v>108</v>
      </c>
      <c r="AS119" s="2">
        <v>108</v>
      </c>
      <c r="AT119" s="2">
        <v>154</v>
      </c>
      <c r="AU119" s="2">
        <v>105</v>
      </c>
      <c r="AV119" s="2">
        <v>148</v>
      </c>
      <c r="AW119" s="2">
        <v>140</v>
      </c>
      <c r="AX119" s="2">
        <v>130</v>
      </c>
      <c r="AY119" s="2">
        <v>123</v>
      </c>
      <c r="AZ119" s="2">
        <v>139</v>
      </c>
      <c r="BA119" s="2">
        <v>177</v>
      </c>
      <c r="BB119" s="2">
        <v>154</v>
      </c>
      <c r="BC119" s="8"/>
    </row>
    <row r="120" spans="1:55" ht="13.5" customHeight="1" x14ac:dyDescent="0.2">
      <c r="A120" s="7"/>
      <c r="B120" s="3"/>
      <c r="C120" s="3" t="s">
        <v>7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1</v>
      </c>
      <c r="AP120" s="2">
        <v>0</v>
      </c>
      <c r="AQ120" s="2">
        <v>1</v>
      </c>
      <c r="AR120" s="2">
        <v>4</v>
      </c>
      <c r="AS120" s="2">
        <v>9</v>
      </c>
      <c r="AT120" s="2">
        <v>4</v>
      </c>
      <c r="AU120" s="2">
        <v>3</v>
      </c>
      <c r="AV120" s="2">
        <v>2</v>
      </c>
      <c r="AW120" s="2">
        <v>2</v>
      </c>
      <c r="AX120" s="2">
        <v>5</v>
      </c>
      <c r="AY120" s="2">
        <v>4</v>
      </c>
      <c r="AZ120" s="2">
        <v>4</v>
      </c>
      <c r="BA120" s="2">
        <v>5</v>
      </c>
      <c r="BB120" s="2">
        <v>7</v>
      </c>
      <c r="BC120" s="8"/>
    </row>
    <row r="121" spans="1:55" ht="13.5" customHeight="1" x14ac:dyDescent="0.2">
      <c r="A121" s="7"/>
      <c r="B121" s="3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11">
        <f t="shared" ref="W121:Z121" si="110">SUM(W117:W119)</f>
        <v>141</v>
      </c>
      <c r="X121" s="11">
        <f t="shared" si="110"/>
        <v>126</v>
      </c>
      <c r="Y121" s="11">
        <f t="shared" si="110"/>
        <v>136</v>
      </c>
      <c r="Z121" s="11">
        <f t="shared" si="110"/>
        <v>146</v>
      </c>
      <c r="AA121" s="11">
        <f>SUM(AA117:AA119)</f>
        <v>156</v>
      </c>
      <c r="AB121" s="11">
        <f t="shared" ref="AB121:AD121" si="111">SUM(AB117:AB119)</f>
        <v>169</v>
      </c>
      <c r="AC121" s="11">
        <f t="shared" si="111"/>
        <v>149</v>
      </c>
      <c r="AD121" s="11">
        <f t="shared" si="111"/>
        <v>138</v>
      </c>
      <c r="AE121" s="11">
        <f t="shared" ref="AE121:AG121" si="112">SUM(AE117:AE119)</f>
        <v>122</v>
      </c>
      <c r="AF121" s="11">
        <f t="shared" si="112"/>
        <v>139</v>
      </c>
      <c r="AG121" s="11">
        <f t="shared" si="112"/>
        <v>118</v>
      </c>
      <c r="AH121" s="11">
        <f t="shared" ref="AH121:AI121" si="113">SUM(AH117:AH119)</f>
        <v>107</v>
      </c>
      <c r="AI121" s="11">
        <f t="shared" si="113"/>
        <v>104</v>
      </c>
      <c r="AJ121" s="11">
        <f>SUM(AJ117:AJ120)</f>
        <v>123</v>
      </c>
      <c r="AK121" s="11">
        <f>SUM(AK117:AK120)</f>
        <v>165</v>
      </c>
      <c r="AL121" s="11">
        <f t="shared" ref="AL121:AV121" si="114">SUM(AL117:AL120)</f>
        <v>104</v>
      </c>
      <c r="AM121" s="11">
        <f t="shared" si="114"/>
        <v>167</v>
      </c>
      <c r="AN121" s="11">
        <f t="shared" si="114"/>
        <v>173</v>
      </c>
      <c r="AO121" s="11">
        <f t="shared" si="114"/>
        <v>125</v>
      </c>
      <c r="AP121" s="11">
        <f t="shared" si="114"/>
        <v>139</v>
      </c>
      <c r="AQ121" s="11">
        <f t="shared" si="114"/>
        <v>214</v>
      </c>
      <c r="AR121" s="11">
        <f t="shared" si="114"/>
        <v>171</v>
      </c>
      <c r="AS121" s="11">
        <f t="shared" si="114"/>
        <v>174</v>
      </c>
      <c r="AT121" s="11">
        <f t="shared" si="114"/>
        <v>218</v>
      </c>
      <c r="AU121" s="11">
        <f t="shared" si="114"/>
        <v>164</v>
      </c>
      <c r="AV121" s="11">
        <f t="shared" si="114"/>
        <v>207</v>
      </c>
      <c r="AW121" s="11">
        <f t="shared" ref="AW121:BB121" si="115">SUM(AW117:AW120)</f>
        <v>213</v>
      </c>
      <c r="AX121" s="11">
        <f t="shared" si="115"/>
        <v>210</v>
      </c>
      <c r="AY121" s="11">
        <f t="shared" si="115"/>
        <v>207</v>
      </c>
      <c r="AZ121" s="11">
        <f t="shared" si="115"/>
        <v>240</v>
      </c>
      <c r="BA121" s="11">
        <f t="shared" si="115"/>
        <v>257</v>
      </c>
      <c r="BB121" s="11">
        <f t="shared" si="115"/>
        <v>230</v>
      </c>
      <c r="BC121" s="8"/>
    </row>
    <row r="122" spans="1:55" ht="13.5" customHeight="1" x14ac:dyDescent="0.2">
      <c r="A122" s="7"/>
      <c r="B122" s="33" t="s">
        <v>77</v>
      </c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8"/>
    </row>
    <row r="123" spans="1:55" ht="13.5" customHeight="1" x14ac:dyDescent="0.2">
      <c r="A123" s="7"/>
      <c r="B123" s="3"/>
      <c r="C123" s="3" t="s">
        <v>0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>
        <f>263-W148</f>
        <v>236</v>
      </c>
      <c r="X123" s="2">
        <f>274-X148</f>
        <v>255</v>
      </c>
      <c r="Y123" s="2">
        <f>306-Y148</f>
        <v>278</v>
      </c>
      <c r="Z123" s="2">
        <f>272-Z148</f>
        <v>220</v>
      </c>
      <c r="AA123" s="2">
        <f>349-AA148</f>
        <v>275</v>
      </c>
      <c r="AB123" s="2">
        <f>350-AB148</f>
        <v>280</v>
      </c>
      <c r="AC123" s="2">
        <f>350-AC148</f>
        <v>277</v>
      </c>
      <c r="AD123" s="2">
        <f>419-AD148</f>
        <v>322</v>
      </c>
      <c r="AE123" s="2">
        <f>348-AE148</f>
        <v>257</v>
      </c>
      <c r="AF123" s="2">
        <f>269-AF148</f>
        <v>190</v>
      </c>
      <c r="AG123" s="2">
        <f>284-AG148</f>
        <v>211</v>
      </c>
      <c r="AH123" s="2">
        <f>282-AH148</f>
        <v>215</v>
      </c>
      <c r="AI123" s="2">
        <f>300-AI148</f>
        <v>217</v>
      </c>
      <c r="AJ123" s="2">
        <f>332-AJ148</f>
        <v>235</v>
      </c>
      <c r="AK123" s="2">
        <f>289-AK148</f>
        <v>222</v>
      </c>
      <c r="AL123" s="2">
        <f>336-AL148</f>
        <v>241</v>
      </c>
      <c r="AM123" s="2">
        <v>257</v>
      </c>
      <c r="AN123" s="2">
        <v>266</v>
      </c>
      <c r="AO123" s="2">
        <v>271</v>
      </c>
      <c r="AP123" s="2">
        <v>302</v>
      </c>
      <c r="AQ123" s="2">
        <v>343</v>
      </c>
      <c r="AR123" s="2">
        <v>349</v>
      </c>
      <c r="AS123" s="2">
        <v>299</v>
      </c>
      <c r="AT123" s="2">
        <v>310</v>
      </c>
      <c r="AU123" s="2">
        <v>338</v>
      </c>
      <c r="AV123" s="2">
        <v>374</v>
      </c>
      <c r="AW123" s="2">
        <v>360</v>
      </c>
      <c r="AX123" s="2">
        <v>392</v>
      </c>
      <c r="AY123" s="2">
        <v>305</v>
      </c>
      <c r="AZ123" s="2">
        <v>315</v>
      </c>
      <c r="BA123" s="2">
        <v>304</v>
      </c>
      <c r="BB123" s="2">
        <v>302</v>
      </c>
      <c r="BC123" s="8"/>
    </row>
    <row r="124" spans="1:55" ht="13.5" customHeight="1" x14ac:dyDescent="0.2">
      <c r="A124" s="7"/>
      <c r="B124" s="3"/>
      <c r="C124" s="3" t="s">
        <v>9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2">
        <v>0</v>
      </c>
      <c r="AN124" s="2">
        <v>1</v>
      </c>
      <c r="AO124" s="2">
        <v>12</v>
      </c>
      <c r="AP124" s="2">
        <v>3</v>
      </c>
      <c r="AQ124" s="2">
        <v>5</v>
      </c>
      <c r="AR124" s="2">
        <v>10</v>
      </c>
      <c r="AS124" s="2">
        <v>12</v>
      </c>
      <c r="AT124" s="2">
        <v>14</v>
      </c>
      <c r="AU124" s="2">
        <v>10</v>
      </c>
      <c r="AV124" s="2">
        <v>11</v>
      </c>
      <c r="AW124" s="2">
        <v>15</v>
      </c>
      <c r="AX124" s="2">
        <v>9</v>
      </c>
      <c r="AY124" s="2">
        <v>7</v>
      </c>
      <c r="AZ124" s="2">
        <v>11</v>
      </c>
      <c r="BA124" s="2">
        <v>17</v>
      </c>
      <c r="BB124" s="2">
        <v>12</v>
      </c>
      <c r="BC124" s="8"/>
    </row>
    <row r="125" spans="1:55" ht="13.5" customHeight="1" x14ac:dyDescent="0.2">
      <c r="A125" s="7"/>
      <c r="B125" s="3"/>
      <c r="C125" s="3" t="s">
        <v>5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>
        <f>37-W149</f>
        <v>30</v>
      </c>
      <c r="X125" s="2">
        <f>37-X149</f>
        <v>34</v>
      </c>
      <c r="Y125" s="2">
        <f>44-Y149</f>
        <v>32</v>
      </c>
      <c r="Z125" s="2">
        <f>40-Z149</f>
        <v>32</v>
      </c>
      <c r="AA125" s="2">
        <f>46-AA149</f>
        <v>38</v>
      </c>
      <c r="AB125" s="2">
        <f>49-AB149</f>
        <v>35</v>
      </c>
      <c r="AC125" s="2">
        <f>57-AC149</f>
        <v>45</v>
      </c>
      <c r="AD125" s="2">
        <f>54-AD149</f>
        <v>40</v>
      </c>
      <c r="AE125" s="2">
        <f>50-AE149</f>
        <v>39</v>
      </c>
      <c r="AF125" s="2">
        <f>56-AF149</f>
        <v>47</v>
      </c>
      <c r="AG125" s="2">
        <f>53-AG149</f>
        <v>45</v>
      </c>
      <c r="AH125" s="2">
        <f>44-AH149</f>
        <v>42</v>
      </c>
      <c r="AI125" s="2">
        <f>27-AI149</f>
        <v>23</v>
      </c>
      <c r="AJ125" s="2">
        <f>32-AJ149</f>
        <v>25</v>
      </c>
      <c r="AK125" s="2">
        <f>38-AK149</f>
        <v>32</v>
      </c>
      <c r="AL125" s="2">
        <f>50-AL149</f>
        <v>46</v>
      </c>
      <c r="AM125" s="2">
        <v>42</v>
      </c>
      <c r="AN125" s="2">
        <v>34</v>
      </c>
      <c r="AO125" s="2">
        <v>33</v>
      </c>
      <c r="AP125" s="2">
        <v>47</v>
      </c>
      <c r="AQ125" s="2">
        <v>41</v>
      </c>
      <c r="AR125" s="2">
        <v>46</v>
      </c>
      <c r="AS125" s="2">
        <v>52</v>
      </c>
      <c r="AT125" s="2">
        <v>37</v>
      </c>
      <c r="AU125" s="2">
        <v>51</v>
      </c>
      <c r="AV125" s="2">
        <v>44</v>
      </c>
      <c r="AW125" s="2">
        <v>40</v>
      </c>
      <c r="AX125" s="2">
        <v>50</v>
      </c>
      <c r="AY125" s="2">
        <v>37</v>
      </c>
      <c r="AZ125" s="2">
        <v>50</v>
      </c>
      <c r="BA125" s="2">
        <v>34</v>
      </c>
      <c r="BB125" s="2">
        <v>41</v>
      </c>
      <c r="BC125" s="8"/>
    </row>
    <row r="126" spans="1:55" ht="13.5" customHeight="1" x14ac:dyDescent="0.2">
      <c r="A126" s="7"/>
      <c r="B126" s="3"/>
      <c r="C126" s="3" t="s">
        <v>7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>
        <f>10-W150</f>
        <v>9</v>
      </c>
      <c r="X126" s="2">
        <f>24-X150</f>
        <v>23</v>
      </c>
      <c r="Y126" s="2">
        <f>13-Y150</f>
        <v>10</v>
      </c>
      <c r="Z126" s="2">
        <f>27-Z150</f>
        <v>24</v>
      </c>
      <c r="AA126" s="2">
        <f>18-AA150</f>
        <v>14</v>
      </c>
      <c r="AB126" s="2">
        <f>21-AB150</f>
        <v>19</v>
      </c>
      <c r="AC126" s="2">
        <f>24-AC150</f>
        <v>18</v>
      </c>
      <c r="AD126" s="2">
        <f>24-AD150</f>
        <v>21</v>
      </c>
      <c r="AE126" s="2">
        <f>21-AE150</f>
        <v>20</v>
      </c>
      <c r="AF126" s="2">
        <f>22-AF150</f>
        <v>17</v>
      </c>
      <c r="AG126" s="2">
        <f>33-AG150</f>
        <v>28</v>
      </c>
      <c r="AH126" s="2">
        <f>23-AH150</f>
        <v>21</v>
      </c>
      <c r="AI126" s="2">
        <f>24-AI150</f>
        <v>20</v>
      </c>
      <c r="AJ126" s="2">
        <f>25-AJ150</f>
        <v>20</v>
      </c>
      <c r="AK126" s="2">
        <f>30-AK150</f>
        <v>26</v>
      </c>
      <c r="AL126" s="2">
        <f>21-AL150</f>
        <v>20</v>
      </c>
      <c r="AM126" s="2">
        <v>35</v>
      </c>
      <c r="AN126" s="2">
        <v>21</v>
      </c>
      <c r="AO126" s="2">
        <v>25</v>
      </c>
      <c r="AP126" s="2">
        <v>18</v>
      </c>
      <c r="AQ126" s="2">
        <v>23</v>
      </c>
      <c r="AR126" s="2">
        <v>20</v>
      </c>
      <c r="AS126" s="2">
        <v>18</v>
      </c>
      <c r="AT126" s="2">
        <v>25</v>
      </c>
      <c r="AU126" s="2">
        <v>24</v>
      </c>
      <c r="AV126" s="2">
        <v>18</v>
      </c>
      <c r="AW126" s="2">
        <v>28</v>
      </c>
      <c r="AX126" s="2">
        <v>21</v>
      </c>
      <c r="AY126" s="2">
        <v>20</v>
      </c>
      <c r="AZ126" s="2">
        <v>24</v>
      </c>
      <c r="BA126" s="2">
        <v>28</v>
      </c>
      <c r="BB126" s="2">
        <v>35</v>
      </c>
      <c r="BC126" s="8"/>
    </row>
    <row r="127" spans="1:55" ht="13.5" customHeight="1" x14ac:dyDescent="0.2">
      <c r="A127" s="7"/>
      <c r="B127" s="3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11">
        <f t="shared" ref="W127:AA127" si="116">SUM(W123:W126)</f>
        <v>275</v>
      </c>
      <c r="X127" s="11">
        <f t="shared" si="116"/>
        <v>312</v>
      </c>
      <c r="Y127" s="11">
        <f t="shared" si="116"/>
        <v>320</v>
      </c>
      <c r="Z127" s="11">
        <f t="shared" si="116"/>
        <v>276</v>
      </c>
      <c r="AA127" s="11">
        <f t="shared" si="116"/>
        <v>327</v>
      </c>
      <c r="AB127" s="11">
        <f t="shared" ref="AB127:AD127" si="117">SUM(AB123:AB126)</f>
        <v>334</v>
      </c>
      <c r="AC127" s="11">
        <f t="shared" si="117"/>
        <v>340</v>
      </c>
      <c r="AD127" s="11">
        <f t="shared" si="117"/>
        <v>383</v>
      </c>
      <c r="AE127" s="11">
        <f t="shared" ref="AE127:AG127" si="118">SUM(AE123:AE126)</f>
        <v>316</v>
      </c>
      <c r="AF127" s="11">
        <f t="shared" si="118"/>
        <v>254</v>
      </c>
      <c r="AG127" s="11">
        <f t="shared" si="118"/>
        <v>284</v>
      </c>
      <c r="AH127" s="11">
        <f t="shared" ref="AH127:AJ127" si="119">SUM(AH123:AH126)</f>
        <v>278</v>
      </c>
      <c r="AI127" s="11">
        <f t="shared" si="119"/>
        <v>260</v>
      </c>
      <c r="AJ127" s="11">
        <f t="shared" si="119"/>
        <v>280</v>
      </c>
      <c r="AK127" s="11">
        <f>SUM(AK123:AK126)</f>
        <v>280</v>
      </c>
      <c r="AL127" s="11">
        <f t="shared" ref="AL127:AV127" si="120">SUM(AL123:AL126)</f>
        <v>307</v>
      </c>
      <c r="AM127" s="11">
        <f t="shared" si="120"/>
        <v>334</v>
      </c>
      <c r="AN127" s="11">
        <f t="shared" si="120"/>
        <v>322</v>
      </c>
      <c r="AO127" s="11">
        <f t="shared" si="120"/>
        <v>341</v>
      </c>
      <c r="AP127" s="11">
        <f t="shared" si="120"/>
        <v>370</v>
      </c>
      <c r="AQ127" s="11">
        <f t="shared" si="120"/>
        <v>412</v>
      </c>
      <c r="AR127" s="11">
        <f t="shared" si="120"/>
        <v>425</v>
      </c>
      <c r="AS127" s="11">
        <f t="shared" si="120"/>
        <v>381</v>
      </c>
      <c r="AT127" s="11">
        <f t="shared" si="120"/>
        <v>386</v>
      </c>
      <c r="AU127" s="11">
        <f t="shared" si="120"/>
        <v>423</v>
      </c>
      <c r="AV127" s="11">
        <f t="shared" si="120"/>
        <v>447</v>
      </c>
      <c r="AW127" s="11">
        <f t="shared" ref="AW127:BB127" si="121">SUM(AW123:AW126)</f>
        <v>443</v>
      </c>
      <c r="AX127" s="11">
        <f t="shared" si="121"/>
        <v>472</v>
      </c>
      <c r="AY127" s="11">
        <f t="shared" si="121"/>
        <v>369</v>
      </c>
      <c r="AZ127" s="11">
        <f t="shared" si="121"/>
        <v>400</v>
      </c>
      <c r="BA127" s="11">
        <f t="shared" si="121"/>
        <v>383</v>
      </c>
      <c r="BB127" s="11">
        <f t="shared" si="121"/>
        <v>390</v>
      </c>
      <c r="BC127" s="8"/>
    </row>
    <row r="128" spans="1:55" ht="13.5" customHeight="1" x14ac:dyDescent="0.2">
      <c r="A128" s="7"/>
      <c r="B128" s="33" t="s">
        <v>76</v>
      </c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8"/>
    </row>
    <row r="129" spans="1:55" ht="13.5" customHeight="1" x14ac:dyDescent="0.2">
      <c r="A129" s="7"/>
      <c r="B129" s="3"/>
      <c r="C129" s="3" t="s">
        <v>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>
        <v>107</v>
      </c>
      <c r="X129" s="2">
        <v>43</v>
      </c>
      <c r="Y129" s="2">
        <v>36</v>
      </c>
      <c r="Z129" s="2">
        <v>52</v>
      </c>
      <c r="AA129" s="2">
        <v>56</v>
      </c>
      <c r="AB129" s="2">
        <v>62</v>
      </c>
      <c r="AC129" s="2">
        <v>53</v>
      </c>
      <c r="AD129" s="2">
        <v>82</v>
      </c>
      <c r="AE129" s="2">
        <v>60</v>
      </c>
      <c r="AF129" s="2">
        <v>55</v>
      </c>
      <c r="AG129" s="2">
        <v>47</v>
      </c>
      <c r="AH129" s="2">
        <v>53</v>
      </c>
      <c r="AI129" s="2">
        <v>74</v>
      </c>
      <c r="AJ129" s="2">
        <v>67</v>
      </c>
      <c r="AK129" s="2">
        <v>63</v>
      </c>
      <c r="AL129" s="2">
        <v>73</v>
      </c>
      <c r="AM129" s="2">
        <v>63</v>
      </c>
      <c r="AN129" s="2">
        <v>78</v>
      </c>
      <c r="AO129" s="2">
        <v>69</v>
      </c>
      <c r="AP129" s="2">
        <v>96</v>
      </c>
      <c r="AQ129" s="2">
        <v>79</v>
      </c>
      <c r="AR129" s="2">
        <v>71</v>
      </c>
      <c r="AS129" s="2">
        <v>81</v>
      </c>
      <c r="AT129" s="2">
        <v>85</v>
      </c>
      <c r="AU129" s="2">
        <v>73</v>
      </c>
      <c r="AV129" s="2">
        <v>109</v>
      </c>
      <c r="AW129" s="2">
        <v>121</v>
      </c>
      <c r="AX129" s="2">
        <v>113</v>
      </c>
      <c r="AY129" s="2">
        <v>106</v>
      </c>
      <c r="AZ129" s="2">
        <v>113</v>
      </c>
      <c r="BA129" s="2">
        <v>114</v>
      </c>
      <c r="BB129" s="2">
        <v>144</v>
      </c>
      <c r="BC129" s="8"/>
    </row>
    <row r="130" spans="1:55" ht="13.5" customHeight="1" x14ac:dyDescent="0.2">
      <c r="A130" s="7"/>
      <c r="B130" s="3"/>
      <c r="C130" s="3" t="s">
        <v>9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>
        <v>0</v>
      </c>
      <c r="AV130" s="2">
        <v>0</v>
      </c>
      <c r="AW130" s="2">
        <v>0</v>
      </c>
      <c r="AX130" s="2">
        <v>1</v>
      </c>
      <c r="AY130" s="2">
        <v>2</v>
      </c>
      <c r="AZ130" s="2">
        <v>3</v>
      </c>
      <c r="BA130" s="2">
        <v>1</v>
      </c>
      <c r="BB130" s="2">
        <v>1</v>
      </c>
      <c r="BC130" s="8"/>
    </row>
    <row r="131" spans="1:55" ht="13.5" customHeight="1" x14ac:dyDescent="0.2">
      <c r="A131" s="7"/>
      <c r="B131" s="3"/>
      <c r="C131" s="3" t="s">
        <v>5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>
        <v>11</v>
      </c>
      <c r="X131" s="2">
        <v>17</v>
      </c>
      <c r="Y131" s="2">
        <v>11</v>
      </c>
      <c r="Z131" s="2">
        <v>17</v>
      </c>
      <c r="AA131" s="2">
        <v>14</v>
      </c>
      <c r="AB131" s="2">
        <v>18</v>
      </c>
      <c r="AC131" s="2">
        <v>21</v>
      </c>
      <c r="AD131" s="2">
        <v>17</v>
      </c>
      <c r="AE131" s="2">
        <v>20</v>
      </c>
      <c r="AF131" s="2">
        <v>19</v>
      </c>
      <c r="AG131" s="2">
        <v>18</v>
      </c>
      <c r="AH131" s="2">
        <v>10</v>
      </c>
      <c r="AI131" s="2">
        <v>12</v>
      </c>
      <c r="AJ131" s="2">
        <v>21</v>
      </c>
      <c r="AK131" s="2">
        <v>13</v>
      </c>
      <c r="AL131" s="2">
        <v>15</v>
      </c>
      <c r="AM131" s="2">
        <v>17</v>
      </c>
      <c r="AN131" s="2">
        <v>13</v>
      </c>
      <c r="AO131" s="2">
        <v>17</v>
      </c>
      <c r="AP131" s="2">
        <v>12</v>
      </c>
      <c r="AQ131" s="2">
        <v>16</v>
      </c>
      <c r="AR131" s="2">
        <v>22</v>
      </c>
      <c r="AS131" s="2">
        <v>17</v>
      </c>
      <c r="AT131" s="2">
        <v>15</v>
      </c>
      <c r="AU131" s="2">
        <v>20</v>
      </c>
      <c r="AV131" s="2">
        <v>28</v>
      </c>
      <c r="AW131" s="2">
        <v>27</v>
      </c>
      <c r="AX131" s="2">
        <v>37</v>
      </c>
      <c r="AY131" s="2">
        <v>23</v>
      </c>
      <c r="AZ131" s="2">
        <v>32</v>
      </c>
      <c r="BA131" s="2">
        <v>29</v>
      </c>
      <c r="BB131" s="2">
        <v>33</v>
      </c>
      <c r="BC131" s="8"/>
    </row>
    <row r="132" spans="1:55" ht="13.5" customHeight="1" x14ac:dyDescent="0.2">
      <c r="A132" s="7"/>
      <c r="B132" s="3"/>
      <c r="C132" s="3" t="s">
        <v>7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>
        <v>0</v>
      </c>
      <c r="X132" s="3">
        <v>2</v>
      </c>
      <c r="Y132" s="3">
        <v>2</v>
      </c>
      <c r="Z132" s="3">
        <v>5</v>
      </c>
      <c r="AA132" s="3">
        <v>2</v>
      </c>
      <c r="AB132" s="3">
        <v>3</v>
      </c>
      <c r="AC132" s="3">
        <v>1</v>
      </c>
      <c r="AD132" s="3">
        <v>1</v>
      </c>
      <c r="AE132" s="3">
        <v>0</v>
      </c>
      <c r="AF132" s="3">
        <v>2</v>
      </c>
      <c r="AG132" s="3">
        <v>5</v>
      </c>
      <c r="AH132" s="3">
        <v>5</v>
      </c>
      <c r="AI132" s="3">
        <v>0</v>
      </c>
      <c r="AJ132" s="2">
        <v>1</v>
      </c>
      <c r="AK132" s="2">
        <v>2</v>
      </c>
      <c r="AL132" s="2">
        <v>1</v>
      </c>
      <c r="AM132" s="2">
        <v>2</v>
      </c>
      <c r="AN132" s="2">
        <v>2</v>
      </c>
      <c r="AO132" s="2">
        <v>3</v>
      </c>
      <c r="AP132" s="2">
        <v>2</v>
      </c>
      <c r="AQ132" s="2">
        <v>4</v>
      </c>
      <c r="AR132" s="2">
        <v>0</v>
      </c>
      <c r="AS132" s="2">
        <v>2</v>
      </c>
      <c r="AT132" s="2">
        <v>3</v>
      </c>
      <c r="AU132" s="2">
        <v>3</v>
      </c>
      <c r="AV132" s="2">
        <v>4</v>
      </c>
      <c r="AW132" s="2">
        <v>3</v>
      </c>
      <c r="AX132" s="2">
        <v>4</v>
      </c>
      <c r="AY132" s="2">
        <v>5</v>
      </c>
      <c r="AZ132" s="2">
        <v>1</v>
      </c>
      <c r="BA132" s="2">
        <v>3</v>
      </c>
      <c r="BB132" s="2">
        <v>3</v>
      </c>
      <c r="BC132" s="8"/>
    </row>
    <row r="133" spans="1:55" ht="13.5" customHeight="1" x14ac:dyDescent="0.2">
      <c r="A133" s="7"/>
      <c r="B133" s="3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11">
        <f t="shared" ref="W133:AA133" si="122">SUM(W129:W132)</f>
        <v>118</v>
      </c>
      <c r="X133" s="11">
        <f t="shared" si="122"/>
        <v>62</v>
      </c>
      <c r="Y133" s="11">
        <f t="shared" si="122"/>
        <v>49</v>
      </c>
      <c r="Z133" s="11">
        <f t="shared" si="122"/>
        <v>74</v>
      </c>
      <c r="AA133" s="11">
        <f t="shared" si="122"/>
        <v>72</v>
      </c>
      <c r="AB133" s="11">
        <f t="shared" ref="AB133:AD133" si="123">SUM(AB129:AB132)</f>
        <v>83</v>
      </c>
      <c r="AC133" s="11">
        <f t="shared" si="123"/>
        <v>75</v>
      </c>
      <c r="AD133" s="11">
        <f t="shared" si="123"/>
        <v>100</v>
      </c>
      <c r="AE133" s="11">
        <f t="shared" ref="AE133:AG133" si="124">SUM(AE129:AE132)</f>
        <v>80</v>
      </c>
      <c r="AF133" s="11">
        <f t="shared" si="124"/>
        <v>76</v>
      </c>
      <c r="AG133" s="11">
        <f t="shared" si="124"/>
        <v>70</v>
      </c>
      <c r="AH133" s="11">
        <f t="shared" ref="AH133:AJ133" si="125">SUM(AH129:AH132)</f>
        <v>68</v>
      </c>
      <c r="AI133" s="11">
        <f t="shared" si="125"/>
        <v>86</v>
      </c>
      <c r="AJ133" s="11">
        <f t="shared" si="125"/>
        <v>89</v>
      </c>
      <c r="AK133" s="11">
        <f>SUM(AK129:AK132)</f>
        <v>78</v>
      </c>
      <c r="AL133" s="11">
        <f t="shared" ref="AL133:AV133" si="126">SUM(AL129:AL132)</f>
        <v>89</v>
      </c>
      <c r="AM133" s="11">
        <f t="shared" si="126"/>
        <v>82</v>
      </c>
      <c r="AN133" s="11">
        <f t="shared" si="126"/>
        <v>93</v>
      </c>
      <c r="AO133" s="11">
        <f t="shared" si="126"/>
        <v>89</v>
      </c>
      <c r="AP133" s="11">
        <f t="shared" si="126"/>
        <v>110</v>
      </c>
      <c r="AQ133" s="11">
        <f t="shared" si="126"/>
        <v>99</v>
      </c>
      <c r="AR133" s="11">
        <f t="shared" si="126"/>
        <v>93</v>
      </c>
      <c r="AS133" s="11">
        <f t="shared" si="126"/>
        <v>100</v>
      </c>
      <c r="AT133" s="11">
        <f t="shared" si="126"/>
        <v>103</v>
      </c>
      <c r="AU133" s="11">
        <f t="shared" si="126"/>
        <v>96</v>
      </c>
      <c r="AV133" s="11">
        <f t="shared" si="126"/>
        <v>141</v>
      </c>
      <c r="AW133" s="11">
        <f t="shared" ref="AW133:BB133" si="127">SUM(AW129:AW132)</f>
        <v>151</v>
      </c>
      <c r="AX133" s="11">
        <f t="shared" si="127"/>
        <v>155</v>
      </c>
      <c r="AY133" s="11">
        <f t="shared" si="127"/>
        <v>136</v>
      </c>
      <c r="AZ133" s="11">
        <f t="shared" si="127"/>
        <v>149</v>
      </c>
      <c r="BA133" s="11">
        <f t="shared" si="127"/>
        <v>147</v>
      </c>
      <c r="BB133" s="11">
        <f t="shared" si="127"/>
        <v>181</v>
      </c>
      <c r="BC133" s="8"/>
    </row>
    <row r="134" spans="1:55" ht="13.5" customHeight="1" x14ac:dyDescent="0.2">
      <c r="A134" s="7"/>
      <c r="B134" s="33" t="s">
        <v>75</v>
      </c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8"/>
    </row>
    <row r="135" spans="1:55" ht="13.5" customHeight="1" x14ac:dyDescent="0.2">
      <c r="A135" s="7"/>
      <c r="B135" s="3"/>
      <c r="C135" s="3" t="s"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>
        <f>100+124</f>
        <v>224</v>
      </c>
      <c r="X135" s="2">
        <f>83+145</f>
        <v>228</v>
      </c>
      <c r="Y135" s="2">
        <f>102+124</f>
        <v>226</v>
      </c>
      <c r="Z135" s="2">
        <f>74+126</f>
        <v>200</v>
      </c>
      <c r="AA135" s="2">
        <f>87+103</f>
        <v>190</v>
      </c>
      <c r="AB135" s="2">
        <v>212</v>
      </c>
      <c r="AC135" s="2">
        <v>227</v>
      </c>
      <c r="AD135" s="2">
        <v>275</v>
      </c>
      <c r="AE135" s="2">
        <v>274</v>
      </c>
      <c r="AF135" s="2">
        <v>241</v>
      </c>
      <c r="AG135" s="2">
        <v>276</v>
      </c>
      <c r="AH135" s="2">
        <v>252</v>
      </c>
      <c r="AI135" s="2">
        <v>277</v>
      </c>
      <c r="AJ135" s="2">
        <v>237</v>
      </c>
      <c r="AK135" s="2">
        <v>274</v>
      </c>
      <c r="AL135" s="2">
        <v>262</v>
      </c>
      <c r="AM135" s="2">
        <v>242</v>
      </c>
      <c r="AN135" s="2">
        <v>230</v>
      </c>
      <c r="AO135" s="2">
        <v>278</v>
      </c>
      <c r="AP135" s="2">
        <v>279</v>
      </c>
      <c r="AQ135" s="2">
        <v>339</v>
      </c>
      <c r="AR135" s="2">
        <v>340</v>
      </c>
      <c r="AS135" s="2">
        <v>345</v>
      </c>
      <c r="AT135" s="2">
        <v>366</v>
      </c>
      <c r="AU135" s="2">
        <v>435</v>
      </c>
      <c r="AV135" s="2">
        <v>556</v>
      </c>
      <c r="AW135" s="2">
        <v>637</v>
      </c>
      <c r="AX135" s="2">
        <v>766</v>
      </c>
      <c r="AY135" s="2">
        <v>832</v>
      </c>
      <c r="AZ135" s="2">
        <v>900</v>
      </c>
      <c r="BA135" s="2">
        <v>933</v>
      </c>
      <c r="BB135" s="2">
        <v>916</v>
      </c>
      <c r="BC135" s="8"/>
    </row>
    <row r="136" spans="1:55" ht="13.5" customHeight="1" x14ac:dyDescent="0.2">
      <c r="A136" s="7"/>
      <c r="B136" s="3"/>
      <c r="C136" s="3" t="s">
        <v>9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3"/>
      <c r="AS136" s="2">
        <v>13</v>
      </c>
      <c r="AT136" s="2">
        <v>40</v>
      </c>
      <c r="AU136" s="2">
        <v>44</v>
      </c>
      <c r="AV136" s="2">
        <v>58</v>
      </c>
      <c r="AW136" s="2">
        <v>67</v>
      </c>
      <c r="AX136" s="2">
        <v>87</v>
      </c>
      <c r="AY136" s="2">
        <v>66</v>
      </c>
      <c r="AZ136" s="2">
        <v>70</v>
      </c>
      <c r="BA136" s="2">
        <v>71</v>
      </c>
      <c r="BB136" s="2">
        <v>69</v>
      </c>
      <c r="BC136" s="8"/>
    </row>
    <row r="137" spans="1:55" ht="13.5" customHeight="1" x14ac:dyDescent="0.2">
      <c r="A137" s="7"/>
      <c r="B137" s="3"/>
      <c r="C137" s="3" t="s">
        <v>5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>
        <v>58</v>
      </c>
      <c r="X137" s="2">
        <v>71</v>
      </c>
      <c r="Y137" s="2">
        <v>79</v>
      </c>
      <c r="Z137" s="2">
        <v>68</v>
      </c>
      <c r="AA137" s="2">
        <v>57</v>
      </c>
      <c r="AB137" s="2">
        <v>81</v>
      </c>
      <c r="AC137" s="2">
        <v>98</v>
      </c>
      <c r="AD137" s="2">
        <v>95</v>
      </c>
      <c r="AE137" s="2">
        <v>105</v>
      </c>
      <c r="AF137" s="2">
        <v>112</v>
      </c>
      <c r="AG137" s="2">
        <v>97</v>
      </c>
      <c r="AH137" s="2">
        <v>90</v>
      </c>
      <c r="AI137" s="2">
        <v>88</v>
      </c>
      <c r="AJ137" s="2">
        <v>77</v>
      </c>
      <c r="AK137" s="2">
        <v>135</v>
      </c>
      <c r="AL137" s="2">
        <v>117</v>
      </c>
      <c r="AM137" s="2">
        <v>114</v>
      </c>
      <c r="AN137" s="2">
        <v>98</v>
      </c>
      <c r="AO137" s="2">
        <v>141</v>
      </c>
      <c r="AP137" s="2">
        <v>137</v>
      </c>
      <c r="AQ137" s="2">
        <v>132</v>
      </c>
      <c r="AR137" s="2">
        <v>189</v>
      </c>
      <c r="AS137" s="2">
        <v>200</v>
      </c>
      <c r="AT137" s="2">
        <v>189</v>
      </c>
      <c r="AU137" s="2">
        <v>189</v>
      </c>
      <c r="AV137" s="2">
        <v>211</v>
      </c>
      <c r="AW137" s="2">
        <v>193</v>
      </c>
      <c r="AX137" s="2">
        <v>228</v>
      </c>
      <c r="AY137" s="2">
        <v>191</v>
      </c>
      <c r="AZ137" s="2">
        <v>223</v>
      </c>
      <c r="BA137" s="2">
        <v>230</v>
      </c>
      <c r="BB137" s="2">
        <v>228</v>
      </c>
      <c r="BC137" s="8"/>
    </row>
    <row r="138" spans="1:55" ht="13.5" customHeight="1" x14ac:dyDescent="0.2">
      <c r="A138" s="7"/>
      <c r="B138" s="3"/>
      <c r="C138" s="3" t="s">
        <v>7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>
        <v>9</v>
      </c>
      <c r="X138" s="2">
        <v>9</v>
      </c>
      <c r="Y138" s="2">
        <v>12</v>
      </c>
      <c r="Z138" s="2">
        <v>12</v>
      </c>
      <c r="AA138" s="2">
        <v>6</v>
      </c>
      <c r="AB138" s="2">
        <v>10</v>
      </c>
      <c r="AC138" s="2">
        <v>11</v>
      </c>
      <c r="AD138" s="2">
        <v>9</v>
      </c>
      <c r="AE138" s="2">
        <v>7</v>
      </c>
      <c r="AF138" s="2">
        <v>5</v>
      </c>
      <c r="AG138" s="2">
        <v>12</v>
      </c>
      <c r="AH138" s="2">
        <v>9</v>
      </c>
      <c r="AI138" s="2">
        <v>15</v>
      </c>
      <c r="AJ138" s="2">
        <v>11</v>
      </c>
      <c r="AK138" s="2">
        <v>22</v>
      </c>
      <c r="AL138" s="2">
        <v>16</v>
      </c>
      <c r="AM138" s="2">
        <v>4</v>
      </c>
      <c r="AN138" s="2">
        <v>4</v>
      </c>
      <c r="AO138" s="2">
        <v>3</v>
      </c>
      <c r="AP138" s="2">
        <v>7</v>
      </c>
      <c r="AQ138" s="2">
        <v>7</v>
      </c>
      <c r="AR138" s="2">
        <v>7</v>
      </c>
      <c r="AS138" s="2">
        <v>8</v>
      </c>
      <c r="AT138" s="2">
        <v>42</v>
      </c>
      <c r="AU138" s="2">
        <v>56</v>
      </c>
      <c r="AV138" s="2">
        <v>53</v>
      </c>
      <c r="AW138" s="2">
        <v>59</v>
      </c>
      <c r="AX138" s="2">
        <v>83</v>
      </c>
      <c r="AY138" s="2">
        <v>82</v>
      </c>
      <c r="AZ138" s="2">
        <v>93</v>
      </c>
      <c r="BA138" s="2">
        <v>130</v>
      </c>
      <c r="BB138" s="2">
        <v>119</v>
      </c>
      <c r="BC138" s="8"/>
    </row>
    <row r="139" spans="1:55" ht="13.5" customHeight="1" x14ac:dyDescent="0.2">
      <c r="A139" s="7"/>
      <c r="B139" s="3"/>
      <c r="C139" s="3" t="s">
        <v>32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>
        <v>187</v>
      </c>
      <c r="X139" s="2">
        <v>170</v>
      </c>
      <c r="Y139" s="2">
        <v>180</v>
      </c>
      <c r="Z139" s="2">
        <v>153</v>
      </c>
      <c r="AA139" s="2">
        <v>176</v>
      </c>
      <c r="AB139" s="2">
        <v>166</v>
      </c>
      <c r="AC139" s="2">
        <v>157</v>
      </c>
      <c r="AD139" s="2">
        <v>162</v>
      </c>
      <c r="AE139" s="2">
        <v>181</v>
      </c>
      <c r="AF139" s="2">
        <v>158</v>
      </c>
      <c r="AG139" s="2">
        <v>157</v>
      </c>
      <c r="AH139" s="2">
        <v>161</v>
      </c>
      <c r="AI139" s="2">
        <v>145</v>
      </c>
      <c r="AJ139" s="2">
        <v>148</v>
      </c>
      <c r="AK139" s="2">
        <v>158</v>
      </c>
      <c r="AL139" s="2">
        <v>152</v>
      </c>
      <c r="AM139" s="2">
        <v>153</v>
      </c>
      <c r="AN139" s="2">
        <v>156</v>
      </c>
      <c r="AO139" s="2">
        <v>150</v>
      </c>
      <c r="AP139" s="2">
        <v>153</v>
      </c>
      <c r="AQ139" s="2">
        <v>146</v>
      </c>
      <c r="AR139" s="2">
        <v>155</v>
      </c>
      <c r="AS139" s="2">
        <v>155</v>
      </c>
      <c r="AT139" s="2">
        <v>163</v>
      </c>
      <c r="AU139" s="2">
        <v>162</v>
      </c>
      <c r="AV139" s="2">
        <v>157</v>
      </c>
      <c r="AW139" s="2">
        <v>199</v>
      </c>
      <c r="AX139" s="2">
        <v>207</v>
      </c>
      <c r="AY139" s="2">
        <v>214</v>
      </c>
      <c r="AZ139" s="2">
        <v>194</v>
      </c>
      <c r="BA139" s="2">
        <v>212</v>
      </c>
      <c r="BB139" s="2">
        <v>208</v>
      </c>
      <c r="BC139" s="8"/>
    </row>
    <row r="140" spans="1:55" ht="13.5" customHeight="1" x14ac:dyDescent="0.2">
      <c r="A140" s="7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11">
        <f>SUM(W135:W139)</f>
        <v>478</v>
      </c>
      <c r="X140" s="11">
        <f t="shared" ref="X140:AA140" si="128">SUM(X135:X139)</f>
        <v>478</v>
      </c>
      <c r="Y140" s="11">
        <f t="shared" si="128"/>
        <v>497</v>
      </c>
      <c r="Z140" s="11">
        <f t="shared" si="128"/>
        <v>433</v>
      </c>
      <c r="AA140" s="11">
        <f t="shared" si="128"/>
        <v>429</v>
      </c>
      <c r="AB140" s="11">
        <f>SUM(AB135:AB139)</f>
        <v>469</v>
      </c>
      <c r="AC140" s="11">
        <f t="shared" ref="AC140:AD140" si="129">SUM(AC135:AC139)</f>
        <v>493</v>
      </c>
      <c r="AD140" s="11">
        <f t="shared" si="129"/>
        <v>541</v>
      </c>
      <c r="AE140" s="11">
        <f t="shared" ref="AE140:AG140" si="130">SUM(AE135:AE139)</f>
        <v>567</v>
      </c>
      <c r="AF140" s="11">
        <f t="shared" si="130"/>
        <v>516</v>
      </c>
      <c r="AG140" s="11">
        <f t="shared" si="130"/>
        <v>542</v>
      </c>
      <c r="AH140" s="11">
        <f t="shared" ref="AH140:AJ140" si="131">SUM(AH135:AH139)</f>
        <v>512</v>
      </c>
      <c r="AI140" s="11">
        <f t="shared" si="131"/>
        <v>525</v>
      </c>
      <c r="AJ140" s="11">
        <f t="shared" si="131"/>
        <v>473</v>
      </c>
      <c r="AK140" s="11">
        <f t="shared" ref="AK140:AV140" si="132">SUM(AK135:AK139)</f>
        <v>589</v>
      </c>
      <c r="AL140" s="11">
        <f t="shared" si="132"/>
        <v>547</v>
      </c>
      <c r="AM140" s="11">
        <f t="shared" si="132"/>
        <v>513</v>
      </c>
      <c r="AN140" s="11">
        <f t="shared" si="132"/>
        <v>488</v>
      </c>
      <c r="AO140" s="11">
        <f t="shared" si="132"/>
        <v>572</v>
      </c>
      <c r="AP140" s="11">
        <f t="shared" si="132"/>
        <v>576</v>
      </c>
      <c r="AQ140" s="11">
        <f t="shared" si="132"/>
        <v>624</v>
      </c>
      <c r="AR140" s="11">
        <f t="shared" si="132"/>
        <v>691</v>
      </c>
      <c r="AS140" s="11">
        <f t="shared" si="132"/>
        <v>721</v>
      </c>
      <c r="AT140" s="11">
        <f t="shared" si="132"/>
        <v>800</v>
      </c>
      <c r="AU140" s="11">
        <f t="shared" si="132"/>
        <v>886</v>
      </c>
      <c r="AV140" s="11">
        <f t="shared" si="132"/>
        <v>1035</v>
      </c>
      <c r="AW140" s="11">
        <f t="shared" ref="AW140:BB140" si="133">SUM(AW135:AW139)</f>
        <v>1155</v>
      </c>
      <c r="AX140" s="11">
        <f t="shared" si="133"/>
        <v>1371</v>
      </c>
      <c r="AY140" s="11">
        <f t="shared" si="133"/>
        <v>1385</v>
      </c>
      <c r="AZ140" s="11">
        <f t="shared" si="133"/>
        <v>1480</v>
      </c>
      <c r="BA140" s="11">
        <f t="shared" si="133"/>
        <v>1576</v>
      </c>
      <c r="BB140" s="11">
        <f t="shared" si="133"/>
        <v>1540</v>
      </c>
      <c r="BC140" s="8"/>
    </row>
    <row r="141" spans="1:55" ht="13.5" customHeight="1" x14ac:dyDescent="0.2">
      <c r="A141" s="7"/>
      <c r="B141" s="33" t="s">
        <v>74</v>
      </c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8"/>
    </row>
    <row r="142" spans="1:55" ht="13.5" customHeight="1" x14ac:dyDescent="0.2">
      <c r="A142" s="7"/>
      <c r="B142" s="3"/>
      <c r="C142" s="3" t="s">
        <v>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>
        <v>553</v>
      </c>
      <c r="X142" s="2">
        <v>564</v>
      </c>
      <c r="Y142" s="2">
        <v>565</v>
      </c>
      <c r="Z142" s="2">
        <v>620</v>
      </c>
      <c r="AA142" s="2">
        <v>667</v>
      </c>
      <c r="AB142" s="2">
        <v>739</v>
      </c>
      <c r="AC142" s="2">
        <v>731</v>
      </c>
      <c r="AD142" s="2">
        <v>655</v>
      </c>
      <c r="AE142" s="2">
        <v>505</v>
      </c>
      <c r="AF142" s="2">
        <v>423</v>
      </c>
      <c r="AG142" s="2">
        <v>417</v>
      </c>
      <c r="AH142" s="2">
        <v>461</v>
      </c>
      <c r="AI142" s="2">
        <v>513</v>
      </c>
      <c r="AJ142" s="2">
        <v>535</v>
      </c>
      <c r="AK142" s="2">
        <v>543</v>
      </c>
      <c r="AL142" s="2">
        <v>582</v>
      </c>
      <c r="AM142" s="2">
        <v>577</v>
      </c>
      <c r="AN142" s="2">
        <v>701</v>
      </c>
      <c r="AO142" s="2">
        <v>767</v>
      </c>
      <c r="AP142" s="2">
        <v>861</v>
      </c>
      <c r="AQ142" s="2">
        <v>878</v>
      </c>
      <c r="AR142" s="2">
        <v>895</v>
      </c>
      <c r="AS142" s="2">
        <v>899</v>
      </c>
      <c r="AT142" s="2">
        <v>999</v>
      </c>
      <c r="AU142" s="2">
        <v>929</v>
      </c>
      <c r="AV142" s="2">
        <v>921</v>
      </c>
      <c r="AW142" s="2">
        <f>654+132+122</f>
        <v>908</v>
      </c>
      <c r="AX142" s="2">
        <v>884</v>
      </c>
      <c r="AY142" s="2">
        <v>901</v>
      </c>
      <c r="AZ142" s="2">
        <v>964</v>
      </c>
      <c r="BA142" s="2">
        <v>1088</v>
      </c>
      <c r="BB142" s="2">
        <v>1170</v>
      </c>
      <c r="BC142" s="8"/>
    </row>
    <row r="143" spans="1:55" ht="13.5" customHeight="1" x14ac:dyDescent="0.2">
      <c r="A143" s="7"/>
      <c r="B143" s="3"/>
      <c r="C143" s="3" t="s">
        <v>9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>
        <v>36</v>
      </c>
      <c r="AM143" s="2">
        <v>60</v>
      </c>
      <c r="AN143" s="2">
        <v>68</v>
      </c>
      <c r="AO143" s="2">
        <v>56</v>
      </c>
      <c r="AP143" s="2">
        <v>54</v>
      </c>
      <c r="AQ143" s="2">
        <v>52</v>
      </c>
      <c r="AR143" s="2">
        <v>31</v>
      </c>
      <c r="AS143" s="2">
        <v>21</v>
      </c>
      <c r="AT143" s="2">
        <v>28</v>
      </c>
      <c r="AU143" s="2">
        <v>45</v>
      </c>
      <c r="AV143" s="2">
        <v>44</v>
      </c>
      <c r="AW143" s="2">
        <v>34</v>
      </c>
      <c r="AX143" s="2">
        <v>28</v>
      </c>
      <c r="AY143" s="2">
        <v>29</v>
      </c>
      <c r="AZ143" s="2">
        <v>36</v>
      </c>
      <c r="BA143" s="2">
        <v>60</v>
      </c>
      <c r="BB143" s="2">
        <v>130</v>
      </c>
      <c r="BC143" s="8"/>
    </row>
    <row r="144" spans="1:55" ht="13.5" customHeight="1" x14ac:dyDescent="0.2">
      <c r="A144" s="7"/>
      <c r="B144" s="3"/>
      <c r="C144" s="3" t="s">
        <v>5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>
        <v>130</v>
      </c>
      <c r="X144" s="2">
        <v>140</v>
      </c>
      <c r="Y144" s="2">
        <v>151</v>
      </c>
      <c r="Z144" s="2">
        <v>115</v>
      </c>
      <c r="AA144" s="2">
        <v>118</v>
      </c>
      <c r="AB144" s="2">
        <v>113</v>
      </c>
      <c r="AC144" s="2">
        <v>105</v>
      </c>
      <c r="AD144" s="2">
        <v>89</v>
      </c>
      <c r="AE144" s="2">
        <v>67</v>
      </c>
      <c r="AF144" s="2">
        <v>74</v>
      </c>
      <c r="AG144" s="2">
        <v>49</v>
      </c>
      <c r="AH144" s="2">
        <v>80</v>
      </c>
      <c r="AI144" s="2">
        <v>89</v>
      </c>
      <c r="AJ144" s="2">
        <v>137</v>
      </c>
      <c r="AK144" s="2">
        <v>133</v>
      </c>
      <c r="AL144" s="2">
        <v>144</v>
      </c>
      <c r="AM144" s="2">
        <v>151</v>
      </c>
      <c r="AN144" s="2">
        <v>190</v>
      </c>
      <c r="AO144" s="2">
        <v>173</v>
      </c>
      <c r="AP144" s="2">
        <v>197</v>
      </c>
      <c r="AQ144" s="2">
        <v>213</v>
      </c>
      <c r="AR144" s="2">
        <v>214</v>
      </c>
      <c r="AS144" s="2">
        <v>204</v>
      </c>
      <c r="AT144" s="2">
        <v>237</v>
      </c>
      <c r="AU144" s="2">
        <v>220</v>
      </c>
      <c r="AV144" s="2">
        <v>217</v>
      </c>
      <c r="AW144" s="2">
        <v>231</v>
      </c>
      <c r="AX144" s="2">
        <v>229</v>
      </c>
      <c r="AY144" s="2">
        <v>242</v>
      </c>
      <c r="AZ144" s="2">
        <v>222</v>
      </c>
      <c r="BA144" s="2">
        <v>241</v>
      </c>
      <c r="BB144" s="2">
        <v>223</v>
      </c>
      <c r="BC144" s="8"/>
    </row>
    <row r="145" spans="1:55" ht="13.5" customHeight="1" x14ac:dyDescent="0.2">
      <c r="A145" s="7"/>
      <c r="B145" s="3"/>
      <c r="C145" s="3" t="s">
        <v>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>
        <v>4</v>
      </c>
      <c r="X145" s="2">
        <v>3</v>
      </c>
      <c r="Y145" s="2">
        <v>9</v>
      </c>
      <c r="Z145" s="2">
        <v>3</v>
      </c>
      <c r="AA145" s="2">
        <v>7</v>
      </c>
      <c r="AB145" s="2">
        <v>10</v>
      </c>
      <c r="AC145" s="2">
        <v>10</v>
      </c>
      <c r="AD145" s="2">
        <v>3</v>
      </c>
      <c r="AE145" s="2">
        <v>3</v>
      </c>
      <c r="AF145" s="2">
        <v>9</v>
      </c>
      <c r="AG145" s="2">
        <v>4</v>
      </c>
      <c r="AH145" s="2">
        <v>6</v>
      </c>
      <c r="AI145" s="2">
        <v>5</v>
      </c>
      <c r="AJ145" s="2">
        <v>5</v>
      </c>
      <c r="AK145" s="2">
        <v>4</v>
      </c>
      <c r="AL145" s="2">
        <v>10</v>
      </c>
      <c r="AM145" s="2">
        <v>5</v>
      </c>
      <c r="AN145" s="2">
        <v>8</v>
      </c>
      <c r="AO145" s="2">
        <v>8</v>
      </c>
      <c r="AP145" s="2">
        <v>6</v>
      </c>
      <c r="AQ145" s="2">
        <v>14</v>
      </c>
      <c r="AR145" s="2">
        <v>6</v>
      </c>
      <c r="AS145" s="2">
        <v>6</v>
      </c>
      <c r="AT145" s="2">
        <v>4</v>
      </c>
      <c r="AU145" s="2">
        <v>6</v>
      </c>
      <c r="AV145" s="2">
        <v>10</v>
      </c>
      <c r="AW145" s="2">
        <v>8</v>
      </c>
      <c r="AX145" s="2">
        <v>8</v>
      </c>
      <c r="AY145" s="2">
        <v>5</v>
      </c>
      <c r="AZ145" s="2">
        <v>11</v>
      </c>
      <c r="BA145" s="2">
        <v>6</v>
      </c>
      <c r="BB145" s="2">
        <v>6</v>
      </c>
      <c r="BC145" s="8"/>
    </row>
    <row r="146" spans="1:55" ht="13.5" customHeight="1" x14ac:dyDescent="0.2">
      <c r="A146" s="7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11">
        <f t="shared" ref="W146:AA146" si="134">SUM(W142:W145)</f>
        <v>687</v>
      </c>
      <c r="X146" s="11">
        <f t="shared" si="134"/>
        <v>707</v>
      </c>
      <c r="Y146" s="11">
        <f t="shared" si="134"/>
        <v>725</v>
      </c>
      <c r="Z146" s="11">
        <f t="shared" si="134"/>
        <v>738</v>
      </c>
      <c r="AA146" s="11">
        <f t="shared" si="134"/>
        <v>792</v>
      </c>
      <c r="AB146" s="11">
        <f t="shared" ref="AB146:AD146" si="135">SUM(AB142:AB145)</f>
        <v>862</v>
      </c>
      <c r="AC146" s="11">
        <f t="shared" si="135"/>
        <v>846</v>
      </c>
      <c r="AD146" s="11">
        <f t="shared" si="135"/>
        <v>747</v>
      </c>
      <c r="AE146" s="11">
        <f t="shared" ref="AE146:AG146" si="136">SUM(AE142:AE145)</f>
        <v>575</v>
      </c>
      <c r="AF146" s="11">
        <f t="shared" si="136"/>
        <v>506</v>
      </c>
      <c r="AG146" s="11">
        <f t="shared" si="136"/>
        <v>470</v>
      </c>
      <c r="AH146" s="11">
        <f t="shared" ref="AH146:AJ146" si="137">SUM(AH142:AH145)</f>
        <v>547</v>
      </c>
      <c r="AI146" s="11">
        <f t="shared" si="137"/>
        <v>607</v>
      </c>
      <c r="AJ146" s="11">
        <f t="shared" si="137"/>
        <v>677</v>
      </c>
      <c r="AK146" s="11">
        <f t="shared" ref="AK146:AV146" si="138">SUM(AK142:AK145)</f>
        <v>680</v>
      </c>
      <c r="AL146" s="11">
        <f t="shared" si="138"/>
        <v>772</v>
      </c>
      <c r="AM146" s="11">
        <f t="shared" si="138"/>
        <v>793</v>
      </c>
      <c r="AN146" s="11">
        <f t="shared" si="138"/>
        <v>967</v>
      </c>
      <c r="AO146" s="11">
        <f t="shared" si="138"/>
        <v>1004</v>
      </c>
      <c r="AP146" s="11">
        <f t="shared" si="138"/>
        <v>1118</v>
      </c>
      <c r="AQ146" s="11">
        <f t="shared" si="138"/>
        <v>1157</v>
      </c>
      <c r="AR146" s="11">
        <f t="shared" si="138"/>
        <v>1146</v>
      </c>
      <c r="AS146" s="11">
        <f t="shared" si="138"/>
        <v>1130</v>
      </c>
      <c r="AT146" s="11">
        <f t="shared" si="138"/>
        <v>1268</v>
      </c>
      <c r="AU146" s="11">
        <f t="shared" si="138"/>
        <v>1200</v>
      </c>
      <c r="AV146" s="11">
        <f t="shared" si="138"/>
        <v>1192</v>
      </c>
      <c r="AW146" s="11">
        <f t="shared" ref="AW146:BB146" si="139">SUM(AW142:AW145)</f>
        <v>1181</v>
      </c>
      <c r="AX146" s="11">
        <f t="shared" si="139"/>
        <v>1149</v>
      </c>
      <c r="AY146" s="11">
        <f t="shared" si="139"/>
        <v>1177</v>
      </c>
      <c r="AZ146" s="11">
        <f t="shared" si="139"/>
        <v>1233</v>
      </c>
      <c r="BA146" s="11">
        <f t="shared" si="139"/>
        <v>1395</v>
      </c>
      <c r="BB146" s="11">
        <f t="shared" si="139"/>
        <v>1529</v>
      </c>
      <c r="BC146" s="8"/>
    </row>
    <row r="147" spans="1:55" ht="13.5" customHeight="1" x14ac:dyDescent="0.2">
      <c r="A147" s="7"/>
      <c r="B147" s="33" t="s">
        <v>73</v>
      </c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8"/>
    </row>
    <row r="148" spans="1:55" ht="13.5" customHeight="1" x14ac:dyDescent="0.2">
      <c r="A148" s="7"/>
      <c r="B148" s="3"/>
      <c r="C148" s="3" t="s">
        <v>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>
        <v>27</v>
      </c>
      <c r="X148" s="2">
        <v>19</v>
      </c>
      <c r="Y148" s="2">
        <v>28</v>
      </c>
      <c r="Z148" s="2">
        <v>52</v>
      </c>
      <c r="AA148" s="2">
        <v>74</v>
      </c>
      <c r="AB148" s="2">
        <v>70</v>
      </c>
      <c r="AC148" s="2">
        <v>73</v>
      </c>
      <c r="AD148" s="2">
        <v>97</v>
      </c>
      <c r="AE148" s="2">
        <v>91</v>
      </c>
      <c r="AF148" s="2">
        <v>79</v>
      </c>
      <c r="AG148" s="2">
        <v>73</v>
      </c>
      <c r="AH148" s="2">
        <v>67</v>
      </c>
      <c r="AI148" s="2">
        <v>83</v>
      </c>
      <c r="AJ148" s="2">
        <v>97</v>
      </c>
      <c r="AK148" s="2">
        <v>67</v>
      </c>
      <c r="AL148" s="2">
        <v>95</v>
      </c>
      <c r="AM148" s="2">
        <v>75</v>
      </c>
      <c r="AN148" s="2">
        <v>88</v>
      </c>
      <c r="AO148" s="2">
        <v>102</v>
      </c>
      <c r="AP148" s="2">
        <v>102</v>
      </c>
      <c r="AQ148" s="2">
        <v>102</v>
      </c>
      <c r="AR148" s="2">
        <v>127</v>
      </c>
      <c r="AS148" s="2">
        <v>101</v>
      </c>
      <c r="AT148" s="2">
        <v>98</v>
      </c>
      <c r="AU148" s="2">
        <v>87</v>
      </c>
      <c r="AV148" s="2">
        <v>102</v>
      </c>
      <c r="AW148" s="2">
        <v>89</v>
      </c>
      <c r="AX148" s="2">
        <v>69</v>
      </c>
      <c r="AY148" s="2">
        <v>63</v>
      </c>
      <c r="AZ148" s="2">
        <v>70</v>
      </c>
      <c r="BA148" s="2">
        <v>70</v>
      </c>
      <c r="BB148" s="2">
        <v>55</v>
      </c>
      <c r="BC148" s="8"/>
    </row>
    <row r="149" spans="1:55" ht="13.5" customHeight="1" x14ac:dyDescent="0.2">
      <c r="A149" s="7"/>
      <c r="B149" s="3"/>
      <c r="C149" s="3" t="s">
        <v>5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>
        <v>7</v>
      </c>
      <c r="X149" s="2">
        <v>3</v>
      </c>
      <c r="Y149" s="2">
        <v>12</v>
      </c>
      <c r="Z149" s="2">
        <v>8</v>
      </c>
      <c r="AA149" s="2">
        <v>8</v>
      </c>
      <c r="AB149" s="2">
        <v>14</v>
      </c>
      <c r="AC149" s="2">
        <v>12</v>
      </c>
      <c r="AD149" s="2">
        <v>14</v>
      </c>
      <c r="AE149" s="2">
        <v>11</v>
      </c>
      <c r="AF149" s="2">
        <v>9</v>
      </c>
      <c r="AG149" s="2">
        <v>8</v>
      </c>
      <c r="AH149" s="2">
        <v>2</v>
      </c>
      <c r="AI149" s="2">
        <v>4</v>
      </c>
      <c r="AJ149" s="2">
        <v>7</v>
      </c>
      <c r="AK149" s="2">
        <v>6</v>
      </c>
      <c r="AL149" s="2">
        <v>4</v>
      </c>
      <c r="AM149" s="2">
        <v>9</v>
      </c>
      <c r="AN149" s="2">
        <v>6</v>
      </c>
      <c r="AO149" s="2">
        <v>4</v>
      </c>
      <c r="AP149" s="2">
        <v>8</v>
      </c>
      <c r="AQ149" s="2">
        <v>6</v>
      </c>
      <c r="AR149" s="2">
        <v>5</v>
      </c>
      <c r="AS149" s="2">
        <v>4</v>
      </c>
      <c r="AT149" s="2">
        <v>7</v>
      </c>
      <c r="AU149" s="2">
        <v>6</v>
      </c>
      <c r="AV149" s="2">
        <v>7</v>
      </c>
      <c r="AW149" s="2">
        <v>3</v>
      </c>
      <c r="AX149" s="2">
        <v>4</v>
      </c>
      <c r="AY149" s="2">
        <v>5</v>
      </c>
      <c r="AZ149" s="2">
        <v>4</v>
      </c>
      <c r="BA149" s="2">
        <v>6</v>
      </c>
      <c r="BB149" s="2">
        <v>2</v>
      </c>
      <c r="BC149" s="8"/>
    </row>
    <row r="150" spans="1:55" ht="13.5" customHeight="1" x14ac:dyDescent="0.2">
      <c r="A150" s="7"/>
      <c r="B150" s="3"/>
      <c r="C150" s="3" t="s">
        <v>7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>
        <v>1</v>
      </c>
      <c r="X150" s="2">
        <v>1</v>
      </c>
      <c r="Y150" s="2">
        <v>3</v>
      </c>
      <c r="Z150" s="2">
        <v>3</v>
      </c>
      <c r="AA150" s="2">
        <v>4</v>
      </c>
      <c r="AB150" s="2">
        <v>2</v>
      </c>
      <c r="AC150" s="2">
        <v>6</v>
      </c>
      <c r="AD150" s="2">
        <v>3</v>
      </c>
      <c r="AE150" s="2">
        <v>1</v>
      </c>
      <c r="AF150" s="2">
        <v>5</v>
      </c>
      <c r="AG150" s="2">
        <v>5</v>
      </c>
      <c r="AH150" s="2">
        <v>2</v>
      </c>
      <c r="AI150" s="2">
        <v>4</v>
      </c>
      <c r="AJ150" s="2">
        <v>5</v>
      </c>
      <c r="AK150" s="2">
        <v>4</v>
      </c>
      <c r="AL150" s="2">
        <v>1</v>
      </c>
      <c r="AM150" s="2">
        <v>11</v>
      </c>
      <c r="AN150" s="2">
        <v>10</v>
      </c>
      <c r="AO150" s="2">
        <v>7</v>
      </c>
      <c r="AP150" s="2">
        <v>8</v>
      </c>
      <c r="AQ150" s="2">
        <v>3</v>
      </c>
      <c r="AR150" s="2">
        <v>1</v>
      </c>
      <c r="AS150" s="2">
        <v>7</v>
      </c>
      <c r="AT150" s="2">
        <v>2</v>
      </c>
      <c r="AU150" s="2">
        <v>1</v>
      </c>
      <c r="AV150" s="2">
        <v>7</v>
      </c>
      <c r="AW150" s="2">
        <v>3</v>
      </c>
      <c r="AX150" s="2">
        <v>4</v>
      </c>
      <c r="AY150" s="2">
        <v>5</v>
      </c>
      <c r="AZ150" s="2">
        <v>4</v>
      </c>
      <c r="BA150" s="2">
        <v>5</v>
      </c>
      <c r="BB150" s="2">
        <v>7</v>
      </c>
      <c r="BC150" s="8"/>
    </row>
    <row r="151" spans="1:55" ht="13.5" customHeight="1" x14ac:dyDescent="0.2">
      <c r="A151" s="7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11">
        <f t="shared" ref="W151:AA151" si="140">SUM(W148:W150)</f>
        <v>35</v>
      </c>
      <c r="X151" s="11">
        <f t="shared" si="140"/>
        <v>23</v>
      </c>
      <c r="Y151" s="11">
        <f t="shared" si="140"/>
        <v>43</v>
      </c>
      <c r="Z151" s="11">
        <f t="shared" si="140"/>
        <v>63</v>
      </c>
      <c r="AA151" s="11">
        <f t="shared" si="140"/>
        <v>86</v>
      </c>
      <c r="AB151" s="11">
        <f t="shared" ref="AB151:AD151" si="141">SUM(AB148:AB150)</f>
        <v>86</v>
      </c>
      <c r="AC151" s="11">
        <f t="shared" si="141"/>
        <v>91</v>
      </c>
      <c r="AD151" s="11">
        <f t="shared" si="141"/>
        <v>114</v>
      </c>
      <c r="AE151" s="11">
        <f t="shared" ref="AE151:AG151" si="142">SUM(AE148:AE150)</f>
        <v>103</v>
      </c>
      <c r="AF151" s="11">
        <f t="shared" si="142"/>
        <v>93</v>
      </c>
      <c r="AG151" s="11">
        <f t="shared" si="142"/>
        <v>86</v>
      </c>
      <c r="AH151" s="11">
        <f t="shared" ref="AH151:AJ151" si="143">SUM(AH148:AH150)</f>
        <v>71</v>
      </c>
      <c r="AI151" s="11">
        <f t="shared" si="143"/>
        <v>91</v>
      </c>
      <c r="AJ151" s="11">
        <f t="shared" si="143"/>
        <v>109</v>
      </c>
      <c r="AK151" s="11">
        <f t="shared" ref="AK151:AV151" si="144">SUM(AK148:AK150)</f>
        <v>77</v>
      </c>
      <c r="AL151" s="11">
        <f t="shared" si="144"/>
        <v>100</v>
      </c>
      <c r="AM151" s="11">
        <f t="shared" si="144"/>
        <v>95</v>
      </c>
      <c r="AN151" s="11">
        <f t="shared" si="144"/>
        <v>104</v>
      </c>
      <c r="AO151" s="11">
        <f t="shared" si="144"/>
        <v>113</v>
      </c>
      <c r="AP151" s="11">
        <f t="shared" si="144"/>
        <v>118</v>
      </c>
      <c r="AQ151" s="11">
        <f t="shared" si="144"/>
        <v>111</v>
      </c>
      <c r="AR151" s="11">
        <f t="shared" si="144"/>
        <v>133</v>
      </c>
      <c r="AS151" s="11">
        <f t="shared" si="144"/>
        <v>112</v>
      </c>
      <c r="AT151" s="11">
        <f t="shared" si="144"/>
        <v>107</v>
      </c>
      <c r="AU151" s="11">
        <f t="shared" si="144"/>
        <v>94</v>
      </c>
      <c r="AV151" s="11">
        <f t="shared" si="144"/>
        <v>116</v>
      </c>
      <c r="AW151" s="11">
        <f t="shared" ref="AW151:BB151" si="145">SUM(AW148:AW150)</f>
        <v>95</v>
      </c>
      <c r="AX151" s="11">
        <f t="shared" si="145"/>
        <v>77</v>
      </c>
      <c r="AY151" s="11">
        <f t="shared" si="145"/>
        <v>73</v>
      </c>
      <c r="AZ151" s="11">
        <f t="shared" si="145"/>
        <v>78</v>
      </c>
      <c r="BA151" s="11">
        <f t="shared" si="145"/>
        <v>81</v>
      </c>
      <c r="BB151" s="11">
        <f t="shared" si="145"/>
        <v>64</v>
      </c>
      <c r="BC151" s="8"/>
    </row>
    <row r="152" spans="1:55" ht="13.5" customHeight="1" x14ac:dyDescent="0.2">
      <c r="A152" s="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8"/>
    </row>
    <row r="153" spans="1:55" ht="13.5" customHeight="1" x14ac:dyDescent="0.2">
      <c r="A153" s="7"/>
      <c r="B153" s="15" t="s">
        <v>29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8"/>
    </row>
    <row r="154" spans="1:55" ht="13.5" customHeight="1" x14ac:dyDescent="0.2">
      <c r="A154" s="7"/>
      <c r="B154" s="10" t="s">
        <v>72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8"/>
    </row>
    <row r="155" spans="1:55" ht="13.5" customHeight="1" x14ac:dyDescent="0.2">
      <c r="A155" s="7"/>
      <c r="B155" s="2"/>
      <c r="C155" s="2" t="s">
        <v>0</v>
      </c>
      <c r="D155" s="2">
        <v>2723</v>
      </c>
      <c r="E155" s="2">
        <v>3142</v>
      </c>
      <c r="F155" s="2">
        <v>3017</v>
      </c>
      <c r="G155" s="2">
        <v>3196</v>
      </c>
      <c r="H155" s="2">
        <v>3306</v>
      </c>
      <c r="I155" s="2">
        <v>3473</v>
      </c>
      <c r="J155" s="2">
        <v>3467</v>
      </c>
      <c r="K155" s="2">
        <v>3368</v>
      </c>
      <c r="L155" s="2">
        <v>3398</v>
      </c>
      <c r="M155" s="2">
        <v>3374</v>
      </c>
      <c r="N155" s="2">
        <v>3402</v>
      </c>
      <c r="O155" s="2">
        <v>3477</v>
      </c>
      <c r="P155" s="2">
        <v>3338</v>
      </c>
      <c r="Q155" s="2">
        <v>3477</v>
      </c>
      <c r="R155" s="2">
        <v>3412</v>
      </c>
      <c r="S155" s="2">
        <v>3636</v>
      </c>
      <c r="T155" s="2">
        <v>3693</v>
      </c>
      <c r="U155" s="2">
        <v>3714</v>
      </c>
      <c r="V155" s="2">
        <v>3517</v>
      </c>
      <c r="W155" s="2">
        <f t="shared" ref="W155:AB155" si="146">W11+W16+W22+W26+W31+W36+W43+W49+W54+W66+W71+W73+W77+W83+W88+W95+W100+W105+W111+W117+W123+W129+W135+W142+W148</f>
        <v>3494</v>
      </c>
      <c r="X155" s="2">
        <f t="shared" si="146"/>
        <v>3302</v>
      </c>
      <c r="Y155" s="2">
        <f t="shared" si="146"/>
        <v>3366</v>
      </c>
      <c r="Z155" s="2">
        <f t="shared" si="146"/>
        <v>3291</v>
      </c>
      <c r="AA155" s="2">
        <f t="shared" si="146"/>
        <v>3466</v>
      </c>
      <c r="AB155" s="2">
        <f t="shared" si="146"/>
        <v>3680</v>
      </c>
      <c r="AC155" s="2">
        <f t="shared" ref="AC155:AY155" si="147">AC11+AC16+AC22+AC26+AC31+AC36+AC43+AC49+AC54+AC66+AC71+AC77+AC83+AC88+AC95+AC100+AC105+AC111+AC117+AC123+AC129+AC135+AC142+AC148</f>
        <v>3803</v>
      </c>
      <c r="AD155" s="2">
        <f t="shared" si="147"/>
        <v>3805</v>
      </c>
      <c r="AE155" s="2">
        <f t="shared" si="147"/>
        <v>3447</v>
      </c>
      <c r="AF155" s="2">
        <f t="shared" si="147"/>
        <v>3234</v>
      </c>
      <c r="AG155" s="2">
        <f t="shared" si="147"/>
        <v>3177</v>
      </c>
      <c r="AH155" s="2">
        <f t="shared" si="147"/>
        <v>3391</v>
      </c>
      <c r="AI155" s="2">
        <f t="shared" si="147"/>
        <v>3670</v>
      </c>
      <c r="AJ155" s="2">
        <f t="shared" si="147"/>
        <v>3840</v>
      </c>
      <c r="AK155" s="2">
        <f t="shared" si="147"/>
        <v>3716</v>
      </c>
      <c r="AL155" s="2">
        <f t="shared" si="147"/>
        <v>3761</v>
      </c>
      <c r="AM155" s="2">
        <f t="shared" si="147"/>
        <v>3848</v>
      </c>
      <c r="AN155" s="2">
        <f t="shared" si="147"/>
        <v>4086</v>
      </c>
      <c r="AO155" s="2">
        <f t="shared" si="147"/>
        <v>4259</v>
      </c>
      <c r="AP155" s="2">
        <f t="shared" si="147"/>
        <v>4461</v>
      </c>
      <c r="AQ155" s="2">
        <f t="shared" si="147"/>
        <v>4736</v>
      </c>
      <c r="AR155" s="2">
        <f t="shared" si="147"/>
        <v>4779</v>
      </c>
      <c r="AS155" s="2">
        <f t="shared" si="147"/>
        <v>4855</v>
      </c>
      <c r="AT155" s="2">
        <f t="shared" si="147"/>
        <v>4963</v>
      </c>
      <c r="AU155" s="2">
        <f t="shared" si="147"/>
        <v>5087</v>
      </c>
      <c r="AV155" s="2">
        <f t="shared" si="147"/>
        <v>5528</v>
      </c>
      <c r="AW155" s="2">
        <f t="shared" si="147"/>
        <v>5692</v>
      </c>
      <c r="AX155" s="2">
        <f t="shared" si="147"/>
        <v>5769</v>
      </c>
      <c r="AY155" s="2">
        <f t="shared" si="147"/>
        <v>5995</v>
      </c>
      <c r="AZ155" s="2">
        <f t="shared" ref="AZ155:BA155" si="148">AZ11+AZ16+AZ22+AZ26+AZ31+AZ36+AZ43+AZ49+AZ54+AZ66+AZ71+AZ77+AZ83+AZ88+AZ95+AZ100+AZ105+AZ111+AZ117+AZ123+AZ129+AZ135+AZ142+AZ148</f>
        <v>6283</v>
      </c>
      <c r="BA155" s="2">
        <f t="shared" si="148"/>
        <v>6331</v>
      </c>
      <c r="BB155" s="2">
        <f t="shared" ref="BB155" si="149">BB11+BB16+BB22+BB26+BB31+BB36+BB43+BB49+BB54+BB66+BB71+BB77+BB83+BB88+BB95+BB100+BB105+BB111+BB117+BB123+BB129+BB135+BB142+BB148</f>
        <v>6512</v>
      </c>
      <c r="BC155" s="8"/>
    </row>
    <row r="156" spans="1:55" ht="13.5" customHeight="1" x14ac:dyDescent="0.2">
      <c r="A156" s="7"/>
      <c r="B156" s="2"/>
      <c r="C156" s="2" t="s">
        <v>9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>
        <f>AL23+AL60+AL143</f>
        <v>36</v>
      </c>
      <c r="AM156" s="2">
        <f>AM23+AM60+AM78+AM124+AM143</f>
        <v>93</v>
      </c>
      <c r="AN156" s="2">
        <f>AN23+AN60+AN78+AN118+AN124+AN143</f>
        <v>69</v>
      </c>
      <c r="AO156" s="2">
        <f>AO23+AO55+AO60+AO78+AO118+AO124+AO143</f>
        <v>79</v>
      </c>
      <c r="AP156" s="2">
        <f>AP23+AP55+AP60+AP78+AP118+AP124+AP143</f>
        <v>84</v>
      </c>
      <c r="AQ156" s="2">
        <f>AQ23+AQ44+AQ55+AQ60+AQ78+AQ118+AQ124+AQ143</f>
        <v>68</v>
      </c>
      <c r="AR156" s="2">
        <f>AR23+AR37+AR44+AR55+AR60+AR78+AR118+AR124+AR143</f>
        <v>69</v>
      </c>
      <c r="AS156" s="2">
        <f>AS23+AS37+AS44+AS55+AS60+AS78+AS118+AS124+AS136+AS143</f>
        <v>88</v>
      </c>
      <c r="AT156" s="2">
        <f>AT23+AT37+AT44+AT55+AT60+AT78+AT118+AT124+AT136+AT143</f>
        <v>142</v>
      </c>
      <c r="AU156" s="2">
        <f>AU23+AU37+AU44+AU55+AU60+AU78+AU106+AU118+AU124+AU130+AU136+AU143</f>
        <v>162</v>
      </c>
      <c r="AV156" s="2">
        <f>AV23+AV37+AV44+AV55+AV60+AV78+AV106+AV112+AV118+AV124+AV130+AV136+AV143</f>
        <v>179</v>
      </c>
      <c r="AW156" s="2">
        <f>AW17+AW23+AW37+AW44+AW55+AW60+AW78+AW106+AW112+AW118+AW124+AW130+AW136+AW143</f>
        <v>225</v>
      </c>
      <c r="AX156" s="2">
        <f>AX17+AX23+AX37+AX44+AX55+AX60+AX78+AX89+AX106+AX112+AX118+AX124+AX130+AX136+AX143</f>
        <v>226</v>
      </c>
      <c r="AY156" s="2">
        <f>AY17+AY23+AY37+AY44+AY55+AY60+AY78+AY89+AY106+AY112+AY118+AY124+AY130+AY136+AY143</f>
        <v>239</v>
      </c>
      <c r="AZ156" s="2">
        <f>AZ17+AZ23+AZ37+AZ44+AZ55+AZ60+AZ78+AZ89+AZ106+AZ112+AZ118+AZ124+AZ130+AZ136+AZ143</f>
        <v>225</v>
      </c>
      <c r="BA156" s="2">
        <f>BA17+BA23+BA37+BA44+BA55+BA60+BA78+BA89+BA106+BA112+BA118+BA124+BA130+BA136+BA143</f>
        <v>266</v>
      </c>
      <c r="BB156" s="2">
        <f>BB17+BB37+BB44+BB55+BB60+BB78+BB89+BB106+BB112+BB118+BB124+BB130+BB136+BB143</f>
        <v>362</v>
      </c>
      <c r="BC156" s="8"/>
    </row>
    <row r="157" spans="1:55" ht="13.5" customHeight="1" x14ac:dyDescent="0.2">
      <c r="A157" s="7"/>
      <c r="B157" s="2"/>
      <c r="C157" s="2" t="s">
        <v>5</v>
      </c>
      <c r="D157" s="2">
        <v>1404</v>
      </c>
      <c r="E157" s="2">
        <v>1411</v>
      </c>
      <c r="F157" s="2">
        <v>1393</v>
      </c>
      <c r="G157" s="2">
        <v>1260</v>
      </c>
      <c r="H157" s="2">
        <v>1326</v>
      </c>
      <c r="I157" s="2">
        <v>1298</v>
      </c>
      <c r="J157" s="2">
        <v>1286</v>
      </c>
      <c r="K157" s="2">
        <v>1109</v>
      </c>
      <c r="L157" s="2">
        <v>1078</v>
      </c>
      <c r="M157" s="2">
        <v>1201</v>
      </c>
      <c r="N157" s="2">
        <v>1293</v>
      </c>
      <c r="O157" s="2">
        <v>1174</v>
      </c>
      <c r="P157" s="2">
        <v>1158</v>
      </c>
      <c r="Q157" s="2">
        <v>1084</v>
      </c>
      <c r="R157" s="2">
        <v>1178</v>
      </c>
      <c r="S157" s="2">
        <v>1156</v>
      </c>
      <c r="T157" s="2">
        <v>1038</v>
      </c>
      <c r="U157" s="2">
        <v>1059</v>
      </c>
      <c r="V157" s="2">
        <v>963</v>
      </c>
      <c r="W157" s="2">
        <f t="shared" ref="W157:AH157" si="150">W12+W18+W27+W32+W38+W45+W50+W56+W67+W74+W79+W84+W96+W101+W107+W113+W119+W125+W131+W137+W144+W149</f>
        <v>929</v>
      </c>
      <c r="X157" s="2">
        <f t="shared" si="150"/>
        <v>967</v>
      </c>
      <c r="Y157" s="2">
        <f t="shared" si="150"/>
        <v>1068</v>
      </c>
      <c r="Z157" s="2">
        <f t="shared" si="150"/>
        <v>1030</v>
      </c>
      <c r="AA157" s="2">
        <f t="shared" si="150"/>
        <v>1160</v>
      </c>
      <c r="AB157" s="2">
        <f t="shared" si="150"/>
        <v>1204</v>
      </c>
      <c r="AC157" s="2">
        <f t="shared" si="150"/>
        <v>1154</v>
      </c>
      <c r="AD157" s="2">
        <f t="shared" si="150"/>
        <v>1098</v>
      </c>
      <c r="AE157" s="2">
        <f t="shared" si="150"/>
        <v>1036</v>
      </c>
      <c r="AF157" s="2">
        <f t="shared" si="150"/>
        <v>1003</v>
      </c>
      <c r="AG157" s="2">
        <f t="shared" si="150"/>
        <v>987</v>
      </c>
      <c r="AH157" s="2">
        <f t="shared" si="150"/>
        <v>848</v>
      </c>
      <c r="AI157" s="2">
        <f>AI12+AI18+AI27+AI32+AI38+AI45+AI50+AI56+AI61+AI67+AI74+AI79+AI84+AI96+AI101+AI107+AI113+AI119+AI125+AI131+AI137+AI144+AI149</f>
        <v>893</v>
      </c>
      <c r="AJ157" s="2">
        <f>AJ12+AJ18+AJ27+AJ32+AJ38+AJ45+AJ50+AJ56+AJ61+AJ67+AJ74+AJ79+AJ84++AJ96+AJ101+AJ107+AJ113+AJ119+AJ125+AJ131+AJ137+AJ144+AJ149</f>
        <v>905</v>
      </c>
      <c r="AK157" s="2">
        <f>AK12+AK18+AK27+AK32+AK38+AK45+AK50+AK56+AK61+AK67+AK74+AK79+AK84+AK90+AK96+AK101+AK107+AK113+AK119+AK125+AK131+AK137+AK144+AK149</f>
        <v>1004</v>
      </c>
      <c r="AL157" s="2">
        <f>AL12+AL18+AL27+AL32+AL38+AL45+AL50+AL56+AL61+AL67+AL74+AL79+AL84+AL90+AL96+AL101+AL107+AL113+AL119+AL125+AL131+AL137+AL144+AL149</f>
        <v>991</v>
      </c>
      <c r="AM157" s="2">
        <f>AM12+AM18+AM27+AM32+AM38+AM45+AM50+AM56+AM61+AM67+AM74+AM79+AM84+AM90+AM96+AM101+AM107+AM113+AM119+AM125+AM131+AM137+AM144+AM149</f>
        <v>1209</v>
      </c>
      <c r="AN157" s="2">
        <f>AN12+AN18+AN27+AN32+AN38+AN45+AN50+AN56+AN61+AN67+AN74+AN79+AN84+AN90+AN96+AN101+AN107+AN113+AN119+AN125+AN131+AN137+AN144+AN149</f>
        <v>1222</v>
      </c>
      <c r="AO157" s="2">
        <f t="shared" ref="AO157:AY157" si="151">AO12+AO18+AO27+AO32+AO38+AO45+AO50+AO56+AO61+AO67+AO79+AO84+AO90+AO96+AO101+AO107+AO113+AO119+AO125+AO131+AO137+AO144+AO149</f>
        <v>1195</v>
      </c>
      <c r="AP157" s="2">
        <f t="shared" si="151"/>
        <v>1314</v>
      </c>
      <c r="AQ157" s="2">
        <f t="shared" si="151"/>
        <v>1350</v>
      </c>
      <c r="AR157" s="2">
        <f t="shared" si="151"/>
        <v>1421</v>
      </c>
      <c r="AS157" s="2">
        <f t="shared" si="151"/>
        <v>1506</v>
      </c>
      <c r="AT157" s="2">
        <f t="shared" si="151"/>
        <v>1515</v>
      </c>
      <c r="AU157" s="2">
        <f t="shared" si="151"/>
        <v>1513</v>
      </c>
      <c r="AV157" s="2">
        <f t="shared" si="151"/>
        <v>1631</v>
      </c>
      <c r="AW157" s="2">
        <f t="shared" si="151"/>
        <v>1515</v>
      </c>
      <c r="AX157" s="2">
        <f t="shared" si="151"/>
        <v>1580</v>
      </c>
      <c r="AY157" s="2">
        <f t="shared" si="151"/>
        <v>1571</v>
      </c>
      <c r="AZ157" s="2">
        <f t="shared" ref="AZ157:BA157" si="152">AZ12+AZ18+AZ27+AZ32+AZ38+AZ45+AZ50+AZ56+AZ61+AZ67+AZ79+AZ84+AZ90+AZ96+AZ101+AZ107+AZ113+AZ119+AZ125+AZ131+AZ137+AZ144+AZ149</f>
        <v>1619</v>
      </c>
      <c r="BA157" s="2">
        <f t="shared" si="152"/>
        <v>1684</v>
      </c>
      <c r="BB157" s="2">
        <f>BB12+BB18+BB27+BB32+BB38+BB45+BB50+BB56+BB61+BB67+BB74+BB79+BB84+BB90+BB96+BB101+BB107+BB113+BB119+BB125+BB131+BB137+BB144+BB149</f>
        <v>1562</v>
      </c>
      <c r="BC157" s="8"/>
    </row>
    <row r="158" spans="1:55" ht="13.5" customHeight="1" x14ac:dyDescent="0.2">
      <c r="A158" s="7"/>
      <c r="B158" s="2"/>
      <c r="C158" s="2" t="s">
        <v>11</v>
      </c>
      <c r="D158" s="2"/>
      <c r="E158" s="2"/>
      <c r="F158" s="2"/>
      <c r="G158" s="2"/>
      <c r="H158" s="2"/>
      <c r="I158" s="3"/>
      <c r="J158" s="2">
        <v>26</v>
      </c>
      <c r="K158" s="2">
        <v>40</v>
      </c>
      <c r="L158" s="2">
        <v>35</v>
      </c>
      <c r="M158" s="2">
        <v>24</v>
      </c>
      <c r="N158" s="2">
        <v>50</v>
      </c>
      <c r="O158" s="2">
        <v>58</v>
      </c>
      <c r="P158" s="2">
        <v>57</v>
      </c>
      <c r="Q158" s="2">
        <v>53</v>
      </c>
      <c r="R158" s="2">
        <v>41</v>
      </c>
      <c r="S158" s="2">
        <v>36</v>
      </c>
      <c r="T158" s="2">
        <v>37</v>
      </c>
      <c r="U158" s="2">
        <v>32</v>
      </c>
      <c r="V158" s="2">
        <v>43</v>
      </c>
      <c r="W158" s="2">
        <f t="shared" ref="W158:AY158" si="153">W39</f>
        <v>36</v>
      </c>
      <c r="X158" s="2">
        <f t="shared" si="153"/>
        <v>35</v>
      </c>
      <c r="Y158" s="3">
        <f t="shared" si="153"/>
        <v>38</v>
      </c>
      <c r="Z158" s="2">
        <f t="shared" si="153"/>
        <v>44</v>
      </c>
      <c r="AA158" s="2">
        <f t="shared" si="153"/>
        <v>39</v>
      </c>
      <c r="AB158" s="2">
        <f t="shared" si="153"/>
        <v>33</v>
      </c>
      <c r="AC158" s="2">
        <f t="shared" si="153"/>
        <v>33</v>
      </c>
      <c r="AD158" s="2">
        <f t="shared" si="153"/>
        <v>29</v>
      </c>
      <c r="AE158" s="2">
        <f t="shared" si="153"/>
        <v>33</v>
      </c>
      <c r="AF158" s="2">
        <f t="shared" si="153"/>
        <v>31</v>
      </c>
      <c r="AG158" s="2">
        <f t="shared" si="153"/>
        <v>32</v>
      </c>
      <c r="AH158" s="2">
        <f t="shared" si="153"/>
        <v>24</v>
      </c>
      <c r="AI158" s="2">
        <f t="shared" si="153"/>
        <v>32</v>
      </c>
      <c r="AJ158" s="2">
        <f t="shared" si="153"/>
        <v>12</v>
      </c>
      <c r="AK158" s="2">
        <f t="shared" si="153"/>
        <v>36</v>
      </c>
      <c r="AL158" s="2">
        <f t="shared" si="153"/>
        <v>33</v>
      </c>
      <c r="AM158" s="2">
        <f t="shared" si="153"/>
        <v>41</v>
      </c>
      <c r="AN158" s="2">
        <f t="shared" si="153"/>
        <v>23</v>
      </c>
      <c r="AO158" s="2">
        <f t="shared" si="153"/>
        <v>33</v>
      </c>
      <c r="AP158" s="2">
        <f t="shared" si="153"/>
        <v>21</v>
      </c>
      <c r="AQ158" s="2">
        <f t="shared" si="153"/>
        <v>36</v>
      </c>
      <c r="AR158" s="2">
        <f t="shared" si="153"/>
        <v>34</v>
      </c>
      <c r="AS158" s="2">
        <f t="shared" si="153"/>
        <v>57</v>
      </c>
      <c r="AT158" s="2">
        <f t="shared" si="153"/>
        <v>59</v>
      </c>
      <c r="AU158" s="2">
        <f t="shared" si="153"/>
        <v>53</v>
      </c>
      <c r="AV158" s="2">
        <f t="shared" si="153"/>
        <v>43</v>
      </c>
      <c r="AW158" s="2">
        <f t="shared" si="153"/>
        <v>63</v>
      </c>
      <c r="AX158" s="2">
        <f t="shared" si="153"/>
        <v>65</v>
      </c>
      <c r="AY158" s="2">
        <f t="shared" si="153"/>
        <v>82</v>
      </c>
      <c r="AZ158" s="2">
        <f t="shared" ref="AZ158:BA158" si="154">AZ39</f>
        <v>51</v>
      </c>
      <c r="BA158" s="2">
        <f t="shared" si="154"/>
        <v>56</v>
      </c>
      <c r="BB158" s="2">
        <f>BB39+BB91</f>
        <v>40</v>
      </c>
      <c r="BC158" s="8"/>
    </row>
    <row r="159" spans="1:55" ht="13.5" customHeight="1" x14ac:dyDescent="0.2">
      <c r="A159" s="7"/>
      <c r="B159" s="2"/>
      <c r="C159" s="2" t="s">
        <v>7</v>
      </c>
      <c r="D159" s="2">
        <v>182</v>
      </c>
      <c r="E159" s="2">
        <v>226</v>
      </c>
      <c r="F159" s="2">
        <v>288</v>
      </c>
      <c r="G159" s="2">
        <v>296</v>
      </c>
      <c r="H159" s="2">
        <v>329</v>
      </c>
      <c r="I159" s="2">
        <v>319</v>
      </c>
      <c r="J159" s="2">
        <v>329</v>
      </c>
      <c r="K159" s="2">
        <v>290</v>
      </c>
      <c r="L159" s="2">
        <v>310</v>
      </c>
      <c r="M159" s="2">
        <v>260</v>
      </c>
      <c r="N159" s="2">
        <v>226</v>
      </c>
      <c r="O159" s="2">
        <v>287</v>
      </c>
      <c r="P159" s="2">
        <v>254</v>
      </c>
      <c r="Q159" s="2">
        <v>220</v>
      </c>
      <c r="R159" s="2">
        <v>229</v>
      </c>
      <c r="S159" s="2">
        <v>222</v>
      </c>
      <c r="T159" s="2">
        <v>245</v>
      </c>
      <c r="U159" s="2">
        <v>230</v>
      </c>
      <c r="V159" s="2">
        <v>202</v>
      </c>
      <c r="W159" s="2">
        <f t="shared" ref="W159:AG159" si="155">W13+W19+W28+W40+W46+W51+W57+W68+W80+W85+W102+W108+W114+W126+W132+W138+W145+W150</f>
        <v>181</v>
      </c>
      <c r="X159" s="2">
        <f t="shared" si="155"/>
        <v>227</v>
      </c>
      <c r="Y159" s="2">
        <f t="shared" si="155"/>
        <v>236</v>
      </c>
      <c r="Z159" s="2">
        <f t="shared" si="155"/>
        <v>236</v>
      </c>
      <c r="AA159" s="2">
        <f t="shared" si="155"/>
        <v>212</v>
      </c>
      <c r="AB159" s="2">
        <f t="shared" si="155"/>
        <v>258</v>
      </c>
      <c r="AC159" s="2">
        <f t="shared" si="155"/>
        <v>260</v>
      </c>
      <c r="AD159" s="2">
        <f t="shared" si="155"/>
        <v>253</v>
      </c>
      <c r="AE159" s="2">
        <f t="shared" si="155"/>
        <v>219</v>
      </c>
      <c r="AF159" s="2">
        <f t="shared" si="155"/>
        <v>248</v>
      </c>
      <c r="AG159" s="2">
        <f t="shared" si="155"/>
        <v>264</v>
      </c>
      <c r="AH159" s="2">
        <f>AH13+AH19+AH28+AH33+AH40+AH46+AH51+AH57+AH68+AH80+AH85+AH97+AH102+AH108+AH114+AH126+AH132+AH138+AH145+AH150</f>
        <v>277</v>
      </c>
      <c r="AI159" s="2">
        <f>AI13+AI19+AI28+AI33+AI40+AI46+AI51+AI57+AI68+AI80+AI85+AI97+AI102+AI108+AI114+AI126+AI132+AI138+AI145+AI150</f>
        <v>230</v>
      </c>
      <c r="AJ159" s="2">
        <f>AJ13+AJ19+AJ28+AJ33+AJ40+AJ46+AJ51+AJ57+AJ68+AJ80+AJ85+AJ97+AJ102+AJ108+AJ114+AJ120+AJ126+AJ132+AJ138+AJ145+AJ150</f>
        <v>256</v>
      </c>
      <c r="AK159" s="2">
        <f>AK13+AK19+AK28+AK33+AK40+AK46+AK51+AK57+AK68+AK80+AK85+AK97+AK102+AK108+AK114+AK120+AK126+AK132+AK138+AK145+AK150</f>
        <v>278</v>
      </c>
      <c r="AL159" s="2">
        <f>AL13+AL19+AL28+AL33+AL40+AL46+AL51+AL57+AL68+AL80+AL85+AL92+AL97+AL102+AL108+AL114+AL120+AL126+AL132+AL138+AL145+AL150</f>
        <v>252</v>
      </c>
      <c r="AM159" s="2">
        <f>AM13+AM19+AM28+AM33+AM40+AM46+AM51+AM57+AM68+AM62+AM80+AM85+AM92+AM97+AM102+AM108+AM114+AM120+AM126+AM132+AM138+AM145+AM150</f>
        <v>274</v>
      </c>
      <c r="AN159" s="2">
        <f>AN13+AN19+AN28+AN33+AN40+AN46+AN51+AN57+AN68+AN80+AN85+AN92+AN97+AN102+AN108+AN114+AN120+AN126+AN132+AN138+AN145+AN150</f>
        <v>251</v>
      </c>
      <c r="AO159" s="2">
        <f>AO13+AO19+AO28+AO33+AO40+AO46+AO51+AO57+AO68+AO80+AO85+AO92+AO97+AO102+AO108+AO114+AO120+AO126+AO132+AO138+AO145+AO150</f>
        <v>274</v>
      </c>
      <c r="AP159" s="2">
        <f>AP13+AP19+AP28+AP33+AP40+AP46+AP51+AP57+AP68+AP80+AP85+AP92+AP97+AP102+AP108+AP114+AP120+AP126+AP132+AP138+AP145+AP150</f>
        <v>277</v>
      </c>
      <c r="AQ159" s="2">
        <f>AQ13+AQ19+AQ28+AQ33+AQ40+AQ46+AQ51+AQ57+AQ68+AQ80+AQ85+AQ92+AQ97+AQ102+AQ108+AQ114+AQ120+AQ126+AQ132+AQ138+AQ145+AQ150</f>
        <v>293</v>
      </c>
      <c r="AR159" s="2">
        <f t="shared" ref="AR159:AY159" si="156">AR13+AR19+AR28+AR33+AR40+AR46+AR51+AR57+AR68+AR80+AR85+AR92+AR102+AR108+AR114+AR120+AR126+AR132+AR138+AR145+AR150</f>
        <v>326</v>
      </c>
      <c r="AS159" s="2">
        <f t="shared" si="156"/>
        <v>306</v>
      </c>
      <c r="AT159" s="2">
        <f t="shared" si="156"/>
        <v>322</v>
      </c>
      <c r="AU159" s="2">
        <f t="shared" si="156"/>
        <v>365</v>
      </c>
      <c r="AV159" s="2">
        <f t="shared" si="156"/>
        <v>367</v>
      </c>
      <c r="AW159" s="2">
        <f t="shared" si="156"/>
        <v>411</v>
      </c>
      <c r="AX159" s="2">
        <f t="shared" si="156"/>
        <v>390</v>
      </c>
      <c r="AY159" s="2">
        <f t="shared" si="156"/>
        <v>435</v>
      </c>
      <c r="AZ159" s="2">
        <f t="shared" ref="AZ159:BA159" si="157">AZ13+AZ19+AZ28+AZ33+AZ40+AZ46+AZ51+AZ57+AZ68+AZ80+AZ85+AZ92+AZ102+AZ108+AZ114+AZ120+AZ126+AZ132+AZ138+AZ145+AZ150</f>
        <v>416</v>
      </c>
      <c r="BA159" s="2">
        <f t="shared" si="157"/>
        <v>500</v>
      </c>
      <c r="BB159" s="2">
        <f t="shared" ref="BB159" si="158">BB13+BB19+BB28+BB33+BB40+BB46+BB51+BB57+BB68+BB80+BB85+BB92+BB102+BB108+BB114+BB120+BB126+BB132+BB138+BB145+BB150</f>
        <v>501</v>
      </c>
      <c r="BC159" s="8"/>
    </row>
    <row r="160" spans="1:55" ht="13.5" customHeight="1" x14ac:dyDescent="0.2">
      <c r="A160" s="7"/>
      <c r="B160" s="2"/>
      <c r="C160" s="2" t="s">
        <v>32</v>
      </c>
      <c r="D160" s="2">
        <v>212</v>
      </c>
      <c r="E160" s="2">
        <v>217</v>
      </c>
      <c r="F160" s="2">
        <v>228</v>
      </c>
      <c r="G160" s="2">
        <v>246</v>
      </c>
      <c r="H160" s="2">
        <v>288</v>
      </c>
      <c r="I160" s="2">
        <v>352</v>
      </c>
      <c r="J160" s="2">
        <v>286</v>
      </c>
      <c r="K160" s="2">
        <v>306</v>
      </c>
      <c r="L160" s="2">
        <v>318</v>
      </c>
      <c r="M160" s="2">
        <v>311</v>
      </c>
      <c r="N160" s="2">
        <v>306</v>
      </c>
      <c r="O160" s="2">
        <v>305</v>
      </c>
      <c r="P160" s="2">
        <v>322</v>
      </c>
      <c r="Q160" s="2">
        <v>323</v>
      </c>
      <c r="R160" s="2">
        <v>327</v>
      </c>
      <c r="S160" s="2">
        <v>342</v>
      </c>
      <c r="T160" s="2">
        <v>327</v>
      </c>
      <c r="U160" s="2">
        <v>291</v>
      </c>
      <c r="V160" s="2">
        <v>303</v>
      </c>
      <c r="W160" s="2">
        <f t="shared" ref="W160:AY160" si="159">W63+W139</f>
        <v>324</v>
      </c>
      <c r="X160" s="2">
        <f t="shared" si="159"/>
        <v>304</v>
      </c>
      <c r="Y160" s="2">
        <f t="shared" si="159"/>
        <v>311</v>
      </c>
      <c r="Z160" s="2">
        <f t="shared" si="159"/>
        <v>307</v>
      </c>
      <c r="AA160" s="2">
        <f t="shared" si="159"/>
        <v>334</v>
      </c>
      <c r="AB160" s="2">
        <f t="shared" si="159"/>
        <v>315</v>
      </c>
      <c r="AC160" s="2">
        <f t="shared" si="159"/>
        <v>287</v>
      </c>
      <c r="AD160" s="2">
        <f t="shared" si="159"/>
        <v>293</v>
      </c>
      <c r="AE160" s="2">
        <f t="shared" si="159"/>
        <v>302</v>
      </c>
      <c r="AF160" s="2">
        <f t="shared" si="159"/>
        <v>311</v>
      </c>
      <c r="AG160" s="2">
        <f t="shared" si="159"/>
        <v>278</v>
      </c>
      <c r="AH160" s="2">
        <f t="shared" si="159"/>
        <v>292</v>
      </c>
      <c r="AI160" s="2">
        <f t="shared" si="159"/>
        <v>330</v>
      </c>
      <c r="AJ160" s="2">
        <f t="shared" si="159"/>
        <v>314</v>
      </c>
      <c r="AK160" s="2">
        <f t="shared" si="159"/>
        <v>315</v>
      </c>
      <c r="AL160" s="2">
        <f t="shared" si="159"/>
        <v>291</v>
      </c>
      <c r="AM160" s="2">
        <f t="shared" si="159"/>
        <v>325</v>
      </c>
      <c r="AN160" s="2">
        <f t="shared" si="159"/>
        <v>331</v>
      </c>
      <c r="AO160" s="2">
        <f t="shared" si="159"/>
        <v>288</v>
      </c>
      <c r="AP160" s="2">
        <f t="shared" si="159"/>
        <v>292</v>
      </c>
      <c r="AQ160" s="2">
        <f t="shared" si="159"/>
        <v>289</v>
      </c>
      <c r="AR160" s="2">
        <f t="shared" si="159"/>
        <v>303</v>
      </c>
      <c r="AS160" s="2">
        <f t="shared" si="159"/>
        <v>307</v>
      </c>
      <c r="AT160" s="2">
        <f t="shared" si="159"/>
        <v>304</v>
      </c>
      <c r="AU160" s="2">
        <f t="shared" si="159"/>
        <v>306</v>
      </c>
      <c r="AV160" s="2">
        <f t="shared" si="159"/>
        <v>299</v>
      </c>
      <c r="AW160" s="2">
        <f t="shared" si="159"/>
        <v>332</v>
      </c>
      <c r="AX160" s="2">
        <f t="shared" si="159"/>
        <v>339</v>
      </c>
      <c r="AY160" s="2">
        <f t="shared" si="159"/>
        <v>346</v>
      </c>
      <c r="AZ160" s="2">
        <f t="shared" ref="AZ160:BA160" si="160">AZ63+AZ139</f>
        <v>308</v>
      </c>
      <c r="BA160" s="2">
        <f t="shared" si="160"/>
        <v>313</v>
      </c>
      <c r="BB160" s="2">
        <f t="shared" ref="BB160" si="161">BB63+BB139</f>
        <v>302</v>
      </c>
      <c r="BC160" s="8"/>
    </row>
    <row r="161" spans="1:55" ht="13.5" customHeight="1" x14ac:dyDescent="0.2">
      <c r="A161" s="7"/>
      <c r="B161" s="2"/>
      <c r="C161" s="2"/>
      <c r="D161" s="11">
        <f t="shared" ref="D161:M161" si="162">SUM(D155:D160)</f>
        <v>4521</v>
      </c>
      <c r="E161" s="11">
        <f t="shared" si="162"/>
        <v>4996</v>
      </c>
      <c r="F161" s="11">
        <f t="shared" si="162"/>
        <v>4926</v>
      </c>
      <c r="G161" s="11">
        <f t="shared" si="162"/>
        <v>4998</v>
      </c>
      <c r="H161" s="11">
        <f t="shared" si="162"/>
        <v>5249</v>
      </c>
      <c r="I161" s="11">
        <f t="shared" si="162"/>
        <v>5442</v>
      </c>
      <c r="J161" s="11">
        <f t="shared" si="162"/>
        <v>5394</v>
      </c>
      <c r="K161" s="11">
        <f t="shared" si="162"/>
        <v>5113</v>
      </c>
      <c r="L161" s="11">
        <f t="shared" si="162"/>
        <v>5139</v>
      </c>
      <c r="M161" s="11">
        <f t="shared" si="162"/>
        <v>5170</v>
      </c>
      <c r="N161" s="11">
        <f t="shared" ref="N161:V161" si="163">SUM(N155:N160)</f>
        <v>5277</v>
      </c>
      <c r="O161" s="11">
        <f t="shared" si="163"/>
        <v>5301</v>
      </c>
      <c r="P161" s="11">
        <f t="shared" si="163"/>
        <v>5129</v>
      </c>
      <c r="Q161" s="11">
        <f t="shared" si="163"/>
        <v>5157</v>
      </c>
      <c r="R161" s="11">
        <f t="shared" si="163"/>
        <v>5187</v>
      </c>
      <c r="S161" s="11">
        <f t="shared" si="163"/>
        <v>5392</v>
      </c>
      <c r="T161" s="11">
        <f t="shared" si="163"/>
        <v>5340</v>
      </c>
      <c r="U161" s="11">
        <f t="shared" si="163"/>
        <v>5326</v>
      </c>
      <c r="V161" s="11">
        <f t="shared" si="163"/>
        <v>5028</v>
      </c>
      <c r="W161" s="11">
        <f t="shared" ref="W161:AA161" si="164">SUM(W155:W160)</f>
        <v>4964</v>
      </c>
      <c r="X161" s="11">
        <f t="shared" si="164"/>
        <v>4835</v>
      </c>
      <c r="Y161" s="11">
        <f t="shared" si="164"/>
        <v>5019</v>
      </c>
      <c r="Z161" s="11">
        <f t="shared" si="164"/>
        <v>4908</v>
      </c>
      <c r="AA161" s="11">
        <f t="shared" si="164"/>
        <v>5211</v>
      </c>
      <c r="AB161" s="11">
        <f t="shared" ref="AB161:AD161" si="165">SUM(AB155:AB160)</f>
        <v>5490</v>
      </c>
      <c r="AC161" s="11">
        <f t="shared" si="165"/>
        <v>5537</v>
      </c>
      <c r="AD161" s="11">
        <f t="shared" si="165"/>
        <v>5478</v>
      </c>
      <c r="AE161" s="11">
        <f t="shared" ref="AE161:AG161" si="166">SUM(AE155:AE160)</f>
        <v>5037</v>
      </c>
      <c r="AF161" s="11">
        <f t="shared" si="166"/>
        <v>4827</v>
      </c>
      <c r="AG161" s="11">
        <f t="shared" si="166"/>
        <v>4738</v>
      </c>
      <c r="AH161" s="11">
        <f t="shared" ref="AH161" si="167">SUM(AH155:AH160)</f>
        <v>4832</v>
      </c>
      <c r="AI161" s="11">
        <f t="shared" ref="AI161:AJ161" si="168">SUM(AI155:AI160)</f>
        <v>5155</v>
      </c>
      <c r="AJ161" s="11">
        <f t="shared" si="168"/>
        <v>5327</v>
      </c>
      <c r="AK161" s="11">
        <f t="shared" ref="AK161:AU161" si="169">SUM(AK155:AK160)</f>
        <v>5349</v>
      </c>
      <c r="AL161" s="11">
        <f t="shared" si="169"/>
        <v>5364</v>
      </c>
      <c r="AM161" s="11">
        <f t="shared" si="169"/>
        <v>5790</v>
      </c>
      <c r="AN161" s="11">
        <f t="shared" si="169"/>
        <v>5982</v>
      </c>
      <c r="AO161" s="11">
        <f t="shared" si="169"/>
        <v>6128</v>
      </c>
      <c r="AP161" s="11">
        <f t="shared" si="169"/>
        <v>6449</v>
      </c>
      <c r="AQ161" s="11">
        <f t="shared" si="169"/>
        <v>6772</v>
      </c>
      <c r="AR161" s="11">
        <f t="shared" si="169"/>
        <v>6932</v>
      </c>
      <c r="AS161" s="11">
        <f t="shared" si="169"/>
        <v>7119</v>
      </c>
      <c r="AT161" s="11">
        <f t="shared" si="169"/>
        <v>7305</v>
      </c>
      <c r="AU161" s="11">
        <f t="shared" si="169"/>
        <v>7486</v>
      </c>
      <c r="AV161" s="11">
        <f t="shared" ref="AV161:BA161" si="170">SUM(AV155:AV160)</f>
        <v>8047</v>
      </c>
      <c r="AW161" s="11">
        <f t="shared" si="170"/>
        <v>8238</v>
      </c>
      <c r="AX161" s="11">
        <f t="shared" si="170"/>
        <v>8369</v>
      </c>
      <c r="AY161" s="11">
        <f t="shared" si="170"/>
        <v>8668</v>
      </c>
      <c r="AZ161" s="11">
        <f t="shared" si="170"/>
        <v>8902</v>
      </c>
      <c r="BA161" s="11">
        <f t="shared" si="170"/>
        <v>9150</v>
      </c>
      <c r="BB161" s="11">
        <f t="shared" ref="BB161" si="171">SUM(BB155:BB160)</f>
        <v>9279</v>
      </c>
      <c r="BC161" s="8"/>
    </row>
    <row r="162" spans="1:55" ht="13.5" customHeight="1" x14ac:dyDescent="0.2">
      <c r="A162" s="7"/>
      <c r="B162" s="10" t="s">
        <v>33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0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8"/>
    </row>
    <row r="163" spans="1:55" ht="13.5" customHeight="1" x14ac:dyDescent="0.2">
      <c r="A163" s="7"/>
      <c r="B163" s="2"/>
      <c r="C163" s="2" t="s">
        <v>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>
        <f t="shared" ref="W163:AY163" si="172">W11+W16+W31+W43+W77+W83+W105</f>
        <v>1032</v>
      </c>
      <c r="X163" s="2">
        <f t="shared" si="172"/>
        <v>942</v>
      </c>
      <c r="Y163" s="2">
        <f t="shared" si="172"/>
        <v>880</v>
      </c>
      <c r="Z163" s="2">
        <f t="shared" si="172"/>
        <v>805</v>
      </c>
      <c r="AA163" s="2">
        <f t="shared" si="172"/>
        <v>790</v>
      </c>
      <c r="AB163" s="2">
        <f t="shared" si="172"/>
        <v>759</v>
      </c>
      <c r="AC163" s="2">
        <f t="shared" si="172"/>
        <v>829</v>
      </c>
      <c r="AD163" s="2">
        <f t="shared" si="172"/>
        <v>872</v>
      </c>
      <c r="AE163" s="2">
        <f t="shared" si="172"/>
        <v>825</v>
      </c>
      <c r="AF163" s="2">
        <f t="shared" si="172"/>
        <v>911</v>
      </c>
      <c r="AG163" s="2">
        <f t="shared" si="172"/>
        <v>865</v>
      </c>
      <c r="AH163" s="2">
        <f t="shared" si="172"/>
        <v>895</v>
      </c>
      <c r="AI163" s="2">
        <f t="shared" si="172"/>
        <v>943</v>
      </c>
      <c r="AJ163" s="2">
        <f t="shared" si="172"/>
        <v>1016</v>
      </c>
      <c r="AK163" s="2">
        <f t="shared" si="172"/>
        <v>965</v>
      </c>
      <c r="AL163" s="2">
        <f t="shared" si="172"/>
        <v>897</v>
      </c>
      <c r="AM163" s="2">
        <f t="shared" si="172"/>
        <v>949</v>
      </c>
      <c r="AN163" s="2">
        <f t="shared" si="172"/>
        <v>992</v>
      </c>
      <c r="AO163" s="2">
        <f t="shared" si="172"/>
        <v>959</v>
      </c>
      <c r="AP163" s="2">
        <f t="shared" si="172"/>
        <v>983</v>
      </c>
      <c r="AQ163" s="2">
        <f t="shared" si="172"/>
        <v>1051</v>
      </c>
      <c r="AR163" s="2">
        <f t="shared" si="172"/>
        <v>1019</v>
      </c>
      <c r="AS163" s="2">
        <f t="shared" si="172"/>
        <v>1033</v>
      </c>
      <c r="AT163" s="2">
        <f t="shared" si="172"/>
        <v>1056</v>
      </c>
      <c r="AU163" s="2">
        <f t="shared" si="172"/>
        <v>1110</v>
      </c>
      <c r="AV163" s="2">
        <f t="shared" si="172"/>
        <v>1249</v>
      </c>
      <c r="AW163" s="2">
        <f t="shared" si="172"/>
        <v>1283</v>
      </c>
      <c r="AX163" s="2">
        <f t="shared" si="172"/>
        <v>1272</v>
      </c>
      <c r="AY163" s="2">
        <f t="shared" si="172"/>
        <v>1479</v>
      </c>
      <c r="AZ163" s="2">
        <f t="shared" ref="AZ163:BA163" si="173">AZ11+AZ16+AZ31+AZ43+AZ77+AZ83+AZ105</f>
        <v>1571</v>
      </c>
      <c r="BA163" s="2">
        <f t="shared" si="173"/>
        <v>1514</v>
      </c>
      <c r="BB163" s="2">
        <f t="shared" ref="BB163" si="174">BB11+BB16+BB31+BB43+BB77+BB83+BB105</f>
        <v>1600</v>
      </c>
      <c r="BC163" s="8"/>
    </row>
    <row r="164" spans="1:55" ht="13.5" customHeight="1" x14ac:dyDescent="0.2">
      <c r="A164" s="7"/>
      <c r="B164" s="2"/>
      <c r="C164" s="2" t="s">
        <v>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>
        <f>AM78</f>
        <v>0</v>
      </c>
      <c r="AN164" s="2">
        <f>AN78</f>
        <v>0</v>
      </c>
      <c r="AO164" s="2">
        <f>AO78</f>
        <v>2</v>
      </c>
      <c r="AP164" s="2">
        <f>AP78</f>
        <v>2</v>
      </c>
      <c r="AQ164" s="2">
        <f>AQ44+AQ78</f>
        <v>1</v>
      </c>
      <c r="AR164" s="2">
        <f>AR44+AR78</f>
        <v>1</v>
      </c>
      <c r="AS164" s="2">
        <f>AS44+AS78</f>
        <v>3</v>
      </c>
      <c r="AT164" s="2">
        <f>AT44+AT78</f>
        <v>2</v>
      </c>
      <c r="AU164" s="2">
        <f t="shared" ref="AU164:AV164" si="175">AU44+AU78+AU106</f>
        <v>3</v>
      </c>
      <c r="AV164" s="2">
        <f t="shared" si="175"/>
        <v>8</v>
      </c>
      <c r="AW164" s="2">
        <f t="shared" ref="AW164:BA164" si="176">AW17+AW44+AW78+AW106</f>
        <v>12</v>
      </c>
      <c r="AX164" s="2">
        <f t="shared" si="176"/>
        <v>9</v>
      </c>
      <c r="AY164" s="2">
        <f t="shared" si="176"/>
        <v>37</v>
      </c>
      <c r="AZ164" s="2">
        <f t="shared" si="176"/>
        <v>6</v>
      </c>
      <c r="BA164" s="2">
        <f t="shared" si="176"/>
        <v>17</v>
      </c>
      <c r="BB164" s="2">
        <f>BB17+BB44+BB78+BB106+9</f>
        <v>35</v>
      </c>
      <c r="BC164" s="8"/>
    </row>
    <row r="165" spans="1:55" ht="13.5" customHeight="1" x14ac:dyDescent="0.2">
      <c r="A165" s="7"/>
      <c r="B165" s="2"/>
      <c r="C165" s="2" t="s">
        <v>5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>
        <f t="shared" ref="W165:AQ165" si="177">W12+W18+W32+W45+W79+W84+W107</f>
        <v>208</v>
      </c>
      <c r="X165" s="2">
        <f t="shared" si="177"/>
        <v>223</v>
      </c>
      <c r="Y165" s="2">
        <f t="shared" si="177"/>
        <v>225</v>
      </c>
      <c r="Z165" s="2">
        <f t="shared" si="177"/>
        <v>260</v>
      </c>
      <c r="AA165" s="2">
        <f t="shared" si="177"/>
        <v>304</v>
      </c>
      <c r="AB165" s="2">
        <f t="shared" si="177"/>
        <v>295</v>
      </c>
      <c r="AC165" s="2">
        <f t="shared" si="177"/>
        <v>299</v>
      </c>
      <c r="AD165" s="2">
        <f t="shared" si="177"/>
        <v>244</v>
      </c>
      <c r="AE165" s="2">
        <f t="shared" si="177"/>
        <v>249</v>
      </c>
      <c r="AF165" s="2">
        <f t="shared" si="177"/>
        <v>215</v>
      </c>
      <c r="AG165" s="2">
        <f t="shared" si="177"/>
        <v>218</v>
      </c>
      <c r="AH165" s="2">
        <f t="shared" si="177"/>
        <v>173</v>
      </c>
      <c r="AI165" s="2">
        <f t="shared" si="177"/>
        <v>183</v>
      </c>
      <c r="AJ165" s="2">
        <f t="shared" si="177"/>
        <v>162</v>
      </c>
      <c r="AK165" s="2">
        <f t="shared" si="177"/>
        <v>159</v>
      </c>
      <c r="AL165" s="2">
        <f t="shared" si="177"/>
        <v>155</v>
      </c>
      <c r="AM165" s="2">
        <f t="shared" si="177"/>
        <v>187</v>
      </c>
      <c r="AN165" s="2">
        <f t="shared" si="177"/>
        <v>190</v>
      </c>
      <c r="AO165" s="2">
        <f t="shared" si="177"/>
        <v>195</v>
      </c>
      <c r="AP165" s="2">
        <f t="shared" si="177"/>
        <v>210</v>
      </c>
      <c r="AQ165" s="2">
        <f t="shared" si="177"/>
        <v>162</v>
      </c>
      <c r="AR165" s="2">
        <f>AR12+AR18+AR32+AR45+AR79+AR84+AR107+2</f>
        <v>205</v>
      </c>
      <c r="AS165" s="2">
        <f>AS12+AS18+AS32+AS45+AS79+AS84+AS107+1</f>
        <v>216</v>
      </c>
      <c r="AT165" s="2">
        <f>AT12+AT18+AT32+AT45+AT79+AT84+AT107</f>
        <v>180</v>
      </c>
      <c r="AU165" s="2">
        <f>AU12+AU18+AU32+AU45+AU79+AU84+AU107</f>
        <v>228</v>
      </c>
      <c r="AV165" s="2">
        <f>AV12+AV18+AV32+AV45+AV79+AV84+AV107+1</f>
        <v>232</v>
      </c>
      <c r="AW165" s="2">
        <f>AW12+AW18+AW32+AW45+AW79+AW84+AW107+2</f>
        <v>254</v>
      </c>
      <c r="AX165" s="2">
        <f>AX12+AX18+AX32+AX45+AX79+AX84+AX107+1</f>
        <v>309</v>
      </c>
      <c r="AY165" s="2">
        <f>AY12+AY18+AY32+AY45+AY79+AY84+AY107+1</f>
        <v>316</v>
      </c>
      <c r="AZ165" s="2">
        <f>AZ12+AZ18+AZ32+AZ45+AZ79+AZ84+AZ107</f>
        <v>297</v>
      </c>
      <c r="BA165" s="2">
        <f>BA12+BA18+BA32+BA45+BA79+BA84+BA107</f>
        <v>309</v>
      </c>
      <c r="BB165" s="2">
        <f>BB12+BB18+BB32+BB45+BB79+BB84+BB107</f>
        <v>279</v>
      </c>
      <c r="BC165" s="8"/>
    </row>
    <row r="166" spans="1:55" ht="13.5" customHeight="1" x14ac:dyDescent="0.2">
      <c r="A166" s="7"/>
      <c r="B166" s="2"/>
      <c r="C166" s="2" t="s">
        <v>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>
        <f t="shared" ref="W166:AF166" si="178">W13+W19+W46+W80+W85+W108</f>
        <v>52</v>
      </c>
      <c r="X166" s="2">
        <f t="shared" si="178"/>
        <v>74</v>
      </c>
      <c r="Y166" s="2">
        <f t="shared" si="178"/>
        <v>87</v>
      </c>
      <c r="Z166" s="2">
        <f t="shared" si="178"/>
        <v>94</v>
      </c>
      <c r="AA166" s="2">
        <f t="shared" si="178"/>
        <v>70</v>
      </c>
      <c r="AB166" s="2">
        <f t="shared" si="178"/>
        <v>105</v>
      </c>
      <c r="AC166" s="2">
        <f t="shared" si="178"/>
        <v>85</v>
      </c>
      <c r="AD166" s="2">
        <f t="shared" si="178"/>
        <v>107</v>
      </c>
      <c r="AE166" s="2">
        <f t="shared" si="178"/>
        <v>89</v>
      </c>
      <c r="AF166" s="2">
        <f t="shared" si="178"/>
        <v>98</v>
      </c>
      <c r="AG166" s="2">
        <f>AG13+AG19+AG46++AG80+AG85+AG108</f>
        <v>102</v>
      </c>
      <c r="AH166" s="2">
        <f t="shared" ref="AH166:AP166" si="179">AH13+AH19+AH33+AH46+AH80+AH85+AH108</f>
        <v>108</v>
      </c>
      <c r="AI166" s="2">
        <f t="shared" si="179"/>
        <v>80</v>
      </c>
      <c r="AJ166" s="2">
        <f t="shared" si="179"/>
        <v>98</v>
      </c>
      <c r="AK166" s="2">
        <f t="shared" si="179"/>
        <v>93</v>
      </c>
      <c r="AL166" s="2">
        <f t="shared" si="179"/>
        <v>90</v>
      </c>
      <c r="AM166" s="2">
        <f t="shared" si="179"/>
        <v>102</v>
      </c>
      <c r="AN166" s="2">
        <f t="shared" si="179"/>
        <v>81</v>
      </c>
      <c r="AO166" s="2">
        <f t="shared" si="179"/>
        <v>106</v>
      </c>
      <c r="AP166" s="2">
        <f t="shared" si="179"/>
        <v>124</v>
      </c>
      <c r="AQ166" s="2">
        <f>AQ13+AQ19+AQ33+AQ46+AQ80+AQ85+AQ108+1</f>
        <v>120</v>
      </c>
      <c r="AR166" s="2">
        <f>AR13+AR19+AR33+AR46+AR80+AR85+AR108+1</f>
        <v>141</v>
      </c>
      <c r="AS166" s="2">
        <f>AS13+AS19+AS33+AS46+AS80+AS85+AS108+1</f>
        <v>119</v>
      </c>
      <c r="AT166" s="2">
        <f>AT13+AT19+AT33+AT46+AT80+AT85+AT108+1</f>
        <v>116</v>
      </c>
      <c r="AU166" s="2">
        <f>AU13+AU19+AU33+AU46+AU80+AU85+AU108+2</f>
        <v>125</v>
      </c>
      <c r="AV166" s="2">
        <f>AV13+AV19+AV33+AV46+AV80+AV85+AV108</f>
        <v>137</v>
      </c>
      <c r="AW166" s="2">
        <f>AW13+AW19+AW33+AW46+AW80+AW85+AW108</f>
        <v>141</v>
      </c>
      <c r="AX166" s="2">
        <f>AX13+AX19+AX33+AX46+AX80+AX85+AX108</f>
        <v>137</v>
      </c>
      <c r="AY166" s="2">
        <f>AY13+AY19+AY33+AY46+AY80+AY85+AY108</f>
        <v>160</v>
      </c>
      <c r="AZ166" s="2">
        <f>AZ13+AZ19+AZ33+AZ46+AZ80+AZ85+AZ108</f>
        <v>149</v>
      </c>
      <c r="BA166" s="2">
        <f>BA13+BA19+BA33+BA46+BA80+BA85+BA108+2</f>
        <v>166</v>
      </c>
      <c r="BB166" s="2">
        <f>BB13+BB19+BB33+BB46+BB80+BB85+BB108</f>
        <v>161</v>
      </c>
      <c r="BC166" s="8"/>
    </row>
    <row r="167" spans="1:55" ht="13.5" customHeight="1" x14ac:dyDescent="0.2">
      <c r="A167" s="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11">
        <f t="shared" ref="W167:AA167" si="180">SUM(W163:W166)</f>
        <v>1292</v>
      </c>
      <c r="X167" s="11">
        <f t="shared" si="180"/>
        <v>1239</v>
      </c>
      <c r="Y167" s="11">
        <f t="shared" si="180"/>
        <v>1192</v>
      </c>
      <c r="Z167" s="11">
        <f t="shared" si="180"/>
        <v>1159</v>
      </c>
      <c r="AA167" s="11">
        <f t="shared" si="180"/>
        <v>1164</v>
      </c>
      <c r="AB167" s="11">
        <f t="shared" ref="AB167:AD167" si="181">SUM(AB163:AB166)</f>
        <v>1159</v>
      </c>
      <c r="AC167" s="11">
        <f t="shared" si="181"/>
        <v>1213</v>
      </c>
      <c r="AD167" s="11">
        <f t="shared" si="181"/>
        <v>1223</v>
      </c>
      <c r="AE167" s="11">
        <f t="shared" ref="AE167:AG167" si="182">SUM(AE163:AE166)</f>
        <v>1163</v>
      </c>
      <c r="AF167" s="11">
        <f t="shared" si="182"/>
        <v>1224</v>
      </c>
      <c r="AG167" s="11">
        <f t="shared" si="182"/>
        <v>1185</v>
      </c>
      <c r="AH167" s="11">
        <f t="shared" ref="AH167:AJ167" si="183">SUM(AH163:AH166)</f>
        <v>1176</v>
      </c>
      <c r="AI167" s="11">
        <f t="shared" si="183"/>
        <v>1206</v>
      </c>
      <c r="AJ167" s="11">
        <f t="shared" si="183"/>
        <v>1276</v>
      </c>
      <c r="AK167" s="11">
        <f>SUM(AK163:AK166)</f>
        <v>1217</v>
      </c>
      <c r="AL167" s="11">
        <f t="shared" ref="AL167:AM167" si="184">SUM(AL163:AL166)</f>
        <v>1142</v>
      </c>
      <c r="AM167" s="11">
        <f t="shared" si="184"/>
        <v>1238</v>
      </c>
      <c r="AN167" s="11">
        <f t="shared" ref="AN167:AP167" si="185">SUM(AN163:AN166)</f>
        <v>1263</v>
      </c>
      <c r="AO167" s="11">
        <f t="shared" si="185"/>
        <v>1262</v>
      </c>
      <c r="AP167" s="11">
        <f t="shared" si="185"/>
        <v>1319</v>
      </c>
      <c r="AQ167" s="11">
        <f t="shared" ref="AQ167:AR167" si="186">SUM(AQ163:AQ166)</f>
        <v>1334</v>
      </c>
      <c r="AR167" s="11">
        <f t="shared" si="186"/>
        <v>1366</v>
      </c>
      <c r="AS167" s="11">
        <f t="shared" ref="AS167:AV167" si="187">SUM(AS163:AS166)</f>
        <v>1371</v>
      </c>
      <c r="AT167" s="11">
        <f t="shared" si="187"/>
        <v>1354</v>
      </c>
      <c r="AU167" s="11">
        <f t="shared" si="187"/>
        <v>1466</v>
      </c>
      <c r="AV167" s="11">
        <f t="shared" si="187"/>
        <v>1626</v>
      </c>
      <c r="AW167" s="11">
        <f t="shared" ref="AW167:BB167" si="188">SUM(AW163:AW166)</f>
        <v>1690</v>
      </c>
      <c r="AX167" s="11">
        <f t="shared" si="188"/>
        <v>1727</v>
      </c>
      <c r="AY167" s="11">
        <f t="shared" si="188"/>
        <v>1992</v>
      </c>
      <c r="AZ167" s="11">
        <f t="shared" si="188"/>
        <v>2023</v>
      </c>
      <c r="BA167" s="11">
        <f t="shared" si="188"/>
        <v>2006</v>
      </c>
      <c r="BB167" s="11">
        <f t="shared" si="188"/>
        <v>2075</v>
      </c>
      <c r="BC167" s="8"/>
    </row>
    <row r="168" spans="1:55" ht="13.5" customHeight="1" x14ac:dyDescent="0.2">
      <c r="A168" s="7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8"/>
    </row>
    <row r="169" spans="1:55" ht="13.5" customHeight="1" x14ac:dyDescent="0.2">
      <c r="A169" s="7"/>
      <c r="B169" s="40" t="s">
        <v>115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8"/>
    </row>
    <row r="170" spans="1:55" ht="13.5" customHeight="1" x14ac:dyDescent="0.2">
      <c r="A170" s="7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8"/>
    </row>
    <row r="171" spans="1:55" ht="13.5" customHeight="1" x14ac:dyDescent="0.2">
      <c r="A171" s="7"/>
      <c r="B171" s="43" t="s">
        <v>116</v>
      </c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8"/>
    </row>
    <row r="172" spans="1:55" ht="13.5" customHeight="1" x14ac:dyDescent="0.2">
      <c r="A172" s="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8"/>
    </row>
    <row r="173" spans="1:55" ht="13.5" customHeight="1" x14ac:dyDescent="0.2">
      <c r="A173" s="7"/>
      <c r="B173" s="2" t="s">
        <v>96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8"/>
    </row>
    <row r="174" spans="1:55" ht="13.5" customHeight="1" x14ac:dyDescent="0.2">
      <c r="A174" s="7"/>
      <c r="B174" s="2" t="s">
        <v>95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8"/>
    </row>
    <row r="175" spans="1:55" ht="13.5" customHeight="1" x14ac:dyDescent="0.2">
      <c r="A175" s="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8"/>
    </row>
    <row r="176" spans="1:55" ht="13.5" customHeight="1" x14ac:dyDescent="0.2">
      <c r="A176" s="7"/>
      <c r="B176" s="2" t="s">
        <v>98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8"/>
    </row>
    <row r="177" spans="1:55" ht="13.5" customHeight="1" x14ac:dyDescent="0.2">
      <c r="A177" s="7"/>
      <c r="B177" s="2" t="s">
        <v>99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8"/>
    </row>
    <row r="178" spans="1:55" ht="13.5" customHeight="1" x14ac:dyDescent="0.2">
      <c r="A178" s="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8"/>
    </row>
    <row r="179" spans="1:55" ht="13.5" customHeight="1" x14ac:dyDescent="0.2">
      <c r="A179" s="12"/>
      <c r="B179" s="38" t="s">
        <v>31</v>
      </c>
      <c r="C179" s="3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31"/>
      <c r="AY179" s="16"/>
      <c r="AZ179" s="16"/>
      <c r="BA179" s="16"/>
      <c r="BB179" s="16" t="s">
        <v>117</v>
      </c>
      <c r="BC179" s="13"/>
    </row>
  </sheetData>
  <mergeCells count="4">
    <mergeCell ref="A2:BC2"/>
    <mergeCell ref="B179:C179"/>
    <mergeCell ref="B169:BB170"/>
    <mergeCell ref="B171:BB171"/>
  </mergeCells>
  <hyperlinks>
    <hyperlink ref="B179:C179" r:id="rId1" display="Source: IPEDS C, Completions Survey"/>
    <hyperlink ref="B171" r:id="rId2"/>
    <hyperlink ref="B171:BB171" r:id="rId3" display="https://dhe.mo.gov/documents/performancefunding2018.pdf"/>
  </hyperlinks>
  <printOptions horizontalCentered="1"/>
  <pageMargins left="0.7" right="0.45" top="0.5" bottom="0.25" header="0.3" footer="0.3"/>
  <pageSetup orientation="portrait" r:id="rId4"/>
  <rowBreaks count="3" manualBreakCount="3">
    <brk id="58" max="16383" man="1"/>
    <brk id="115" max="16383" man="1"/>
    <brk id="171" max="16383" man="1"/>
  </rowBreaks>
  <ignoredErrors>
    <ignoredError sqref="AM159 AU166 AS165 AW165 BA16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56"/>
  <sheetViews>
    <sheetView zoomScaleNormal="100" workbookViewId="0">
      <pane ySplit="7" topLeftCell="A8" activePane="bottomLeft" state="frozen"/>
      <selection pane="bottomLeft"/>
    </sheetView>
  </sheetViews>
  <sheetFormatPr defaultRowHeight="13.5" customHeight="1" x14ac:dyDescent="0.2"/>
  <cols>
    <col min="1" max="2" width="2.7109375" style="1" customWidth="1"/>
    <col min="3" max="3" width="25.7109375" style="1" customWidth="1"/>
    <col min="4" max="48" width="7.7109375" style="1" hidden="1" customWidth="1"/>
    <col min="49" max="54" width="7.7109375" style="1" customWidth="1"/>
    <col min="55" max="55" width="2.7109375" style="1" customWidth="1"/>
    <col min="56" max="16384" width="9.140625" style="1"/>
  </cols>
  <sheetData>
    <row r="2" spans="1:55" ht="15" customHeight="1" x14ac:dyDescent="0.25">
      <c r="A2" s="35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7"/>
    </row>
    <row r="3" spans="1:55" ht="13.5" customHeight="1" x14ac:dyDescent="0.2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8"/>
    </row>
    <row r="4" spans="1:55" ht="15" customHeight="1" x14ac:dyDescent="0.25">
      <c r="A4" s="7"/>
      <c r="B4" s="9" t="s">
        <v>109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8"/>
    </row>
    <row r="5" spans="1:55" ht="15" customHeight="1" x14ac:dyDescent="0.25">
      <c r="A5" s="7"/>
      <c r="B5" s="9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8"/>
    </row>
    <row r="6" spans="1:55" ht="13.5" customHeight="1" x14ac:dyDescent="0.2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8"/>
    </row>
    <row r="7" spans="1:55" ht="13.5" customHeight="1" thickBot="1" x14ac:dyDescent="0.25">
      <c r="A7" s="7"/>
      <c r="B7" s="5"/>
      <c r="C7" s="5"/>
      <c r="D7" s="6" t="s">
        <v>63</v>
      </c>
      <c r="E7" s="6" t="s">
        <v>62</v>
      </c>
      <c r="F7" s="6" t="s">
        <v>61</v>
      </c>
      <c r="G7" s="6" t="s">
        <v>60</v>
      </c>
      <c r="H7" s="6" t="s">
        <v>59</v>
      </c>
      <c r="I7" s="6" t="s">
        <v>58</v>
      </c>
      <c r="J7" s="6" t="s">
        <v>57</v>
      </c>
      <c r="K7" s="6" t="s">
        <v>56</v>
      </c>
      <c r="L7" s="6" t="s">
        <v>55</v>
      </c>
      <c r="M7" s="6" t="s">
        <v>54</v>
      </c>
      <c r="N7" s="6" t="s">
        <v>53</v>
      </c>
      <c r="O7" s="6" t="s">
        <v>52</v>
      </c>
      <c r="P7" s="6" t="s">
        <v>51</v>
      </c>
      <c r="Q7" s="6" t="s">
        <v>50</v>
      </c>
      <c r="R7" s="6" t="s">
        <v>49</v>
      </c>
      <c r="S7" s="6" t="s">
        <v>48</v>
      </c>
      <c r="T7" s="6" t="s">
        <v>47</v>
      </c>
      <c r="U7" s="6" t="s">
        <v>46</v>
      </c>
      <c r="V7" s="6" t="s">
        <v>45</v>
      </c>
      <c r="W7" s="6" t="s">
        <v>42</v>
      </c>
      <c r="X7" s="6" t="s">
        <v>43</v>
      </c>
      <c r="Y7" s="6" t="s">
        <v>39</v>
      </c>
      <c r="Z7" s="6" t="s">
        <v>40</v>
      </c>
      <c r="AA7" s="6" t="s">
        <v>41</v>
      </c>
      <c r="AB7" s="6" t="s">
        <v>38</v>
      </c>
      <c r="AC7" s="6" t="s">
        <v>37</v>
      </c>
      <c r="AD7" s="6" t="s">
        <v>36</v>
      </c>
      <c r="AE7" s="6" t="s">
        <v>35</v>
      </c>
      <c r="AF7" s="6" t="s">
        <v>34</v>
      </c>
      <c r="AG7" s="6" t="s">
        <v>22</v>
      </c>
      <c r="AH7" s="6" t="s">
        <v>21</v>
      </c>
      <c r="AI7" s="6" t="s">
        <v>20</v>
      </c>
      <c r="AJ7" s="6" t="s">
        <v>19</v>
      </c>
      <c r="AK7" s="6" t="s">
        <v>18</v>
      </c>
      <c r="AL7" s="6" t="s">
        <v>17</v>
      </c>
      <c r="AM7" s="6" t="s">
        <v>16</v>
      </c>
      <c r="AN7" s="6" t="s">
        <v>15</v>
      </c>
      <c r="AO7" s="6" t="s">
        <v>14</v>
      </c>
      <c r="AP7" s="6" t="s">
        <v>13</v>
      </c>
      <c r="AQ7" s="6" t="s">
        <v>12</v>
      </c>
      <c r="AR7" s="6" t="s">
        <v>8</v>
      </c>
      <c r="AS7" s="6" t="s">
        <v>6</v>
      </c>
      <c r="AT7" s="6" t="s">
        <v>3</v>
      </c>
      <c r="AU7" s="6" t="s">
        <v>1</v>
      </c>
      <c r="AV7" s="6" t="s">
        <v>2</v>
      </c>
      <c r="AW7" s="6" t="s">
        <v>4</v>
      </c>
      <c r="AX7" s="6" t="s">
        <v>108</v>
      </c>
      <c r="AY7" s="6" t="s">
        <v>110</v>
      </c>
      <c r="AZ7" s="21" t="s">
        <v>112</v>
      </c>
      <c r="BA7" s="21" t="s">
        <v>113</v>
      </c>
      <c r="BB7" s="21" t="s">
        <v>114</v>
      </c>
      <c r="BC7" s="8"/>
    </row>
    <row r="8" spans="1:55" ht="13.5" customHeight="1" thickTop="1" x14ac:dyDescent="0.2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8"/>
    </row>
    <row r="9" spans="1:55" ht="13.5" customHeight="1" x14ac:dyDescent="0.2">
      <c r="A9" s="7"/>
      <c r="B9" s="17" t="s">
        <v>30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8"/>
    </row>
    <row r="10" spans="1:55" ht="13.5" customHeight="1" x14ac:dyDescent="0.2">
      <c r="A10" s="7"/>
      <c r="B10" s="10" t="s">
        <v>65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8"/>
    </row>
    <row r="11" spans="1:55" ht="13.5" customHeight="1" x14ac:dyDescent="0.2">
      <c r="A11" s="7"/>
      <c r="B11" s="2"/>
      <c r="C11" s="3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3"/>
      <c r="AK11" s="2">
        <v>3</v>
      </c>
      <c r="AL11" s="2">
        <v>8</v>
      </c>
      <c r="AM11" s="2">
        <v>10</v>
      </c>
      <c r="AN11" s="2">
        <v>9</v>
      </c>
      <c r="AO11" s="2">
        <v>8</v>
      </c>
      <c r="AP11" s="3">
        <v>6</v>
      </c>
      <c r="AQ11" s="2">
        <v>12</v>
      </c>
      <c r="AR11" s="2">
        <v>13</v>
      </c>
      <c r="AS11" s="2">
        <v>16</v>
      </c>
      <c r="AT11" s="2">
        <v>15</v>
      </c>
      <c r="AU11" s="2">
        <v>20</v>
      </c>
      <c r="AV11" s="2">
        <v>33</v>
      </c>
      <c r="AW11" s="2">
        <v>25</v>
      </c>
      <c r="AX11" s="2">
        <v>28</v>
      </c>
      <c r="AY11" s="2">
        <v>19</v>
      </c>
      <c r="AZ11" s="2">
        <v>28</v>
      </c>
      <c r="BA11" s="2">
        <v>18</v>
      </c>
      <c r="BB11" s="2">
        <v>24</v>
      </c>
      <c r="BC11" s="8"/>
    </row>
    <row r="12" spans="1:55" ht="13.5" customHeight="1" x14ac:dyDescent="0.2">
      <c r="A12" s="7"/>
      <c r="B12" s="2"/>
      <c r="C12" s="3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1</v>
      </c>
      <c r="AX12" s="2">
        <v>1</v>
      </c>
      <c r="AY12" s="2">
        <v>3</v>
      </c>
      <c r="AZ12" s="2">
        <v>0</v>
      </c>
      <c r="BA12" s="2">
        <v>0</v>
      </c>
      <c r="BB12" s="2">
        <v>0</v>
      </c>
      <c r="BC12" s="8"/>
    </row>
    <row r="13" spans="1:55" ht="13.5" customHeight="1" x14ac:dyDescent="0.2">
      <c r="A13" s="7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1">
        <f>AK11</f>
        <v>3</v>
      </c>
      <c r="AL13" s="11">
        <f>AL11</f>
        <v>8</v>
      </c>
      <c r="AM13" s="11">
        <f t="shared" ref="AM13:AV13" si="0">SUM(AM11:AM12)</f>
        <v>10</v>
      </c>
      <c r="AN13" s="11">
        <f t="shared" si="0"/>
        <v>9</v>
      </c>
      <c r="AO13" s="11">
        <f t="shared" si="0"/>
        <v>8</v>
      </c>
      <c r="AP13" s="11">
        <f t="shared" si="0"/>
        <v>6</v>
      </c>
      <c r="AQ13" s="11">
        <f t="shared" si="0"/>
        <v>12</v>
      </c>
      <c r="AR13" s="11">
        <f t="shared" si="0"/>
        <v>13</v>
      </c>
      <c r="AS13" s="11">
        <f t="shared" si="0"/>
        <v>16</v>
      </c>
      <c r="AT13" s="11">
        <f t="shared" si="0"/>
        <v>15</v>
      </c>
      <c r="AU13" s="11">
        <f t="shared" si="0"/>
        <v>20</v>
      </c>
      <c r="AV13" s="11">
        <f t="shared" si="0"/>
        <v>34</v>
      </c>
      <c r="AW13" s="11">
        <f t="shared" ref="AW13:BB13" si="1">SUM(AW11:AW12)</f>
        <v>26</v>
      </c>
      <c r="AX13" s="11">
        <f t="shared" si="1"/>
        <v>29</v>
      </c>
      <c r="AY13" s="11">
        <f t="shared" si="1"/>
        <v>22</v>
      </c>
      <c r="AZ13" s="11">
        <f t="shared" si="1"/>
        <v>28</v>
      </c>
      <c r="BA13" s="11">
        <f t="shared" si="1"/>
        <v>18</v>
      </c>
      <c r="BB13" s="11">
        <f t="shared" si="1"/>
        <v>24</v>
      </c>
      <c r="BC13" s="8"/>
    </row>
    <row r="14" spans="1:55" ht="13.5" customHeight="1" x14ac:dyDescent="0.2">
      <c r="A14" s="7"/>
      <c r="B14" s="10" t="s">
        <v>66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8"/>
    </row>
    <row r="15" spans="1:55" ht="13.5" customHeight="1" x14ac:dyDescent="0.2">
      <c r="A15" s="7"/>
      <c r="B15" s="2"/>
      <c r="C15" s="3" t="s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>
        <v>0</v>
      </c>
      <c r="AM15" s="2">
        <v>0</v>
      </c>
      <c r="AN15" s="2">
        <v>0</v>
      </c>
      <c r="AO15" s="2">
        <v>6</v>
      </c>
      <c r="AP15" s="2">
        <v>8</v>
      </c>
      <c r="AQ15" s="2">
        <v>6</v>
      </c>
      <c r="AR15" s="2">
        <v>3</v>
      </c>
      <c r="AS15" s="2">
        <v>9</v>
      </c>
      <c r="AT15" s="2">
        <v>9</v>
      </c>
      <c r="AU15" s="2">
        <v>9</v>
      </c>
      <c r="AV15" s="2">
        <v>10</v>
      </c>
      <c r="AW15" s="2">
        <v>7</v>
      </c>
      <c r="AX15" s="2">
        <v>8</v>
      </c>
      <c r="AY15" s="2">
        <v>12</v>
      </c>
      <c r="AZ15" s="2">
        <v>5</v>
      </c>
      <c r="BA15" s="2">
        <v>6</v>
      </c>
      <c r="BB15" s="2">
        <v>6</v>
      </c>
      <c r="BC15" s="8"/>
    </row>
    <row r="16" spans="1:55" ht="13.5" customHeight="1" x14ac:dyDescent="0.2">
      <c r="A16" s="7"/>
      <c r="B16" s="10" t="s">
        <v>67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8"/>
    </row>
    <row r="17" spans="1:57" ht="13.5" customHeight="1" x14ac:dyDescent="0.2">
      <c r="A17" s="7"/>
      <c r="B17" s="2"/>
      <c r="C17" s="3" t="s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1</v>
      </c>
      <c r="X17" s="3">
        <v>0</v>
      </c>
      <c r="Y17" s="3">
        <v>3</v>
      </c>
      <c r="Z17" s="3">
        <v>0</v>
      </c>
      <c r="AA17" s="3">
        <v>1</v>
      </c>
      <c r="AB17" s="3">
        <v>0</v>
      </c>
      <c r="AC17" s="2">
        <v>2</v>
      </c>
      <c r="AD17" s="2">
        <v>1</v>
      </c>
      <c r="AE17" s="2">
        <v>2</v>
      </c>
      <c r="AF17" s="2">
        <v>4</v>
      </c>
      <c r="AG17" s="2">
        <v>3</v>
      </c>
      <c r="AH17" s="3">
        <v>0</v>
      </c>
      <c r="AI17" s="2">
        <v>2</v>
      </c>
      <c r="AJ17" s="2">
        <v>6</v>
      </c>
      <c r="AK17" s="2">
        <v>4</v>
      </c>
      <c r="AL17" s="2">
        <v>5</v>
      </c>
      <c r="AM17" s="2">
        <v>2</v>
      </c>
      <c r="AN17" s="2">
        <v>2</v>
      </c>
      <c r="AO17" s="2">
        <v>4</v>
      </c>
      <c r="AP17" s="2">
        <v>3</v>
      </c>
      <c r="AQ17" s="2">
        <v>2</v>
      </c>
      <c r="AR17" s="2">
        <v>1</v>
      </c>
      <c r="AS17" s="2">
        <v>4</v>
      </c>
      <c r="AT17" s="2">
        <v>1</v>
      </c>
      <c r="AU17" s="2">
        <v>1</v>
      </c>
      <c r="AV17" s="2">
        <v>1</v>
      </c>
      <c r="AW17" s="2">
        <v>2</v>
      </c>
      <c r="AX17" s="2"/>
      <c r="AY17" s="2"/>
      <c r="AZ17" s="2"/>
      <c r="BA17" s="2"/>
      <c r="BB17" s="2"/>
      <c r="BC17" s="8"/>
    </row>
    <row r="18" spans="1:57" ht="13.5" customHeight="1" x14ac:dyDescent="0.2">
      <c r="A18" s="7"/>
      <c r="B18" s="2"/>
      <c r="C18" s="3" t="s">
        <v>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"/>
      <c r="AD18" s="2"/>
      <c r="AE18" s="2"/>
      <c r="AF18" s="2"/>
      <c r="AG18" s="2"/>
      <c r="AH18" s="3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>
        <v>0</v>
      </c>
      <c r="AY18" s="2">
        <v>0</v>
      </c>
      <c r="AZ18" s="2">
        <v>5</v>
      </c>
      <c r="BA18" s="2">
        <v>3</v>
      </c>
      <c r="BB18" s="2">
        <v>4</v>
      </c>
      <c r="BC18" s="8"/>
    </row>
    <row r="19" spans="1:57" ht="13.5" customHeight="1" x14ac:dyDescent="0.2">
      <c r="A19" s="7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1">
        <f t="shared" ref="W19" si="2">SUM(W17:W18)</f>
        <v>1</v>
      </c>
      <c r="X19" s="11">
        <f t="shared" ref="X19" si="3">SUM(X17:X18)</f>
        <v>0</v>
      </c>
      <c r="Y19" s="11">
        <f t="shared" ref="Y19" si="4">SUM(Y17:Y18)</f>
        <v>3</v>
      </c>
      <c r="Z19" s="11">
        <f t="shared" ref="Z19" si="5">SUM(Z17:Z18)</f>
        <v>0</v>
      </c>
      <c r="AA19" s="11">
        <f t="shared" ref="AA19" si="6">SUM(AA17:AA18)</f>
        <v>1</v>
      </c>
      <c r="AB19" s="11">
        <f t="shared" ref="AB19" si="7">SUM(AB17:AB18)</f>
        <v>0</v>
      </c>
      <c r="AC19" s="11">
        <f t="shared" ref="AC19" si="8">SUM(AC17:AC18)</f>
        <v>2</v>
      </c>
      <c r="AD19" s="11">
        <f t="shared" ref="AD19" si="9">SUM(AD17:AD18)</f>
        <v>1</v>
      </c>
      <c r="AE19" s="11">
        <f t="shared" ref="AE19" si="10">SUM(AE17:AE18)</f>
        <v>2</v>
      </c>
      <c r="AF19" s="11">
        <f t="shared" ref="AF19" si="11">SUM(AF17:AF18)</f>
        <v>4</v>
      </c>
      <c r="AG19" s="11">
        <f t="shared" ref="AG19" si="12">SUM(AG17:AG18)</f>
        <v>3</v>
      </c>
      <c r="AH19" s="11">
        <f t="shared" ref="AH19" si="13">SUM(AH17:AH18)</f>
        <v>0</v>
      </c>
      <c r="AI19" s="11">
        <f t="shared" ref="AI19" si="14">SUM(AI17:AI18)</f>
        <v>2</v>
      </c>
      <c r="AJ19" s="11">
        <f t="shared" ref="AJ19" si="15">SUM(AJ17:AJ18)</f>
        <v>6</v>
      </c>
      <c r="AK19" s="11">
        <f t="shared" ref="AK19" si="16">SUM(AK17:AK18)</f>
        <v>4</v>
      </c>
      <c r="AL19" s="11">
        <f t="shared" ref="AL19" si="17">SUM(AL17:AL18)</f>
        <v>5</v>
      </c>
      <c r="AM19" s="11">
        <f t="shared" ref="AM19" si="18">SUM(AM17:AM18)</f>
        <v>2</v>
      </c>
      <c r="AN19" s="11">
        <f t="shared" ref="AN19" si="19">SUM(AN17:AN18)</f>
        <v>2</v>
      </c>
      <c r="AO19" s="11">
        <f t="shared" ref="AO19:AV19" si="20">SUM(AO17:AO18)</f>
        <v>4</v>
      </c>
      <c r="AP19" s="11">
        <f t="shared" si="20"/>
        <v>3</v>
      </c>
      <c r="AQ19" s="11">
        <f t="shared" si="20"/>
        <v>2</v>
      </c>
      <c r="AR19" s="11">
        <f t="shared" si="20"/>
        <v>1</v>
      </c>
      <c r="AS19" s="11">
        <f t="shared" si="20"/>
        <v>4</v>
      </c>
      <c r="AT19" s="11">
        <f t="shared" si="20"/>
        <v>1</v>
      </c>
      <c r="AU19" s="11">
        <f t="shared" si="20"/>
        <v>1</v>
      </c>
      <c r="AV19" s="11">
        <f t="shared" si="20"/>
        <v>1</v>
      </c>
      <c r="AW19" s="11">
        <f>SUM(AW17:AW18)</f>
        <v>2</v>
      </c>
      <c r="AX19" s="11">
        <f t="shared" ref="AX19:AY19" si="21">SUM(AX18)</f>
        <v>0</v>
      </c>
      <c r="AY19" s="11">
        <f t="shared" si="21"/>
        <v>0</v>
      </c>
      <c r="AZ19" s="11">
        <f>SUM(AZ18)</f>
        <v>5</v>
      </c>
      <c r="BA19" s="11">
        <f>SUM(BA18)</f>
        <v>3</v>
      </c>
      <c r="BB19" s="11">
        <f>SUM(BB18)</f>
        <v>4</v>
      </c>
      <c r="BC19" s="8"/>
    </row>
    <row r="20" spans="1:57" ht="13.5" customHeight="1" x14ac:dyDescent="0.2">
      <c r="A20" s="7"/>
      <c r="B20" s="10" t="s">
        <v>68</v>
      </c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8"/>
    </row>
    <row r="21" spans="1:57" ht="13.5" customHeight="1" x14ac:dyDescent="0.2">
      <c r="A21" s="7"/>
      <c r="B21" s="2"/>
      <c r="C21" s="3" t="s"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70</v>
      </c>
      <c r="X21" s="2">
        <v>56</v>
      </c>
      <c r="Y21" s="2">
        <v>55</v>
      </c>
      <c r="Z21" s="2">
        <v>56</v>
      </c>
      <c r="AA21" s="2">
        <v>47</v>
      </c>
      <c r="AB21" s="2">
        <v>57</v>
      </c>
      <c r="AC21" s="2">
        <v>53</v>
      </c>
      <c r="AD21" s="2">
        <v>63</v>
      </c>
      <c r="AE21" s="2">
        <v>55</v>
      </c>
      <c r="AF21" s="2">
        <v>44</v>
      </c>
      <c r="AG21" s="2">
        <v>40</v>
      </c>
      <c r="AH21" s="2">
        <v>48</v>
      </c>
      <c r="AI21" s="2">
        <v>53</v>
      </c>
      <c r="AJ21" s="2">
        <v>65</v>
      </c>
      <c r="AK21" s="2">
        <v>58</v>
      </c>
      <c r="AL21" s="2">
        <v>70</v>
      </c>
      <c r="AM21" s="2">
        <v>63</v>
      </c>
      <c r="AN21" s="2">
        <v>77</v>
      </c>
      <c r="AO21" s="2">
        <v>76</v>
      </c>
      <c r="AP21" s="2">
        <v>68</v>
      </c>
      <c r="AQ21" s="2">
        <v>90</v>
      </c>
      <c r="AR21" s="2">
        <v>73</v>
      </c>
      <c r="AS21" s="2">
        <v>107</v>
      </c>
      <c r="AT21" s="2">
        <v>85</v>
      </c>
      <c r="AU21" s="2">
        <v>125</v>
      </c>
      <c r="AV21" s="2">
        <v>117</v>
      </c>
      <c r="AW21" s="2">
        <v>90</v>
      </c>
      <c r="AX21" s="2">
        <v>107</v>
      </c>
      <c r="AY21" s="2">
        <v>109</v>
      </c>
      <c r="AZ21" s="2">
        <v>93</v>
      </c>
      <c r="BA21" s="2">
        <v>94</v>
      </c>
      <c r="BB21" s="2">
        <v>90</v>
      </c>
      <c r="BC21" s="8"/>
    </row>
    <row r="22" spans="1:57" ht="13.5" hidden="1" customHeight="1" x14ac:dyDescent="0.2">
      <c r="A22" s="7"/>
      <c r="B22" s="2"/>
      <c r="C22" s="3" t="s">
        <v>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</v>
      </c>
      <c r="X22" s="2">
        <v>1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3">
        <v>0</v>
      </c>
      <c r="AH22" s="3">
        <v>10</v>
      </c>
      <c r="AI22" s="2">
        <v>7</v>
      </c>
      <c r="AJ22" s="2">
        <v>9</v>
      </c>
      <c r="AK22" s="2">
        <v>4</v>
      </c>
      <c r="AL22" s="2">
        <v>7</v>
      </c>
      <c r="AM22" s="2">
        <v>4</v>
      </c>
      <c r="AN22" s="2">
        <v>0</v>
      </c>
      <c r="AO22" s="2">
        <v>1</v>
      </c>
      <c r="AP22" s="2">
        <v>1</v>
      </c>
      <c r="AQ22" s="2">
        <v>1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8"/>
      <c r="BD22" s="20"/>
      <c r="BE22" s="34"/>
    </row>
    <row r="23" spans="1:57" ht="13.5" hidden="1" customHeight="1" x14ac:dyDescent="0.2">
      <c r="A23" s="7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1">
        <f t="shared" ref="W23:AA23" si="22">SUM(W21:W22)</f>
        <v>73</v>
      </c>
      <c r="X23" s="11">
        <f t="shared" si="22"/>
        <v>57</v>
      </c>
      <c r="Y23" s="11">
        <f t="shared" si="22"/>
        <v>55</v>
      </c>
      <c r="Z23" s="11">
        <f t="shared" si="22"/>
        <v>56</v>
      </c>
      <c r="AA23" s="11">
        <f t="shared" si="22"/>
        <v>47</v>
      </c>
      <c r="AB23" s="11">
        <f t="shared" ref="AB23:AD23" si="23">SUM(AB21:AB22)</f>
        <v>57</v>
      </c>
      <c r="AC23" s="11">
        <f t="shared" si="23"/>
        <v>53</v>
      </c>
      <c r="AD23" s="11">
        <f t="shared" si="23"/>
        <v>63</v>
      </c>
      <c r="AE23" s="11">
        <f t="shared" ref="AE23:AG23" si="24">SUM(AE21:AE22)</f>
        <v>55</v>
      </c>
      <c r="AF23" s="11">
        <f t="shared" si="24"/>
        <v>44</v>
      </c>
      <c r="AG23" s="11">
        <f t="shared" si="24"/>
        <v>40</v>
      </c>
      <c r="AH23" s="11">
        <f t="shared" ref="AH23:AJ23" si="25">SUM(AH21:AH22)</f>
        <v>58</v>
      </c>
      <c r="AI23" s="11">
        <f t="shared" si="25"/>
        <v>60</v>
      </c>
      <c r="AJ23" s="11">
        <f t="shared" si="25"/>
        <v>74</v>
      </c>
      <c r="AK23" s="11">
        <f t="shared" ref="AK23:AV23" si="26">SUM(AK21:AK22)</f>
        <v>62</v>
      </c>
      <c r="AL23" s="11">
        <f t="shared" si="26"/>
        <v>77</v>
      </c>
      <c r="AM23" s="11">
        <f t="shared" si="26"/>
        <v>67</v>
      </c>
      <c r="AN23" s="11">
        <f t="shared" si="26"/>
        <v>77</v>
      </c>
      <c r="AO23" s="11">
        <f t="shared" si="26"/>
        <v>77</v>
      </c>
      <c r="AP23" s="11">
        <f t="shared" si="26"/>
        <v>69</v>
      </c>
      <c r="AQ23" s="11">
        <f t="shared" si="26"/>
        <v>91</v>
      </c>
      <c r="AR23" s="11">
        <f t="shared" si="26"/>
        <v>73</v>
      </c>
      <c r="AS23" s="11">
        <f t="shared" si="26"/>
        <v>107</v>
      </c>
      <c r="AT23" s="11">
        <f t="shared" si="26"/>
        <v>85</v>
      </c>
      <c r="AU23" s="11">
        <f t="shared" si="26"/>
        <v>125</v>
      </c>
      <c r="AV23" s="11">
        <f t="shared" si="26"/>
        <v>117</v>
      </c>
      <c r="AW23" s="11">
        <f t="shared" ref="AW23:BA23" si="27">SUM(AW21:AW22)</f>
        <v>90</v>
      </c>
      <c r="AX23" s="11">
        <f t="shared" si="27"/>
        <v>107</v>
      </c>
      <c r="AY23" s="11">
        <f t="shared" si="27"/>
        <v>109</v>
      </c>
      <c r="AZ23" s="11">
        <f t="shared" si="27"/>
        <v>93</v>
      </c>
      <c r="BA23" s="11">
        <f t="shared" si="27"/>
        <v>94</v>
      </c>
      <c r="BB23" s="2"/>
      <c r="BC23" s="8"/>
      <c r="BE23" s="34"/>
    </row>
    <row r="24" spans="1:57" ht="13.5" customHeight="1" x14ac:dyDescent="0.2">
      <c r="A24" s="7"/>
      <c r="B24" s="10" t="s">
        <v>69</v>
      </c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8"/>
    </row>
    <row r="25" spans="1:57" ht="13.5" customHeight="1" x14ac:dyDescent="0.2">
      <c r="A25" s="7"/>
      <c r="B25" s="2"/>
      <c r="C25" s="3" t="s"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29</v>
      </c>
      <c r="X25" s="2">
        <v>33</v>
      </c>
      <c r="Y25" s="2">
        <v>20</v>
      </c>
      <c r="Z25" s="2">
        <v>20</v>
      </c>
      <c r="AA25" s="2">
        <v>36</v>
      </c>
      <c r="AB25" s="2">
        <v>41</v>
      </c>
      <c r="AC25" s="2">
        <v>43</v>
      </c>
      <c r="AD25" s="2">
        <v>38</v>
      </c>
      <c r="AE25" s="2">
        <v>27</v>
      </c>
      <c r="AF25" s="2">
        <v>34</v>
      </c>
      <c r="AG25" s="2">
        <v>36</v>
      </c>
      <c r="AH25" s="2">
        <v>38</v>
      </c>
      <c r="AI25" s="2">
        <v>34</v>
      </c>
      <c r="AJ25" s="2">
        <v>68</v>
      </c>
      <c r="AK25" s="2">
        <v>40</v>
      </c>
      <c r="AL25" s="2">
        <v>90</v>
      </c>
      <c r="AM25" s="2">
        <v>69</v>
      </c>
      <c r="AN25" s="2">
        <v>96</v>
      </c>
      <c r="AO25" s="2">
        <v>69</v>
      </c>
      <c r="AP25" s="2">
        <v>47</v>
      </c>
      <c r="AQ25" s="2">
        <v>44</v>
      </c>
      <c r="AR25" s="2">
        <v>31</v>
      </c>
      <c r="AS25" s="2">
        <v>32</v>
      </c>
      <c r="AT25" s="2">
        <v>34</v>
      </c>
      <c r="AU25" s="2">
        <v>29</v>
      </c>
      <c r="AV25" s="2">
        <v>36</v>
      </c>
      <c r="AW25" s="2">
        <v>31</v>
      </c>
      <c r="AX25" s="2">
        <v>24</v>
      </c>
      <c r="AY25" s="2">
        <v>40</v>
      </c>
      <c r="AZ25" s="2">
        <v>60</v>
      </c>
      <c r="BA25" s="2">
        <v>66</v>
      </c>
      <c r="BB25" s="2">
        <v>61</v>
      </c>
      <c r="BC25" s="8"/>
    </row>
    <row r="26" spans="1:57" ht="13.5" customHeight="1" x14ac:dyDescent="0.2">
      <c r="A26" s="7"/>
      <c r="B26" s="2"/>
      <c r="C26" s="3" t="s">
        <v>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1</v>
      </c>
      <c r="X26" s="2">
        <v>5</v>
      </c>
      <c r="Y26" s="2">
        <v>6</v>
      </c>
      <c r="Z26" s="2">
        <v>15</v>
      </c>
      <c r="AA26" s="2">
        <v>12</v>
      </c>
      <c r="AB26" s="2">
        <v>20</v>
      </c>
      <c r="AC26" s="2">
        <v>19</v>
      </c>
      <c r="AD26" s="2">
        <v>33</v>
      </c>
      <c r="AE26" s="2">
        <v>36</v>
      </c>
      <c r="AF26" s="2">
        <v>21</v>
      </c>
      <c r="AG26" s="2">
        <v>33</v>
      </c>
      <c r="AH26" s="2">
        <v>44</v>
      </c>
      <c r="AI26" s="2">
        <v>31</v>
      </c>
      <c r="AJ26" s="2">
        <v>44</v>
      </c>
      <c r="AK26" s="2">
        <v>37</v>
      </c>
      <c r="AL26" s="2">
        <v>48</v>
      </c>
      <c r="AM26" s="2">
        <v>54</v>
      </c>
      <c r="AN26" s="2">
        <v>53</v>
      </c>
      <c r="AO26" s="2">
        <v>52</v>
      </c>
      <c r="AP26" s="2">
        <v>42</v>
      </c>
      <c r="AQ26" s="2">
        <v>56</v>
      </c>
      <c r="AR26" s="2">
        <v>41</v>
      </c>
      <c r="AS26" s="2">
        <v>49</v>
      </c>
      <c r="AT26" s="2">
        <v>35</v>
      </c>
      <c r="AU26" s="2">
        <v>77</v>
      </c>
      <c r="AV26" s="2">
        <v>57</v>
      </c>
      <c r="AW26" s="2">
        <v>33</v>
      </c>
      <c r="AX26" s="2">
        <v>44</v>
      </c>
      <c r="AY26" s="2">
        <v>73</v>
      </c>
      <c r="AZ26" s="2">
        <v>164</v>
      </c>
      <c r="BA26" s="2">
        <v>171</v>
      </c>
      <c r="BB26" s="2">
        <v>178</v>
      </c>
      <c r="BC26" s="8"/>
    </row>
    <row r="27" spans="1:57" ht="13.5" customHeight="1" x14ac:dyDescent="0.2">
      <c r="A27" s="7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1">
        <f t="shared" ref="W27:AA27" si="28">SUM(W25:W26)</f>
        <v>30</v>
      </c>
      <c r="X27" s="11">
        <f t="shared" si="28"/>
        <v>38</v>
      </c>
      <c r="Y27" s="11">
        <f t="shared" si="28"/>
        <v>26</v>
      </c>
      <c r="Z27" s="11">
        <f t="shared" si="28"/>
        <v>35</v>
      </c>
      <c r="AA27" s="11">
        <f t="shared" si="28"/>
        <v>48</v>
      </c>
      <c r="AB27" s="11">
        <f t="shared" ref="AB27:AD27" si="29">SUM(AB25:AB26)</f>
        <v>61</v>
      </c>
      <c r="AC27" s="11">
        <f t="shared" si="29"/>
        <v>62</v>
      </c>
      <c r="AD27" s="11">
        <f t="shared" si="29"/>
        <v>71</v>
      </c>
      <c r="AE27" s="11">
        <f t="shared" ref="AE27:AG27" si="30">SUM(AE25:AE26)</f>
        <v>63</v>
      </c>
      <c r="AF27" s="11">
        <f t="shared" si="30"/>
        <v>55</v>
      </c>
      <c r="AG27" s="11">
        <f t="shared" si="30"/>
        <v>69</v>
      </c>
      <c r="AH27" s="11">
        <f t="shared" ref="AH27:AJ27" si="31">SUM(AH25:AH26)</f>
        <v>82</v>
      </c>
      <c r="AI27" s="11">
        <f t="shared" si="31"/>
        <v>65</v>
      </c>
      <c r="AJ27" s="11">
        <f t="shared" si="31"/>
        <v>112</v>
      </c>
      <c r="AK27" s="11">
        <f>SUM(AK25:AK26)</f>
        <v>77</v>
      </c>
      <c r="AL27" s="11">
        <f t="shared" ref="AL27:AV27" si="32">SUM(AL25:AL26)</f>
        <v>138</v>
      </c>
      <c r="AM27" s="11">
        <f t="shared" si="32"/>
        <v>123</v>
      </c>
      <c r="AN27" s="11">
        <f t="shared" si="32"/>
        <v>149</v>
      </c>
      <c r="AO27" s="11">
        <f t="shared" si="32"/>
        <v>121</v>
      </c>
      <c r="AP27" s="11">
        <f t="shared" si="32"/>
        <v>89</v>
      </c>
      <c r="AQ27" s="11">
        <f t="shared" si="32"/>
        <v>100</v>
      </c>
      <c r="AR27" s="11">
        <f t="shared" si="32"/>
        <v>72</v>
      </c>
      <c r="AS27" s="11">
        <f t="shared" si="32"/>
        <v>81</v>
      </c>
      <c r="AT27" s="11">
        <f t="shared" si="32"/>
        <v>69</v>
      </c>
      <c r="AU27" s="11">
        <f t="shared" si="32"/>
        <v>106</v>
      </c>
      <c r="AV27" s="11">
        <f t="shared" si="32"/>
        <v>93</v>
      </c>
      <c r="AW27" s="11">
        <f t="shared" ref="AW27:BB27" si="33">SUM(AW25:AW26)</f>
        <v>64</v>
      </c>
      <c r="AX27" s="11">
        <f t="shared" si="33"/>
        <v>68</v>
      </c>
      <c r="AY27" s="11">
        <f t="shared" si="33"/>
        <v>113</v>
      </c>
      <c r="AZ27" s="11">
        <f t="shared" si="33"/>
        <v>224</v>
      </c>
      <c r="BA27" s="11">
        <f t="shared" si="33"/>
        <v>237</v>
      </c>
      <c r="BB27" s="11">
        <f t="shared" si="33"/>
        <v>239</v>
      </c>
      <c r="BC27" s="8"/>
    </row>
    <row r="28" spans="1:57" ht="13.5" customHeight="1" x14ac:dyDescent="0.2">
      <c r="A28" s="7"/>
      <c r="B28" s="10" t="s">
        <v>70</v>
      </c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8"/>
    </row>
    <row r="29" spans="1:57" ht="13.5" customHeight="1" x14ac:dyDescent="0.2">
      <c r="A29" s="7"/>
      <c r="B29" s="2"/>
      <c r="C29" s="3" t="s"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132</v>
      </c>
      <c r="X29" s="2">
        <v>167</v>
      </c>
      <c r="Y29" s="2">
        <v>163</v>
      </c>
      <c r="Z29" s="2">
        <v>206</v>
      </c>
      <c r="AA29" s="2">
        <v>186</v>
      </c>
      <c r="AB29" s="2">
        <v>227</v>
      </c>
      <c r="AC29" s="2">
        <v>251</v>
      </c>
      <c r="AD29" s="2">
        <v>76</v>
      </c>
      <c r="AE29" s="2">
        <v>61</v>
      </c>
      <c r="AF29" s="2">
        <v>65</v>
      </c>
      <c r="AG29" s="2">
        <v>88</v>
      </c>
      <c r="AH29" s="2">
        <v>75</v>
      </c>
      <c r="AI29" s="2">
        <v>94</v>
      </c>
      <c r="AJ29" s="2">
        <v>74</v>
      </c>
      <c r="AK29" s="2">
        <v>101</v>
      </c>
      <c r="AL29" s="2">
        <v>96</v>
      </c>
      <c r="AM29" s="2">
        <v>96</v>
      </c>
      <c r="AN29" s="2">
        <v>129</v>
      </c>
      <c r="AO29" s="2">
        <v>119</v>
      </c>
      <c r="AP29" s="2">
        <v>120</v>
      </c>
      <c r="AQ29" s="2">
        <v>135</v>
      </c>
      <c r="AR29" s="2">
        <v>104</v>
      </c>
      <c r="AS29" s="2">
        <v>134</v>
      </c>
      <c r="AT29" s="2">
        <v>122</v>
      </c>
      <c r="AU29" s="2">
        <v>119</v>
      </c>
      <c r="AV29" s="2">
        <v>123</v>
      </c>
      <c r="AW29" s="2">
        <v>120</v>
      </c>
      <c r="AX29" s="2">
        <v>118</v>
      </c>
      <c r="AY29" s="2">
        <v>98</v>
      </c>
      <c r="AZ29" s="2">
        <v>80</v>
      </c>
      <c r="BA29" s="2">
        <v>63</v>
      </c>
      <c r="BB29" s="2">
        <v>44</v>
      </c>
      <c r="BC29" s="8"/>
    </row>
    <row r="30" spans="1:57" ht="13.5" customHeight="1" x14ac:dyDescent="0.2">
      <c r="A30" s="7"/>
      <c r="B30" s="2"/>
      <c r="C30" s="3" t="s">
        <v>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3"/>
      <c r="AU30" s="2">
        <v>1</v>
      </c>
      <c r="AV30" s="2">
        <v>2</v>
      </c>
      <c r="AW30" s="2">
        <v>2</v>
      </c>
      <c r="AX30" s="2">
        <v>4</v>
      </c>
      <c r="AY30" s="2">
        <v>6</v>
      </c>
      <c r="AZ30" s="2">
        <v>23</v>
      </c>
      <c r="BA30" s="2">
        <v>8</v>
      </c>
      <c r="BB30" s="2">
        <v>12</v>
      </c>
      <c r="BC30" s="8"/>
    </row>
    <row r="31" spans="1:57" ht="13.5" customHeight="1" x14ac:dyDescent="0.2">
      <c r="A31" s="7"/>
      <c r="B31" s="2"/>
      <c r="C31" s="3" t="s">
        <v>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194</v>
      </c>
      <c r="X31" s="2">
        <v>228</v>
      </c>
      <c r="Y31" s="2">
        <v>219</v>
      </c>
      <c r="Z31" s="2">
        <v>252</v>
      </c>
      <c r="AA31" s="2">
        <v>256</v>
      </c>
      <c r="AB31" s="2">
        <v>210</v>
      </c>
      <c r="AC31" s="2">
        <v>215</v>
      </c>
      <c r="AD31" s="2">
        <v>211</v>
      </c>
      <c r="AE31" s="2">
        <v>204</v>
      </c>
      <c r="AF31" s="2">
        <v>221</v>
      </c>
      <c r="AG31" s="2">
        <v>199</v>
      </c>
      <c r="AH31" s="2">
        <v>182</v>
      </c>
      <c r="AI31" s="2">
        <v>182</v>
      </c>
      <c r="AJ31" s="2">
        <v>203</v>
      </c>
      <c r="AK31" s="2">
        <v>196</v>
      </c>
      <c r="AL31" s="2">
        <v>194</v>
      </c>
      <c r="AM31" s="2">
        <v>283</v>
      </c>
      <c r="AN31" s="2">
        <v>229</v>
      </c>
      <c r="AO31" s="2">
        <v>203</v>
      </c>
      <c r="AP31" s="2">
        <v>202</v>
      </c>
      <c r="AQ31" s="2">
        <v>161</v>
      </c>
      <c r="AR31" s="2">
        <v>152</v>
      </c>
      <c r="AS31" s="2">
        <v>190</v>
      </c>
      <c r="AT31" s="2">
        <v>156</v>
      </c>
      <c r="AU31" s="2">
        <v>134</v>
      </c>
      <c r="AV31" s="2">
        <v>146</v>
      </c>
      <c r="AW31" s="2">
        <v>157</v>
      </c>
      <c r="AX31" s="2">
        <v>154</v>
      </c>
      <c r="AY31" s="2">
        <v>177</v>
      </c>
      <c r="AZ31" s="2">
        <v>161</v>
      </c>
      <c r="BA31" s="2">
        <v>132</v>
      </c>
      <c r="BB31" s="2">
        <v>96</v>
      </c>
      <c r="BC31" s="8"/>
    </row>
    <row r="32" spans="1:57" ht="13.5" customHeight="1" x14ac:dyDescent="0.2">
      <c r="A32" s="7"/>
      <c r="B32" s="2"/>
      <c r="C32" s="3" t="s">
        <v>11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58</v>
      </c>
      <c r="X32" s="2">
        <v>47</v>
      </c>
      <c r="Y32" s="2">
        <v>45</v>
      </c>
      <c r="Z32" s="2">
        <v>63</v>
      </c>
      <c r="AA32" s="2">
        <v>61</v>
      </c>
      <c r="AB32" s="2">
        <v>62</v>
      </c>
      <c r="AC32" s="2">
        <v>57</v>
      </c>
      <c r="AD32" s="2">
        <v>50</v>
      </c>
      <c r="AE32" s="2">
        <v>44</v>
      </c>
      <c r="AF32" s="2">
        <v>54</v>
      </c>
      <c r="AG32" s="2">
        <v>36</v>
      </c>
      <c r="AH32" s="2">
        <v>47</v>
      </c>
      <c r="AI32" s="2">
        <v>36</v>
      </c>
      <c r="AJ32" s="2">
        <v>36</v>
      </c>
      <c r="AK32" s="2">
        <v>52</v>
      </c>
      <c r="AL32" s="2">
        <v>43</v>
      </c>
      <c r="AM32" s="2">
        <v>53</v>
      </c>
      <c r="AN32" s="2">
        <v>59</v>
      </c>
      <c r="AO32" s="2">
        <v>41</v>
      </c>
      <c r="AP32" s="2">
        <v>41</v>
      </c>
      <c r="AQ32" s="2">
        <v>39</v>
      </c>
      <c r="AR32" s="2">
        <v>40</v>
      </c>
      <c r="AS32" s="2">
        <v>49</v>
      </c>
      <c r="AT32" s="2">
        <v>33</v>
      </c>
      <c r="AU32" s="2">
        <v>25</v>
      </c>
      <c r="AV32" s="2">
        <v>35</v>
      </c>
      <c r="AW32" s="2">
        <v>24</v>
      </c>
      <c r="AX32" s="2">
        <v>35</v>
      </c>
      <c r="AY32" s="2">
        <v>26</v>
      </c>
      <c r="AZ32" s="2">
        <v>32</v>
      </c>
      <c r="BA32" s="2">
        <v>20</v>
      </c>
      <c r="BB32" s="2">
        <v>18</v>
      </c>
      <c r="BC32" s="8"/>
    </row>
    <row r="33" spans="1:55" ht="13.5" customHeight="1" x14ac:dyDescent="0.2">
      <c r="A33" s="7"/>
      <c r="B33" s="2"/>
      <c r="C33" s="3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10</v>
      </c>
      <c r="X33" s="2">
        <v>14</v>
      </c>
      <c r="Y33" s="2">
        <v>12</v>
      </c>
      <c r="Z33" s="2">
        <v>6</v>
      </c>
      <c r="AA33" s="2">
        <v>14</v>
      </c>
      <c r="AB33" s="2">
        <v>17</v>
      </c>
      <c r="AC33" s="2">
        <v>15</v>
      </c>
      <c r="AD33" s="2">
        <v>7</v>
      </c>
      <c r="AE33" s="2">
        <v>6</v>
      </c>
      <c r="AF33" s="2">
        <v>2</v>
      </c>
      <c r="AG33" s="2">
        <v>3</v>
      </c>
      <c r="AH33" s="2">
        <v>9</v>
      </c>
      <c r="AI33" s="2">
        <v>4</v>
      </c>
      <c r="AJ33" s="2">
        <v>1</v>
      </c>
      <c r="AK33" s="2">
        <v>1</v>
      </c>
      <c r="AL33" s="2">
        <v>2</v>
      </c>
      <c r="AM33" s="2">
        <v>4</v>
      </c>
      <c r="AN33" s="2">
        <v>4</v>
      </c>
      <c r="AO33" s="2">
        <v>2</v>
      </c>
      <c r="AP33" s="2">
        <v>0</v>
      </c>
      <c r="AQ33" s="2">
        <v>1</v>
      </c>
      <c r="AR33" s="2">
        <v>0</v>
      </c>
      <c r="AS33" s="2">
        <v>4</v>
      </c>
      <c r="AT33" s="2">
        <v>1</v>
      </c>
      <c r="AU33" s="2">
        <v>2</v>
      </c>
      <c r="AV33" s="2">
        <v>7</v>
      </c>
      <c r="AW33" s="2">
        <v>6</v>
      </c>
      <c r="AX33" s="2">
        <v>15</v>
      </c>
      <c r="AY33" s="2">
        <v>6</v>
      </c>
      <c r="AZ33" s="2">
        <v>5</v>
      </c>
      <c r="BA33" s="2">
        <v>5</v>
      </c>
      <c r="BB33" s="2">
        <v>7</v>
      </c>
      <c r="BC33" s="8"/>
    </row>
    <row r="34" spans="1:55" ht="13.5" customHeight="1" x14ac:dyDescent="0.2">
      <c r="A34" s="7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1">
        <f t="shared" ref="W34:AA34" si="34">SUM(W29:W33)</f>
        <v>394</v>
      </c>
      <c r="X34" s="11">
        <f t="shared" si="34"/>
        <v>456</v>
      </c>
      <c r="Y34" s="11">
        <f t="shared" si="34"/>
        <v>439</v>
      </c>
      <c r="Z34" s="11">
        <f t="shared" si="34"/>
        <v>527</v>
      </c>
      <c r="AA34" s="11">
        <f t="shared" si="34"/>
        <v>517</v>
      </c>
      <c r="AB34" s="11">
        <f t="shared" ref="AB34:AD34" si="35">SUM(AB29:AB33)</f>
        <v>516</v>
      </c>
      <c r="AC34" s="11">
        <f t="shared" si="35"/>
        <v>538</v>
      </c>
      <c r="AD34" s="11">
        <f t="shared" si="35"/>
        <v>344</v>
      </c>
      <c r="AE34" s="11">
        <f t="shared" ref="AE34:AG34" si="36">SUM(AE29:AE33)</f>
        <v>315</v>
      </c>
      <c r="AF34" s="11">
        <f t="shared" si="36"/>
        <v>342</v>
      </c>
      <c r="AG34" s="11">
        <f t="shared" si="36"/>
        <v>326</v>
      </c>
      <c r="AH34" s="11">
        <f>SUM(AH29:AH33)</f>
        <v>313</v>
      </c>
      <c r="AI34" s="11">
        <f t="shared" ref="AI34:AJ34" si="37">SUM(AI29:AI33)</f>
        <v>316</v>
      </c>
      <c r="AJ34" s="11">
        <f t="shared" si="37"/>
        <v>314</v>
      </c>
      <c r="AK34" s="11">
        <f>SUM(AK29:AK33)</f>
        <v>350</v>
      </c>
      <c r="AL34" s="11">
        <f t="shared" ref="AL34:AV34" si="38">SUM(AL29:AL33)</f>
        <v>335</v>
      </c>
      <c r="AM34" s="11">
        <f t="shared" si="38"/>
        <v>436</v>
      </c>
      <c r="AN34" s="11">
        <f t="shared" si="38"/>
        <v>421</v>
      </c>
      <c r="AO34" s="11">
        <f t="shared" si="38"/>
        <v>365</v>
      </c>
      <c r="AP34" s="11">
        <f t="shared" si="38"/>
        <v>363</v>
      </c>
      <c r="AQ34" s="11">
        <f t="shared" si="38"/>
        <v>336</v>
      </c>
      <c r="AR34" s="11">
        <f t="shared" si="38"/>
        <v>296</v>
      </c>
      <c r="AS34" s="11">
        <f t="shared" si="38"/>
        <v>377</v>
      </c>
      <c r="AT34" s="11">
        <f t="shared" si="38"/>
        <v>312</v>
      </c>
      <c r="AU34" s="11">
        <f t="shared" si="38"/>
        <v>281</v>
      </c>
      <c r="AV34" s="11">
        <f t="shared" si="38"/>
        <v>313</v>
      </c>
      <c r="AW34" s="11">
        <f t="shared" ref="AW34:BB34" si="39">SUM(AW29:AW33)</f>
        <v>309</v>
      </c>
      <c r="AX34" s="11">
        <f t="shared" si="39"/>
        <v>326</v>
      </c>
      <c r="AY34" s="11">
        <f t="shared" si="39"/>
        <v>313</v>
      </c>
      <c r="AZ34" s="11">
        <f t="shared" si="39"/>
        <v>301</v>
      </c>
      <c r="BA34" s="11">
        <f t="shared" si="39"/>
        <v>228</v>
      </c>
      <c r="BB34" s="11">
        <f t="shared" si="39"/>
        <v>177</v>
      </c>
      <c r="BC34" s="8"/>
    </row>
    <row r="35" spans="1:55" ht="13.5" customHeight="1" x14ac:dyDescent="0.2">
      <c r="A35" s="7"/>
      <c r="B35" s="10" t="s">
        <v>71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8"/>
    </row>
    <row r="36" spans="1:55" ht="13.5" customHeight="1" x14ac:dyDescent="0.2">
      <c r="A36" s="7"/>
      <c r="B36" s="2"/>
      <c r="C36" s="3" t="s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">
        <v>37</v>
      </c>
      <c r="AM36" s="2">
        <v>27</v>
      </c>
      <c r="AN36" s="2">
        <v>50</v>
      </c>
      <c r="AO36" s="2">
        <v>40</v>
      </c>
      <c r="AP36" s="2">
        <v>46</v>
      </c>
      <c r="AQ36" s="2">
        <v>45</v>
      </c>
      <c r="AR36" s="2">
        <v>49</v>
      </c>
      <c r="AS36" s="2">
        <v>54</v>
      </c>
      <c r="AT36" s="2">
        <v>61</v>
      </c>
      <c r="AU36" s="2">
        <v>53</v>
      </c>
      <c r="AV36" s="2">
        <v>67</v>
      </c>
      <c r="AW36" s="2">
        <v>87</v>
      </c>
      <c r="AX36" s="2">
        <v>81</v>
      </c>
      <c r="AY36" s="2">
        <v>84</v>
      </c>
      <c r="AZ36" s="2">
        <v>103</v>
      </c>
      <c r="BA36" s="2">
        <v>112</v>
      </c>
      <c r="BB36" s="2">
        <v>103</v>
      </c>
      <c r="BC36" s="8"/>
    </row>
    <row r="37" spans="1:55" ht="13.5" customHeight="1" x14ac:dyDescent="0.2">
      <c r="A37" s="7"/>
      <c r="B37" s="2"/>
      <c r="C37" s="3" t="s">
        <v>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3"/>
      <c r="AW37" s="2">
        <v>1</v>
      </c>
      <c r="AX37" s="2">
        <v>2</v>
      </c>
      <c r="AY37" s="2">
        <v>3</v>
      </c>
      <c r="AZ37" s="2">
        <v>2</v>
      </c>
      <c r="BA37" s="2">
        <v>1</v>
      </c>
      <c r="BB37" s="2">
        <v>2</v>
      </c>
      <c r="BC37" s="8"/>
    </row>
    <row r="38" spans="1:55" ht="13.5" customHeight="1" x14ac:dyDescent="0.2">
      <c r="A38" s="7"/>
      <c r="B38" s="2"/>
      <c r="C38" s="3" t="s">
        <v>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">
        <v>4</v>
      </c>
      <c r="AM38" s="2">
        <v>5</v>
      </c>
      <c r="AN38" s="2">
        <v>21</v>
      </c>
      <c r="AO38" s="2">
        <v>33</v>
      </c>
      <c r="AP38" s="2">
        <v>33</v>
      </c>
      <c r="AQ38" s="2">
        <v>33</v>
      </c>
      <c r="AR38" s="2">
        <v>71</v>
      </c>
      <c r="AS38" s="2">
        <v>95</v>
      </c>
      <c r="AT38" s="2">
        <v>100</v>
      </c>
      <c r="AU38" s="2">
        <v>117</v>
      </c>
      <c r="AV38" s="2">
        <v>64</v>
      </c>
      <c r="AW38" s="2">
        <v>89</v>
      </c>
      <c r="AX38" s="2">
        <v>80</v>
      </c>
      <c r="AY38" s="2">
        <v>201</v>
      </c>
      <c r="AZ38" s="2">
        <v>282</v>
      </c>
      <c r="BA38" s="2">
        <v>220</v>
      </c>
      <c r="BB38" s="2">
        <v>129</v>
      </c>
      <c r="BC38" s="8"/>
    </row>
    <row r="39" spans="1:55" ht="13.5" customHeight="1" x14ac:dyDescent="0.2">
      <c r="A39" s="7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1">
        <f t="shared" ref="AL39:AV39" si="40">SUM(AL36:AL38)</f>
        <v>41</v>
      </c>
      <c r="AM39" s="11">
        <f t="shared" si="40"/>
        <v>32</v>
      </c>
      <c r="AN39" s="11">
        <f t="shared" si="40"/>
        <v>71</v>
      </c>
      <c r="AO39" s="11">
        <f t="shared" si="40"/>
        <v>73</v>
      </c>
      <c r="AP39" s="11">
        <f t="shared" si="40"/>
        <v>79</v>
      </c>
      <c r="AQ39" s="11">
        <f t="shared" si="40"/>
        <v>78</v>
      </c>
      <c r="AR39" s="11">
        <f t="shared" si="40"/>
        <v>120</v>
      </c>
      <c r="AS39" s="11">
        <f t="shared" si="40"/>
        <v>149</v>
      </c>
      <c r="AT39" s="11">
        <f t="shared" si="40"/>
        <v>161</v>
      </c>
      <c r="AU39" s="11">
        <f t="shared" si="40"/>
        <v>170</v>
      </c>
      <c r="AV39" s="11">
        <f t="shared" si="40"/>
        <v>131</v>
      </c>
      <c r="AW39" s="11">
        <f t="shared" ref="AW39:BB39" si="41">SUM(AW36:AW38)</f>
        <v>177</v>
      </c>
      <c r="AX39" s="11">
        <f t="shared" si="41"/>
        <v>163</v>
      </c>
      <c r="AY39" s="11">
        <f t="shared" si="41"/>
        <v>288</v>
      </c>
      <c r="AZ39" s="11">
        <f t="shared" si="41"/>
        <v>387</v>
      </c>
      <c r="BA39" s="11">
        <f t="shared" si="41"/>
        <v>333</v>
      </c>
      <c r="BB39" s="11">
        <f t="shared" si="41"/>
        <v>234</v>
      </c>
      <c r="BC39" s="8"/>
    </row>
    <row r="40" spans="1:55" ht="13.5" customHeight="1" x14ac:dyDescent="0.2">
      <c r="A40" s="7"/>
      <c r="B40" s="10" t="s">
        <v>92</v>
      </c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8"/>
    </row>
    <row r="41" spans="1:55" ht="13.5" customHeight="1" x14ac:dyDescent="0.2">
      <c r="A41" s="7"/>
      <c r="B41" s="2"/>
      <c r="C41" s="3" t="s"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8</v>
      </c>
      <c r="X41" s="2">
        <v>6</v>
      </c>
      <c r="Y41" s="2">
        <v>6</v>
      </c>
      <c r="Z41" s="2">
        <v>7</v>
      </c>
      <c r="AA41" s="2">
        <v>4</v>
      </c>
      <c r="AB41" s="2">
        <v>9</v>
      </c>
      <c r="AC41" s="2">
        <v>7</v>
      </c>
      <c r="AD41" s="2">
        <v>9</v>
      </c>
      <c r="AE41" s="2">
        <v>8</v>
      </c>
      <c r="AF41" s="2">
        <v>15</v>
      </c>
      <c r="AG41" s="2">
        <v>17</v>
      </c>
      <c r="AH41" s="2">
        <v>11</v>
      </c>
      <c r="AI41" s="2">
        <v>20</v>
      </c>
      <c r="AJ41" s="2">
        <v>12</v>
      </c>
      <c r="AK41" s="2">
        <v>23</v>
      </c>
      <c r="AL41" s="2">
        <v>9</v>
      </c>
      <c r="AM41" s="2">
        <v>26</v>
      </c>
      <c r="AN41" s="2">
        <v>20</v>
      </c>
      <c r="AO41" s="2">
        <v>16</v>
      </c>
      <c r="AP41" s="2">
        <v>26</v>
      </c>
      <c r="AQ41" s="2">
        <v>26</v>
      </c>
      <c r="AR41" s="2">
        <v>19</v>
      </c>
      <c r="AS41" s="2">
        <v>24</v>
      </c>
      <c r="AT41" s="2">
        <v>37</v>
      </c>
      <c r="AU41" s="2">
        <v>26</v>
      </c>
      <c r="AV41" s="2">
        <v>26</v>
      </c>
      <c r="AW41" s="2">
        <v>31</v>
      </c>
      <c r="AX41" s="2">
        <v>19</v>
      </c>
      <c r="AY41" s="2">
        <v>23</v>
      </c>
      <c r="AZ41" s="2">
        <v>21</v>
      </c>
      <c r="BA41" s="2">
        <v>26</v>
      </c>
      <c r="BB41" s="2">
        <v>20</v>
      </c>
      <c r="BC41" s="8"/>
    </row>
    <row r="42" spans="1:55" ht="13.5" customHeight="1" x14ac:dyDescent="0.2">
      <c r="A42" s="7"/>
      <c r="B42" s="2"/>
      <c r="C42" s="3" t="s">
        <v>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0</v>
      </c>
      <c r="X42" s="2">
        <v>1</v>
      </c>
      <c r="Y42" s="2">
        <v>0</v>
      </c>
      <c r="Z42" s="3">
        <v>0</v>
      </c>
      <c r="AA42" s="2">
        <v>1</v>
      </c>
      <c r="AB42" s="2">
        <v>3</v>
      </c>
      <c r="AC42" s="2">
        <v>1</v>
      </c>
      <c r="AD42" s="2">
        <v>2</v>
      </c>
      <c r="AE42" s="2">
        <v>0</v>
      </c>
      <c r="AF42" s="3">
        <v>7</v>
      </c>
      <c r="AG42" s="2">
        <v>0</v>
      </c>
      <c r="AH42" s="3">
        <v>4</v>
      </c>
      <c r="AI42" s="2">
        <v>7</v>
      </c>
      <c r="AJ42" s="2">
        <v>5</v>
      </c>
      <c r="AK42" s="2">
        <v>6</v>
      </c>
      <c r="AL42" s="2">
        <v>4</v>
      </c>
      <c r="AM42" s="2">
        <v>4</v>
      </c>
      <c r="AN42" s="2">
        <v>4</v>
      </c>
      <c r="AO42" s="2">
        <v>3</v>
      </c>
      <c r="AP42" s="2">
        <v>10</v>
      </c>
      <c r="AQ42" s="2">
        <v>6</v>
      </c>
      <c r="AR42" s="2">
        <v>11</v>
      </c>
      <c r="AS42" s="2">
        <v>5</v>
      </c>
      <c r="AT42" s="2">
        <v>8</v>
      </c>
      <c r="AU42" s="2">
        <v>9</v>
      </c>
      <c r="AV42" s="2">
        <v>15</v>
      </c>
      <c r="AW42" s="2">
        <v>12</v>
      </c>
      <c r="AX42" s="2">
        <v>8</v>
      </c>
      <c r="AY42" s="2">
        <v>7</v>
      </c>
      <c r="AZ42" s="2">
        <v>7</v>
      </c>
      <c r="BA42" s="2">
        <v>10</v>
      </c>
      <c r="BB42" s="2">
        <v>2</v>
      </c>
      <c r="BC42" s="8"/>
    </row>
    <row r="43" spans="1:55" ht="13.5" customHeight="1" x14ac:dyDescent="0.2">
      <c r="A43" s="7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>
        <f t="shared" ref="W43:AA43" si="42">SUM(W41:W42)</f>
        <v>8</v>
      </c>
      <c r="X43" s="11">
        <f t="shared" si="42"/>
        <v>7</v>
      </c>
      <c r="Y43" s="11">
        <f t="shared" si="42"/>
        <v>6</v>
      </c>
      <c r="Z43" s="11">
        <f t="shared" si="42"/>
        <v>7</v>
      </c>
      <c r="AA43" s="11">
        <f t="shared" si="42"/>
        <v>5</v>
      </c>
      <c r="AB43" s="11">
        <f t="shared" ref="AB43:AD43" si="43">SUM(AB41:AB42)</f>
        <v>12</v>
      </c>
      <c r="AC43" s="11">
        <f t="shared" si="43"/>
        <v>8</v>
      </c>
      <c r="AD43" s="11">
        <f t="shared" si="43"/>
        <v>11</v>
      </c>
      <c r="AE43" s="11">
        <f t="shared" ref="AE43:AG43" si="44">SUM(AE41:AE42)</f>
        <v>8</v>
      </c>
      <c r="AF43" s="11">
        <f t="shared" si="44"/>
        <v>22</v>
      </c>
      <c r="AG43" s="11">
        <f t="shared" si="44"/>
        <v>17</v>
      </c>
      <c r="AH43" s="11">
        <f t="shared" ref="AH43:AJ43" si="45">SUM(AH41:AH42)</f>
        <v>15</v>
      </c>
      <c r="AI43" s="11">
        <f t="shared" si="45"/>
        <v>27</v>
      </c>
      <c r="AJ43" s="11">
        <f t="shared" si="45"/>
        <v>17</v>
      </c>
      <c r="AK43" s="11">
        <f t="shared" ref="AK43:AV43" si="46">SUM(AK41:AK42)</f>
        <v>29</v>
      </c>
      <c r="AL43" s="11">
        <f t="shared" si="46"/>
        <v>13</v>
      </c>
      <c r="AM43" s="11">
        <f t="shared" si="46"/>
        <v>30</v>
      </c>
      <c r="AN43" s="11">
        <f t="shared" si="46"/>
        <v>24</v>
      </c>
      <c r="AO43" s="11">
        <f t="shared" si="46"/>
        <v>19</v>
      </c>
      <c r="AP43" s="11">
        <f t="shared" si="46"/>
        <v>36</v>
      </c>
      <c r="AQ43" s="11">
        <f t="shared" si="46"/>
        <v>32</v>
      </c>
      <c r="AR43" s="11">
        <f t="shared" si="46"/>
        <v>30</v>
      </c>
      <c r="AS43" s="11">
        <f t="shared" si="46"/>
        <v>29</v>
      </c>
      <c r="AT43" s="11">
        <f t="shared" si="46"/>
        <v>45</v>
      </c>
      <c r="AU43" s="11">
        <f t="shared" si="46"/>
        <v>35</v>
      </c>
      <c r="AV43" s="11">
        <f t="shared" si="46"/>
        <v>41</v>
      </c>
      <c r="AW43" s="11">
        <f t="shared" ref="AW43:BB43" si="47">SUM(AW41:AW42)</f>
        <v>43</v>
      </c>
      <c r="AX43" s="11">
        <f t="shared" si="47"/>
        <v>27</v>
      </c>
      <c r="AY43" s="11">
        <f t="shared" si="47"/>
        <v>30</v>
      </c>
      <c r="AZ43" s="11">
        <f t="shared" si="47"/>
        <v>28</v>
      </c>
      <c r="BA43" s="11">
        <f t="shared" si="47"/>
        <v>36</v>
      </c>
      <c r="BB43" s="11">
        <f t="shared" si="47"/>
        <v>22</v>
      </c>
      <c r="BC43" s="8"/>
    </row>
    <row r="44" spans="1:55" ht="13.5" customHeight="1" x14ac:dyDescent="0.2">
      <c r="A44" s="7"/>
      <c r="B44" s="10" t="s">
        <v>87</v>
      </c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8"/>
    </row>
    <row r="45" spans="1:55" ht="13.5" hidden="1" customHeight="1" x14ac:dyDescent="0.2">
      <c r="A45" s="7"/>
      <c r="B45" s="2"/>
      <c r="C45" s="3" t="s"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"/>
      <c r="AT45" s="2">
        <v>1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/>
      <c r="BC45" s="8"/>
    </row>
    <row r="46" spans="1:55" ht="13.5" customHeight="1" x14ac:dyDescent="0.2">
      <c r="A46" s="7"/>
      <c r="B46" s="2"/>
      <c r="C46" s="3" t="s">
        <v>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4</v>
      </c>
      <c r="X46" s="2">
        <v>8</v>
      </c>
      <c r="Y46" s="2">
        <v>2</v>
      </c>
      <c r="Z46" s="2">
        <v>10</v>
      </c>
      <c r="AA46" s="2">
        <v>5</v>
      </c>
      <c r="AB46" s="2">
        <v>7</v>
      </c>
      <c r="AC46" s="2">
        <v>9</v>
      </c>
      <c r="AD46" s="2">
        <v>11</v>
      </c>
      <c r="AE46" s="2">
        <v>14</v>
      </c>
      <c r="AF46" s="2">
        <v>24</v>
      </c>
      <c r="AG46" s="2">
        <v>26</v>
      </c>
      <c r="AH46" s="2">
        <v>25</v>
      </c>
      <c r="AI46" s="2">
        <v>20</v>
      </c>
      <c r="AJ46" s="2">
        <v>19</v>
      </c>
      <c r="AK46" s="2">
        <v>9</v>
      </c>
      <c r="AL46" s="2">
        <v>18</v>
      </c>
      <c r="AM46" s="2">
        <v>29</v>
      </c>
      <c r="AN46" s="2">
        <v>22</v>
      </c>
      <c r="AO46" s="2">
        <v>15</v>
      </c>
      <c r="AP46" s="2">
        <v>21</v>
      </c>
      <c r="AQ46" s="2">
        <v>19</v>
      </c>
      <c r="AR46" s="2">
        <v>22</v>
      </c>
      <c r="AS46" s="2">
        <v>32</v>
      </c>
      <c r="AT46" s="2">
        <v>32</v>
      </c>
      <c r="AU46" s="2">
        <v>30</v>
      </c>
      <c r="AV46" s="2">
        <v>18</v>
      </c>
      <c r="AW46" s="2">
        <v>33</v>
      </c>
      <c r="AX46" s="2">
        <v>29</v>
      </c>
      <c r="AY46" s="2">
        <v>29</v>
      </c>
      <c r="AZ46" s="2">
        <v>25</v>
      </c>
      <c r="BA46" s="2">
        <v>21</v>
      </c>
      <c r="BB46" s="2">
        <v>22</v>
      </c>
      <c r="BC46" s="8"/>
    </row>
    <row r="47" spans="1:55" ht="13.5" customHeight="1" x14ac:dyDescent="0.2">
      <c r="A47" s="7"/>
      <c r="B47" s="2"/>
      <c r="C47" s="3" t="s">
        <v>32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127</v>
      </c>
      <c r="X47" s="2">
        <v>135</v>
      </c>
      <c r="Y47" s="2">
        <v>137</v>
      </c>
      <c r="Z47" s="2">
        <v>133</v>
      </c>
      <c r="AA47" s="2">
        <v>164</v>
      </c>
      <c r="AB47" s="2">
        <v>150</v>
      </c>
      <c r="AC47" s="2">
        <v>161</v>
      </c>
      <c r="AD47" s="2">
        <v>127</v>
      </c>
      <c r="AE47" s="2">
        <v>153</v>
      </c>
      <c r="AF47" s="2">
        <v>142</v>
      </c>
      <c r="AG47" s="2">
        <v>146</v>
      </c>
      <c r="AH47" s="2">
        <v>131</v>
      </c>
      <c r="AI47" s="2">
        <v>166</v>
      </c>
      <c r="AJ47" s="2">
        <v>131</v>
      </c>
      <c r="AK47" s="2">
        <v>146</v>
      </c>
      <c r="AL47" s="2">
        <v>116</v>
      </c>
      <c r="AM47" s="2">
        <v>132</v>
      </c>
      <c r="AN47" s="2">
        <v>159</v>
      </c>
      <c r="AO47" s="2">
        <v>153</v>
      </c>
      <c r="AP47" s="2">
        <v>156</v>
      </c>
      <c r="AQ47" s="2">
        <v>176</v>
      </c>
      <c r="AR47" s="2">
        <v>150</v>
      </c>
      <c r="AS47" s="2">
        <v>153</v>
      </c>
      <c r="AT47" s="2">
        <v>156</v>
      </c>
      <c r="AU47" s="2">
        <v>156</v>
      </c>
      <c r="AV47" s="2">
        <v>150</v>
      </c>
      <c r="AW47" s="2">
        <v>159</v>
      </c>
      <c r="AX47" s="2">
        <v>141</v>
      </c>
      <c r="AY47" s="2">
        <v>141</v>
      </c>
      <c r="AZ47" s="2">
        <v>159</v>
      </c>
      <c r="BA47" s="2">
        <v>141</v>
      </c>
      <c r="BB47" s="2">
        <v>131</v>
      </c>
      <c r="BC47" s="8"/>
    </row>
    <row r="48" spans="1:55" ht="13.5" customHeight="1" x14ac:dyDescent="0.2">
      <c r="A48" s="7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>
        <f t="shared" ref="W48:AA48" si="48">SUM(W46:W47)</f>
        <v>131</v>
      </c>
      <c r="X48" s="11">
        <f t="shared" si="48"/>
        <v>143</v>
      </c>
      <c r="Y48" s="11">
        <f t="shared" si="48"/>
        <v>139</v>
      </c>
      <c r="Z48" s="11">
        <f t="shared" si="48"/>
        <v>143</v>
      </c>
      <c r="AA48" s="11">
        <f t="shared" si="48"/>
        <v>169</v>
      </c>
      <c r="AB48" s="11">
        <f t="shared" ref="AB48:AD48" si="49">SUM(AB46:AB47)</f>
        <v>157</v>
      </c>
      <c r="AC48" s="11">
        <f t="shared" si="49"/>
        <v>170</v>
      </c>
      <c r="AD48" s="11">
        <f t="shared" si="49"/>
        <v>138</v>
      </c>
      <c r="AE48" s="11">
        <f t="shared" ref="AE48:AG48" si="50">SUM(AE46:AE47)</f>
        <v>167</v>
      </c>
      <c r="AF48" s="11">
        <f t="shared" si="50"/>
        <v>166</v>
      </c>
      <c r="AG48" s="11">
        <f t="shared" si="50"/>
        <v>172</v>
      </c>
      <c r="AH48" s="11">
        <f>SUM(AH46:AH47)</f>
        <v>156</v>
      </c>
      <c r="AI48" s="11">
        <f t="shared" ref="AI48:AJ48" si="51">SUM(AI46:AI47)</f>
        <v>186</v>
      </c>
      <c r="AJ48" s="11">
        <f t="shared" si="51"/>
        <v>150</v>
      </c>
      <c r="AK48" s="11">
        <f t="shared" ref="AK48:AR48" si="52">SUM(AK46:AK47)</f>
        <v>155</v>
      </c>
      <c r="AL48" s="11">
        <f t="shared" si="52"/>
        <v>134</v>
      </c>
      <c r="AM48" s="11">
        <f t="shared" si="52"/>
        <v>161</v>
      </c>
      <c r="AN48" s="11">
        <f t="shared" si="52"/>
        <v>181</v>
      </c>
      <c r="AO48" s="11">
        <f t="shared" si="52"/>
        <v>168</v>
      </c>
      <c r="AP48" s="11">
        <f t="shared" si="52"/>
        <v>177</v>
      </c>
      <c r="AQ48" s="11">
        <f t="shared" si="52"/>
        <v>195</v>
      </c>
      <c r="AR48" s="11">
        <f t="shared" si="52"/>
        <v>172</v>
      </c>
      <c r="AS48" s="11">
        <f>SUM(AS46:AS47)</f>
        <v>185</v>
      </c>
      <c r="AT48" s="11">
        <f t="shared" ref="AT48:AV48" si="53">SUM(AT45:AT47)</f>
        <v>189</v>
      </c>
      <c r="AU48" s="11">
        <f t="shared" si="53"/>
        <v>186</v>
      </c>
      <c r="AV48" s="11">
        <f t="shared" si="53"/>
        <v>168</v>
      </c>
      <c r="AW48" s="11">
        <f t="shared" ref="AW48:BA48" si="54">SUM(AW45:AW47)</f>
        <v>192</v>
      </c>
      <c r="AX48" s="11">
        <f t="shared" si="54"/>
        <v>170</v>
      </c>
      <c r="AY48" s="11">
        <f t="shared" si="54"/>
        <v>170</v>
      </c>
      <c r="AZ48" s="11">
        <f t="shared" si="54"/>
        <v>184</v>
      </c>
      <c r="BA48" s="11">
        <f t="shared" si="54"/>
        <v>162</v>
      </c>
      <c r="BB48" s="11">
        <f>SUM(BB46:BB47)</f>
        <v>153</v>
      </c>
      <c r="BC48" s="8"/>
    </row>
    <row r="49" spans="1:55" ht="13.5" customHeight="1" x14ac:dyDescent="0.2">
      <c r="A49" s="7"/>
      <c r="B49" s="10" t="s">
        <v>88</v>
      </c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8"/>
    </row>
    <row r="50" spans="1:55" ht="13.5" customHeight="1" x14ac:dyDescent="0.2">
      <c r="A50" s="7"/>
      <c r="B50" s="2"/>
      <c r="C50" s="3" t="s"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30</v>
      </c>
      <c r="X50" s="2">
        <v>37</v>
      </c>
      <c r="Y50" s="2">
        <v>28</v>
      </c>
      <c r="Z50" s="2">
        <v>32</v>
      </c>
      <c r="AA50" s="2">
        <v>36</v>
      </c>
      <c r="AB50" s="2">
        <v>32</v>
      </c>
      <c r="AC50" s="2">
        <v>28</v>
      </c>
      <c r="AD50" s="2">
        <v>42</v>
      </c>
      <c r="AE50" s="2">
        <v>43</v>
      </c>
      <c r="AF50" s="2">
        <v>42</v>
      </c>
      <c r="AG50" s="2">
        <v>40</v>
      </c>
      <c r="AH50" s="2">
        <v>36</v>
      </c>
      <c r="AI50" s="2">
        <v>48</v>
      </c>
      <c r="AJ50" s="2">
        <v>50</v>
      </c>
      <c r="AK50" s="2">
        <v>58</v>
      </c>
      <c r="AL50" s="2">
        <v>50</v>
      </c>
      <c r="AM50" s="2">
        <v>40</v>
      </c>
      <c r="AN50" s="2">
        <v>43</v>
      </c>
      <c r="AO50" s="2">
        <v>49</v>
      </c>
      <c r="AP50" s="2">
        <v>53</v>
      </c>
      <c r="AQ50" s="2">
        <v>47</v>
      </c>
      <c r="AR50" s="2">
        <v>37</v>
      </c>
      <c r="AS50" s="2">
        <v>53</v>
      </c>
      <c r="AT50" s="2">
        <v>51</v>
      </c>
      <c r="AU50" s="2">
        <v>49</v>
      </c>
      <c r="AV50" s="2">
        <v>48</v>
      </c>
      <c r="AW50" s="2">
        <v>36</v>
      </c>
      <c r="AX50" s="2">
        <v>54</v>
      </c>
      <c r="AY50" s="2">
        <v>37</v>
      </c>
      <c r="AZ50" s="2">
        <v>35</v>
      </c>
      <c r="BA50" s="2">
        <v>44</v>
      </c>
      <c r="BB50" s="2">
        <v>47</v>
      </c>
      <c r="BC50" s="8"/>
    </row>
    <row r="51" spans="1:55" ht="13.5" customHeight="1" x14ac:dyDescent="0.2">
      <c r="A51" s="7"/>
      <c r="B51" s="2"/>
      <c r="C51" s="3" t="s">
        <v>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>
        <v>0</v>
      </c>
      <c r="AX51" s="2">
        <v>1</v>
      </c>
      <c r="AY51" s="2">
        <v>0</v>
      </c>
      <c r="AZ51" s="2">
        <v>5</v>
      </c>
      <c r="BA51" s="2">
        <v>0</v>
      </c>
      <c r="BB51" s="2">
        <v>0</v>
      </c>
      <c r="BC51" s="8"/>
    </row>
    <row r="52" spans="1:55" ht="13.5" customHeight="1" x14ac:dyDescent="0.2">
      <c r="A52" s="7"/>
      <c r="B52" s="2"/>
      <c r="C52" s="3" t="s">
        <v>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13</v>
      </c>
      <c r="X52" s="2">
        <v>10</v>
      </c>
      <c r="Y52" s="2">
        <v>9</v>
      </c>
      <c r="Z52" s="2">
        <v>9</v>
      </c>
      <c r="AA52" s="2">
        <v>9</v>
      </c>
      <c r="AB52" s="2">
        <v>13</v>
      </c>
      <c r="AC52" s="2">
        <v>14</v>
      </c>
      <c r="AD52" s="2">
        <v>20</v>
      </c>
      <c r="AE52" s="2">
        <v>17</v>
      </c>
      <c r="AF52" s="2">
        <v>18</v>
      </c>
      <c r="AG52" s="2">
        <v>11</v>
      </c>
      <c r="AH52" s="2">
        <v>13</v>
      </c>
      <c r="AI52" s="2">
        <v>12</v>
      </c>
      <c r="AJ52" s="2">
        <v>13</v>
      </c>
      <c r="AK52" s="2">
        <v>12</v>
      </c>
      <c r="AL52" s="2">
        <v>11</v>
      </c>
      <c r="AM52" s="2">
        <v>15</v>
      </c>
      <c r="AN52" s="2">
        <v>11</v>
      </c>
      <c r="AO52" s="2">
        <v>6</v>
      </c>
      <c r="AP52" s="2">
        <v>12</v>
      </c>
      <c r="AQ52" s="2">
        <v>15</v>
      </c>
      <c r="AR52" s="2">
        <v>17</v>
      </c>
      <c r="AS52" s="2">
        <v>13</v>
      </c>
      <c r="AT52" s="2">
        <v>11</v>
      </c>
      <c r="AU52" s="2">
        <v>20</v>
      </c>
      <c r="AV52" s="2">
        <v>13</v>
      </c>
      <c r="AW52" s="2">
        <v>19</v>
      </c>
      <c r="AX52" s="2">
        <v>16</v>
      </c>
      <c r="AY52" s="2">
        <v>17</v>
      </c>
      <c r="AZ52" s="2">
        <v>12</v>
      </c>
      <c r="BA52" s="2">
        <v>19</v>
      </c>
      <c r="BB52" s="2">
        <v>16</v>
      </c>
      <c r="BC52" s="8"/>
    </row>
    <row r="53" spans="1:55" ht="13.5" customHeight="1" x14ac:dyDescent="0.2">
      <c r="A53" s="7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1">
        <f t="shared" ref="W53:AA53" si="55">SUM(W50:W52)</f>
        <v>43</v>
      </c>
      <c r="X53" s="11">
        <f t="shared" si="55"/>
        <v>47</v>
      </c>
      <c r="Y53" s="11">
        <f t="shared" si="55"/>
        <v>37</v>
      </c>
      <c r="Z53" s="11">
        <f t="shared" si="55"/>
        <v>41</v>
      </c>
      <c r="AA53" s="11">
        <f t="shared" si="55"/>
        <v>45</v>
      </c>
      <c r="AB53" s="11">
        <f t="shared" ref="AB53:AD53" si="56">SUM(AB50:AB52)</f>
        <v>45</v>
      </c>
      <c r="AC53" s="11">
        <f t="shared" si="56"/>
        <v>42</v>
      </c>
      <c r="AD53" s="11">
        <f t="shared" si="56"/>
        <v>62</v>
      </c>
      <c r="AE53" s="11">
        <f t="shared" ref="AE53:AG53" si="57">SUM(AE50:AE52)</f>
        <v>60</v>
      </c>
      <c r="AF53" s="11">
        <f t="shared" si="57"/>
        <v>60</v>
      </c>
      <c r="AG53" s="11">
        <f t="shared" si="57"/>
        <v>51</v>
      </c>
      <c r="AH53" s="11">
        <f t="shared" ref="AH53:AJ53" si="58">SUM(AH50:AH52)</f>
        <v>49</v>
      </c>
      <c r="AI53" s="11">
        <f t="shared" si="58"/>
        <v>60</v>
      </c>
      <c r="AJ53" s="11">
        <f t="shared" si="58"/>
        <v>63</v>
      </c>
      <c r="AK53" s="11">
        <f t="shared" ref="AK53:AV53" si="59">SUM(AK50:AK52)</f>
        <v>70</v>
      </c>
      <c r="AL53" s="11">
        <f t="shared" si="59"/>
        <v>61</v>
      </c>
      <c r="AM53" s="11">
        <f t="shared" si="59"/>
        <v>55</v>
      </c>
      <c r="AN53" s="11">
        <f t="shared" si="59"/>
        <v>54</v>
      </c>
      <c r="AO53" s="11">
        <f t="shared" si="59"/>
        <v>55</v>
      </c>
      <c r="AP53" s="11">
        <f t="shared" si="59"/>
        <v>65</v>
      </c>
      <c r="AQ53" s="11">
        <f t="shared" si="59"/>
        <v>62</v>
      </c>
      <c r="AR53" s="11">
        <f t="shared" si="59"/>
        <v>54</v>
      </c>
      <c r="AS53" s="11">
        <f t="shared" si="59"/>
        <v>66</v>
      </c>
      <c r="AT53" s="11">
        <f t="shared" si="59"/>
        <v>62</v>
      </c>
      <c r="AU53" s="11">
        <f t="shared" si="59"/>
        <v>69</v>
      </c>
      <c r="AV53" s="11">
        <f t="shared" si="59"/>
        <v>61</v>
      </c>
      <c r="AW53" s="11">
        <f t="shared" ref="AW53:BB53" si="60">SUM(AW50:AW52)</f>
        <v>55</v>
      </c>
      <c r="AX53" s="11">
        <f t="shared" si="60"/>
        <v>71</v>
      </c>
      <c r="AY53" s="11">
        <f t="shared" si="60"/>
        <v>54</v>
      </c>
      <c r="AZ53" s="11">
        <f t="shared" si="60"/>
        <v>52</v>
      </c>
      <c r="BA53" s="11">
        <f t="shared" si="60"/>
        <v>63</v>
      </c>
      <c r="BB53" s="11">
        <f t="shared" si="60"/>
        <v>63</v>
      </c>
      <c r="BC53" s="8"/>
    </row>
    <row r="54" spans="1:55" ht="13.5" customHeight="1" x14ac:dyDescent="0.2">
      <c r="A54" s="7"/>
      <c r="B54" s="10" t="s">
        <v>91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8"/>
    </row>
    <row r="55" spans="1:55" ht="13.5" customHeight="1" x14ac:dyDescent="0.2">
      <c r="A55" s="7"/>
      <c r="B55" s="2"/>
      <c r="C55" s="3" t="s"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v>28</v>
      </c>
      <c r="X55" s="2">
        <v>26</v>
      </c>
      <c r="Y55" s="2">
        <v>52</v>
      </c>
      <c r="Z55" s="2">
        <v>43</v>
      </c>
      <c r="AA55" s="2">
        <v>72</v>
      </c>
      <c r="AB55" s="2">
        <v>93</v>
      </c>
      <c r="AC55" s="2">
        <v>85</v>
      </c>
      <c r="AD55" s="2">
        <v>98</v>
      </c>
      <c r="AE55" s="2">
        <v>118</v>
      </c>
      <c r="AF55" s="2">
        <v>123</v>
      </c>
      <c r="AG55" s="2">
        <v>154</v>
      </c>
      <c r="AH55" s="2">
        <v>134</v>
      </c>
      <c r="AI55" s="2">
        <v>181</v>
      </c>
      <c r="AJ55" s="2">
        <v>198</v>
      </c>
      <c r="AK55" s="2">
        <v>220</v>
      </c>
      <c r="AL55" s="2">
        <v>246</v>
      </c>
      <c r="AM55" s="2">
        <v>238</v>
      </c>
      <c r="AN55" s="2">
        <v>276</v>
      </c>
      <c r="AO55" s="2">
        <v>286</v>
      </c>
      <c r="AP55" s="2">
        <v>239</v>
      </c>
      <c r="AQ55" s="2">
        <v>223</v>
      </c>
      <c r="AR55" s="2">
        <v>229</v>
      </c>
      <c r="AS55" s="2">
        <v>247</v>
      </c>
      <c r="AT55" s="2">
        <v>329</v>
      </c>
      <c r="AU55" s="2">
        <v>188</v>
      </c>
      <c r="AV55" s="2">
        <v>244</v>
      </c>
      <c r="AW55" s="2">
        <v>202</v>
      </c>
      <c r="AX55" s="2">
        <v>213</v>
      </c>
      <c r="AY55" s="2">
        <v>184</v>
      </c>
      <c r="AZ55" s="2">
        <v>173</v>
      </c>
      <c r="BA55" s="2">
        <v>204</v>
      </c>
      <c r="BB55" s="2">
        <v>148</v>
      </c>
      <c r="BC55" s="8"/>
    </row>
    <row r="56" spans="1:55" ht="13.5" customHeight="1" x14ac:dyDescent="0.2">
      <c r="A56" s="7"/>
      <c r="B56" s="2"/>
      <c r="C56" s="3" t="s">
        <v>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">
        <v>2</v>
      </c>
      <c r="AK56" s="2">
        <v>1</v>
      </c>
      <c r="AL56" s="2">
        <v>15</v>
      </c>
      <c r="AM56" s="2">
        <v>15</v>
      </c>
      <c r="AN56" s="2">
        <v>9</v>
      </c>
      <c r="AO56" s="2">
        <v>11</v>
      </c>
      <c r="AP56" s="2">
        <v>11</v>
      </c>
      <c r="AQ56" s="2">
        <v>12</v>
      </c>
      <c r="AR56" s="2">
        <v>13</v>
      </c>
      <c r="AS56" s="2">
        <v>10</v>
      </c>
      <c r="AT56" s="2">
        <v>12</v>
      </c>
      <c r="AU56" s="2">
        <v>13</v>
      </c>
      <c r="AV56" s="2">
        <v>8</v>
      </c>
      <c r="AW56" s="2">
        <v>1</v>
      </c>
      <c r="AX56" s="2">
        <v>2</v>
      </c>
      <c r="AY56" s="2">
        <v>3</v>
      </c>
      <c r="AZ56" s="2">
        <v>2</v>
      </c>
      <c r="BA56" s="2">
        <v>0</v>
      </c>
      <c r="BB56" s="2">
        <v>5</v>
      </c>
      <c r="BC56" s="8"/>
    </row>
    <row r="57" spans="1:55" ht="13.5" customHeight="1" x14ac:dyDescent="0.2">
      <c r="A57" s="7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1">
        <f t="shared" ref="W57:AA57" si="61">W55</f>
        <v>28</v>
      </c>
      <c r="X57" s="11">
        <f t="shared" si="61"/>
        <v>26</v>
      </c>
      <c r="Y57" s="11">
        <f t="shared" si="61"/>
        <v>52</v>
      </c>
      <c r="Z57" s="11">
        <f t="shared" si="61"/>
        <v>43</v>
      </c>
      <c r="AA57" s="11">
        <f t="shared" si="61"/>
        <v>72</v>
      </c>
      <c r="AB57" s="11">
        <f t="shared" ref="AB57:AD57" si="62">AB55</f>
        <v>93</v>
      </c>
      <c r="AC57" s="11">
        <f t="shared" si="62"/>
        <v>85</v>
      </c>
      <c r="AD57" s="11">
        <f t="shared" si="62"/>
        <v>98</v>
      </c>
      <c r="AE57" s="11">
        <f>AE55</f>
        <v>118</v>
      </c>
      <c r="AF57" s="11">
        <f t="shared" ref="AF57:AG57" si="63">AF55</f>
        <v>123</v>
      </c>
      <c r="AG57" s="11">
        <f t="shared" si="63"/>
        <v>154</v>
      </c>
      <c r="AH57" s="11">
        <f>AH55</f>
        <v>134</v>
      </c>
      <c r="AI57" s="11">
        <f>AI55</f>
        <v>181</v>
      </c>
      <c r="AJ57" s="11">
        <f t="shared" ref="AJ57:AV57" si="64">SUM(AJ55:AJ56)</f>
        <v>200</v>
      </c>
      <c r="AK57" s="11">
        <f t="shared" si="64"/>
        <v>221</v>
      </c>
      <c r="AL57" s="11">
        <f t="shared" si="64"/>
        <v>261</v>
      </c>
      <c r="AM57" s="11">
        <f t="shared" si="64"/>
        <v>253</v>
      </c>
      <c r="AN57" s="11">
        <f t="shared" si="64"/>
        <v>285</v>
      </c>
      <c r="AO57" s="11">
        <f t="shared" si="64"/>
        <v>297</v>
      </c>
      <c r="AP57" s="11">
        <f t="shared" si="64"/>
        <v>250</v>
      </c>
      <c r="AQ57" s="11">
        <f t="shared" si="64"/>
        <v>235</v>
      </c>
      <c r="AR57" s="11">
        <f t="shared" si="64"/>
        <v>242</v>
      </c>
      <c r="AS57" s="11">
        <f t="shared" si="64"/>
        <v>257</v>
      </c>
      <c r="AT57" s="11">
        <f t="shared" si="64"/>
        <v>341</v>
      </c>
      <c r="AU57" s="11">
        <f t="shared" si="64"/>
        <v>201</v>
      </c>
      <c r="AV57" s="11">
        <f t="shared" si="64"/>
        <v>252</v>
      </c>
      <c r="AW57" s="11">
        <f t="shared" ref="AW57:BB57" si="65">SUM(AW55:AW56)</f>
        <v>203</v>
      </c>
      <c r="AX57" s="11">
        <f t="shared" si="65"/>
        <v>215</v>
      </c>
      <c r="AY57" s="11">
        <f t="shared" si="65"/>
        <v>187</v>
      </c>
      <c r="AZ57" s="11">
        <f t="shared" si="65"/>
        <v>175</v>
      </c>
      <c r="BA57" s="11">
        <f t="shared" si="65"/>
        <v>204</v>
      </c>
      <c r="BB57" s="11">
        <f t="shared" si="65"/>
        <v>153</v>
      </c>
      <c r="BC57" s="8"/>
    </row>
    <row r="58" spans="1:55" ht="13.5" customHeight="1" x14ac:dyDescent="0.2">
      <c r="A58" s="7"/>
      <c r="B58" s="10" t="s">
        <v>89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8"/>
    </row>
    <row r="59" spans="1:55" ht="13.5" customHeight="1" x14ac:dyDescent="0.2">
      <c r="A59" s="7"/>
      <c r="B59" s="2"/>
      <c r="C59" s="3" t="s"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117</v>
      </c>
      <c r="X59" s="2">
        <v>112</v>
      </c>
      <c r="Y59" s="2">
        <v>113</v>
      </c>
      <c r="Z59" s="2">
        <v>104</v>
      </c>
      <c r="AA59" s="2">
        <v>113</v>
      </c>
      <c r="AB59" s="2">
        <v>105</v>
      </c>
      <c r="AC59" s="2">
        <v>160</v>
      </c>
      <c r="AD59" s="2">
        <v>117</v>
      </c>
      <c r="AE59" s="2">
        <v>169</v>
      </c>
      <c r="AF59" s="2">
        <v>135</v>
      </c>
      <c r="AG59" s="2">
        <v>125</v>
      </c>
      <c r="AH59" s="2">
        <v>140</v>
      </c>
      <c r="AI59" s="2">
        <v>148</v>
      </c>
      <c r="AJ59" s="2">
        <v>81</v>
      </c>
      <c r="AK59" s="2">
        <v>72</v>
      </c>
      <c r="AL59" s="2">
        <v>59</v>
      </c>
      <c r="AM59" s="2">
        <v>56</v>
      </c>
      <c r="AN59" s="2">
        <v>48</v>
      </c>
      <c r="AO59" s="2">
        <v>56</v>
      </c>
      <c r="AP59" s="2">
        <v>64</v>
      </c>
      <c r="AQ59" s="2">
        <v>74</v>
      </c>
      <c r="AR59" s="2">
        <v>57</v>
      </c>
      <c r="AS59" s="2">
        <v>58</v>
      </c>
      <c r="AT59" s="2">
        <v>82</v>
      </c>
      <c r="AU59" s="2">
        <v>70</v>
      </c>
      <c r="AV59" s="2">
        <v>95</v>
      </c>
      <c r="AW59" s="2">
        <v>100</v>
      </c>
      <c r="AX59" s="2">
        <v>99</v>
      </c>
      <c r="AY59" s="2">
        <v>86</v>
      </c>
      <c r="AZ59" s="2">
        <v>87</v>
      </c>
      <c r="BA59" s="2">
        <v>101</v>
      </c>
      <c r="BB59" s="2">
        <v>127</v>
      </c>
      <c r="BC59" s="8"/>
    </row>
    <row r="60" spans="1:55" ht="13.5" customHeight="1" x14ac:dyDescent="0.2">
      <c r="A60" s="7"/>
      <c r="B60" s="2"/>
      <c r="C60" s="3" t="s">
        <v>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  <c r="AS60" s="2">
        <v>0</v>
      </c>
      <c r="AT60" s="2">
        <v>0</v>
      </c>
      <c r="AU60" s="2">
        <v>0</v>
      </c>
      <c r="AV60" s="2">
        <v>1</v>
      </c>
      <c r="AW60" s="2">
        <v>5</v>
      </c>
      <c r="AX60" s="2">
        <v>0</v>
      </c>
      <c r="AY60" s="2">
        <v>6</v>
      </c>
      <c r="AZ60" s="2">
        <v>4</v>
      </c>
      <c r="BA60" s="2">
        <v>5</v>
      </c>
      <c r="BB60" s="2">
        <v>1</v>
      </c>
      <c r="BC60" s="8"/>
    </row>
    <row r="61" spans="1:55" ht="13.5" customHeight="1" x14ac:dyDescent="0.2">
      <c r="A61" s="7"/>
      <c r="B61" s="2"/>
      <c r="C61" s="3" t="s">
        <v>5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16</v>
      </c>
      <c r="X61" s="2">
        <v>12</v>
      </c>
      <c r="Y61" s="2">
        <v>18</v>
      </c>
      <c r="Z61" s="2">
        <v>16</v>
      </c>
      <c r="AA61" s="2">
        <v>8</v>
      </c>
      <c r="AB61" s="2">
        <v>20</v>
      </c>
      <c r="AC61" s="2">
        <v>15</v>
      </c>
      <c r="AD61" s="2">
        <v>17</v>
      </c>
      <c r="AE61" s="2">
        <v>9</v>
      </c>
      <c r="AF61" s="2">
        <v>11</v>
      </c>
      <c r="AG61" s="2">
        <v>13</v>
      </c>
      <c r="AH61" s="2">
        <v>11</v>
      </c>
      <c r="AI61" s="2">
        <v>12</v>
      </c>
      <c r="AJ61" s="2">
        <v>10</v>
      </c>
      <c r="AK61" s="2">
        <v>13</v>
      </c>
      <c r="AL61" s="2">
        <v>17</v>
      </c>
      <c r="AM61" s="2">
        <v>14</v>
      </c>
      <c r="AN61" s="2">
        <v>13</v>
      </c>
      <c r="AO61" s="2">
        <v>21</v>
      </c>
      <c r="AP61" s="2">
        <v>16</v>
      </c>
      <c r="AQ61" s="2">
        <v>19</v>
      </c>
      <c r="AR61" s="2">
        <v>18</v>
      </c>
      <c r="AS61" s="2">
        <v>20</v>
      </c>
      <c r="AT61" s="2">
        <v>23</v>
      </c>
      <c r="AU61" s="2">
        <v>21</v>
      </c>
      <c r="AV61" s="2">
        <v>27</v>
      </c>
      <c r="AW61" s="2">
        <v>29</v>
      </c>
      <c r="AX61" s="2">
        <v>32</v>
      </c>
      <c r="AY61" s="2">
        <v>31</v>
      </c>
      <c r="AZ61" s="2">
        <v>20</v>
      </c>
      <c r="BA61" s="2">
        <v>20</v>
      </c>
      <c r="BB61" s="2">
        <v>14</v>
      </c>
      <c r="BC61" s="8"/>
    </row>
    <row r="62" spans="1:55" ht="13.5" customHeight="1" x14ac:dyDescent="0.2">
      <c r="A62" s="7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1">
        <f t="shared" ref="W62:AA62" si="66">SUM(W59:W61)</f>
        <v>133</v>
      </c>
      <c r="X62" s="11">
        <f t="shared" si="66"/>
        <v>124</v>
      </c>
      <c r="Y62" s="11">
        <f t="shared" si="66"/>
        <v>131</v>
      </c>
      <c r="Z62" s="11">
        <f t="shared" si="66"/>
        <v>120</v>
      </c>
      <c r="AA62" s="11">
        <f t="shared" si="66"/>
        <v>121</v>
      </c>
      <c r="AB62" s="11">
        <f t="shared" ref="AB62:AD62" si="67">SUM(AB59:AB61)</f>
        <v>125</v>
      </c>
      <c r="AC62" s="11">
        <f t="shared" si="67"/>
        <v>175</v>
      </c>
      <c r="AD62" s="11">
        <f t="shared" si="67"/>
        <v>134</v>
      </c>
      <c r="AE62" s="11">
        <f t="shared" ref="AE62:AG62" si="68">SUM(AE59:AE61)</f>
        <v>178</v>
      </c>
      <c r="AF62" s="11">
        <f t="shared" si="68"/>
        <v>146</v>
      </c>
      <c r="AG62" s="11">
        <f t="shared" si="68"/>
        <v>138</v>
      </c>
      <c r="AH62" s="11">
        <f t="shared" ref="AH62:AJ62" si="69">SUM(AH59:AH61)</f>
        <v>151</v>
      </c>
      <c r="AI62" s="11">
        <f t="shared" si="69"/>
        <v>160</v>
      </c>
      <c r="AJ62" s="11">
        <f t="shared" si="69"/>
        <v>91</v>
      </c>
      <c r="AK62" s="11">
        <f t="shared" ref="AK62:AV62" si="70">SUM(AK59:AK61)</f>
        <v>85</v>
      </c>
      <c r="AL62" s="11">
        <f t="shared" si="70"/>
        <v>76</v>
      </c>
      <c r="AM62" s="11">
        <f t="shared" si="70"/>
        <v>70</v>
      </c>
      <c r="AN62" s="11">
        <f t="shared" si="70"/>
        <v>61</v>
      </c>
      <c r="AO62" s="11">
        <f t="shared" si="70"/>
        <v>77</v>
      </c>
      <c r="AP62" s="11">
        <f t="shared" si="70"/>
        <v>80</v>
      </c>
      <c r="AQ62" s="11">
        <f t="shared" si="70"/>
        <v>93</v>
      </c>
      <c r="AR62" s="11">
        <f t="shared" si="70"/>
        <v>75</v>
      </c>
      <c r="AS62" s="11">
        <f t="shared" si="70"/>
        <v>78</v>
      </c>
      <c r="AT62" s="11">
        <f t="shared" si="70"/>
        <v>105</v>
      </c>
      <c r="AU62" s="11">
        <f t="shared" si="70"/>
        <v>91</v>
      </c>
      <c r="AV62" s="11">
        <f t="shared" si="70"/>
        <v>123</v>
      </c>
      <c r="AW62" s="11">
        <f t="shared" ref="AW62:BB62" si="71">SUM(AW59:AW61)</f>
        <v>134</v>
      </c>
      <c r="AX62" s="11">
        <f t="shared" si="71"/>
        <v>131</v>
      </c>
      <c r="AY62" s="11">
        <f t="shared" si="71"/>
        <v>123</v>
      </c>
      <c r="AZ62" s="11">
        <f t="shared" si="71"/>
        <v>111</v>
      </c>
      <c r="BA62" s="11">
        <f t="shared" si="71"/>
        <v>126</v>
      </c>
      <c r="BB62" s="11">
        <f t="shared" si="71"/>
        <v>142</v>
      </c>
      <c r="BC62" s="8"/>
    </row>
    <row r="63" spans="1:55" ht="13.5" customHeight="1" x14ac:dyDescent="0.2">
      <c r="A63" s="7"/>
      <c r="B63" s="10" t="s">
        <v>85</v>
      </c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8"/>
    </row>
    <row r="64" spans="1:55" ht="13.5" customHeight="1" x14ac:dyDescent="0.2">
      <c r="A64" s="7"/>
      <c r="B64" s="2"/>
      <c r="C64" s="3" t="s"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>
        <v>6</v>
      </c>
      <c r="X64" s="2">
        <v>5</v>
      </c>
      <c r="Y64" s="2">
        <v>3</v>
      </c>
      <c r="Z64" s="2">
        <v>13</v>
      </c>
      <c r="AA64" s="2">
        <v>5</v>
      </c>
      <c r="AB64" s="2">
        <v>3</v>
      </c>
      <c r="AC64" s="2">
        <v>11</v>
      </c>
      <c r="AD64" s="2">
        <v>13</v>
      </c>
      <c r="AE64" s="2">
        <v>12</v>
      </c>
      <c r="AF64" s="2">
        <v>10</v>
      </c>
      <c r="AG64" s="2">
        <v>7</v>
      </c>
      <c r="AH64" s="2">
        <v>5</v>
      </c>
      <c r="AI64" s="2">
        <v>7</v>
      </c>
      <c r="AJ64" s="2">
        <v>4</v>
      </c>
      <c r="AK64" s="2">
        <v>5</v>
      </c>
      <c r="AL64" s="2">
        <v>10</v>
      </c>
      <c r="AM64" s="2">
        <v>10</v>
      </c>
      <c r="AN64" s="2">
        <v>8</v>
      </c>
      <c r="AO64" s="2">
        <v>10</v>
      </c>
      <c r="AP64" s="2">
        <v>13</v>
      </c>
      <c r="AQ64" s="2">
        <v>8</v>
      </c>
      <c r="AR64" s="2">
        <v>9</v>
      </c>
      <c r="AS64" s="2">
        <v>8</v>
      </c>
      <c r="AT64" s="2">
        <v>10</v>
      </c>
      <c r="AU64" s="2">
        <v>9</v>
      </c>
      <c r="AV64" s="2">
        <v>16</v>
      </c>
      <c r="AW64" s="2">
        <v>13</v>
      </c>
      <c r="AX64" s="2">
        <v>14</v>
      </c>
      <c r="AY64" s="2">
        <v>15</v>
      </c>
      <c r="AZ64" s="2">
        <v>20</v>
      </c>
      <c r="BA64" s="2">
        <v>13</v>
      </c>
      <c r="BB64" s="2">
        <v>26</v>
      </c>
      <c r="BC64" s="8"/>
    </row>
    <row r="65" spans="1:56" ht="13.5" customHeight="1" x14ac:dyDescent="0.2">
      <c r="A65" s="7"/>
      <c r="B65" s="2"/>
      <c r="C65" s="3" t="s">
        <v>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2</v>
      </c>
      <c r="X65" s="2">
        <v>2</v>
      </c>
      <c r="Y65" s="2">
        <v>1</v>
      </c>
      <c r="Z65" s="2">
        <v>2</v>
      </c>
      <c r="AA65" s="2">
        <v>1</v>
      </c>
      <c r="AB65" s="2">
        <v>5</v>
      </c>
      <c r="AC65" s="2">
        <v>2</v>
      </c>
      <c r="AD65" s="2">
        <v>1</v>
      </c>
      <c r="AE65" s="2">
        <v>7</v>
      </c>
      <c r="AF65" s="2">
        <v>3</v>
      </c>
      <c r="AG65" s="2">
        <v>2</v>
      </c>
      <c r="AH65" s="2">
        <v>1</v>
      </c>
      <c r="AI65" s="2">
        <v>2</v>
      </c>
      <c r="AJ65" s="2">
        <v>4</v>
      </c>
      <c r="AK65" s="2">
        <v>0</v>
      </c>
      <c r="AL65" s="2">
        <v>3</v>
      </c>
      <c r="AM65" s="2">
        <v>4</v>
      </c>
      <c r="AN65" s="2">
        <v>0</v>
      </c>
      <c r="AO65" s="2">
        <v>4</v>
      </c>
      <c r="AP65" s="2">
        <v>5</v>
      </c>
      <c r="AQ65" s="2">
        <v>4</v>
      </c>
      <c r="AR65" s="2">
        <v>6</v>
      </c>
      <c r="AS65" s="2">
        <v>10</v>
      </c>
      <c r="AT65" s="2">
        <v>10</v>
      </c>
      <c r="AU65" s="2">
        <v>13</v>
      </c>
      <c r="AV65" s="2">
        <v>11</v>
      </c>
      <c r="AW65" s="2">
        <v>11</v>
      </c>
      <c r="AX65" s="2">
        <v>8</v>
      </c>
      <c r="AY65" s="2">
        <v>13</v>
      </c>
      <c r="AZ65" s="2">
        <v>6</v>
      </c>
      <c r="BA65" s="2">
        <v>13</v>
      </c>
      <c r="BB65" s="2">
        <v>7</v>
      </c>
      <c r="BC65" s="8"/>
    </row>
    <row r="66" spans="1:56" ht="13.5" hidden="1" customHeight="1" x14ac:dyDescent="0.2">
      <c r="A66" s="7"/>
      <c r="B66" s="2"/>
      <c r="C66" s="3" t="s">
        <v>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>
        <v>1</v>
      </c>
      <c r="X66" s="3">
        <v>0</v>
      </c>
      <c r="Y66" s="3">
        <v>0</v>
      </c>
      <c r="Z66" s="3">
        <v>1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2">
        <v>1</v>
      </c>
      <c r="AL66" s="2">
        <v>0</v>
      </c>
      <c r="AM66" s="3">
        <v>1</v>
      </c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8"/>
    </row>
    <row r="67" spans="1:56" ht="13.5" customHeight="1" x14ac:dyDescent="0.2">
      <c r="A67" s="7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1">
        <f t="shared" ref="W67:AA67" si="72">SUM(W64:W66)</f>
        <v>9</v>
      </c>
      <c r="X67" s="11">
        <f t="shared" si="72"/>
        <v>7</v>
      </c>
      <c r="Y67" s="11">
        <f t="shared" si="72"/>
        <v>4</v>
      </c>
      <c r="Z67" s="11">
        <f t="shared" si="72"/>
        <v>16</v>
      </c>
      <c r="AA67" s="11">
        <f t="shared" si="72"/>
        <v>7</v>
      </c>
      <c r="AB67" s="11">
        <f t="shared" ref="AB67:AD67" si="73">SUM(AB64:AB66)</f>
        <v>8</v>
      </c>
      <c r="AC67" s="11">
        <f t="shared" si="73"/>
        <v>13</v>
      </c>
      <c r="AD67" s="11">
        <f t="shared" si="73"/>
        <v>14</v>
      </c>
      <c r="AE67" s="11">
        <f t="shared" ref="AE67:AJ67" si="74">SUM(AE64:AE66)</f>
        <v>19</v>
      </c>
      <c r="AF67" s="11">
        <f t="shared" si="74"/>
        <v>13</v>
      </c>
      <c r="AG67" s="11">
        <f t="shared" si="74"/>
        <v>11</v>
      </c>
      <c r="AH67" s="11">
        <f t="shared" si="74"/>
        <v>6</v>
      </c>
      <c r="AI67" s="11">
        <f t="shared" si="74"/>
        <v>9</v>
      </c>
      <c r="AJ67" s="11">
        <f t="shared" si="74"/>
        <v>8</v>
      </c>
      <c r="AK67" s="11">
        <f>SUM(AK64:AK66)</f>
        <v>6</v>
      </c>
      <c r="AL67" s="11">
        <f t="shared" ref="AL67:AM67" si="75">SUM(AL64:AL66)</f>
        <v>13</v>
      </c>
      <c r="AM67" s="11">
        <f t="shared" si="75"/>
        <v>15</v>
      </c>
      <c r="AN67" s="11">
        <f>SUM(AN64:AN65)</f>
        <v>8</v>
      </c>
      <c r="AO67" s="11">
        <f t="shared" ref="AO67:AW67" si="76">SUM(AO64:AO65)</f>
        <v>14</v>
      </c>
      <c r="AP67" s="11">
        <f t="shared" si="76"/>
        <v>18</v>
      </c>
      <c r="AQ67" s="11">
        <f t="shared" si="76"/>
        <v>12</v>
      </c>
      <c r="AR67" s="11">
        <f t="shared" si="76"/>
        <v>15</v>
      </c>
      <c r="AS67" s="11">
        <f t="shared" si="76"/>
        <v>18</v>
      </c>
      <c r="AT67" s="11">
        <f t="shared" si="76"/>
        <v>20</v>
      </c>
      <c r="AU67" s="11">
        <f t="shared" si="76"/>
        <v>22</v>
      </c>
      <c r="AV67" s="11">
        <f t="shared" si="76"/>
        <v>27</v>
      </c>
      <c r="AW67" s="11">
        <f t="shared" si="76"/>
        <v>24</v>
      </c>
      <c r="AX67" s="11">
        <f t="shared" ref="AX67" si="77">SUM(AX64:AX65)</f>
        <v>22</v>
      </c>
      <c r="AY67" s="11">
        <f>SUM(AY64:AY65)</f>
        <v>28</v>
      </c>
      <c r="AZ67" s="11">
        <f>SUM(AZ64:AZ65)</f>
        <v>26</v>
      </c>
      <c r="BA67" s="11">
        <f>SUM(BA64:BA65)</f>
        <v>26</v>
      </c>
      <c r="BB67" s="11">
        <f>SUM(BB64:BB65)</f>
        <v>33</v>
      </c>
      <c r="BC67" s="8"/>
    </row>
    <row r="68" spans="1:56" ht="13.5" customHeight="1" x14ac:dyDescent="0.2">
      <c r="A68" s="7"/>
      <c r="B68" s="10" t="s">
        <v>84</v>
      </c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8"/>
    </row>
    <row r="69" spans="1:56" ht="13.5" customHeight="1" x14ac:dyDescent="0.2">
      <c r="A69" s="7"/>
      <c r="B69" s="10"/>
      <c r="C69" s="3" t="s">
        <v>10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>
        <v>0</v>
      </c>
      <c r="BB69" s="2">
        <v>6</v>
      </c>
      <c r="BC69" s="8"/>
    </row>
    <row r="70" spans="1:56" ht="13.5" customHeight="1" x14ac:dyDescent="0.2">
      <c r="A70" s="7"/>
      <c r="B70" s="2"/>
      <c r="C70" s="3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2</v>
      </c>
      <c r="X70" s="2">
        <v>0</v>
      </c>
      <c r="Y70" s="3">
        <v>0</v>
      </c>
      <c r="Z70" s="2">
        <v>1</v>
      </c>
      <c r="AA70" s="3">
        <v>0</v>
      </c>
      <c r="AB70" s="2">
        <v>1</v>
      </c>
      <c r="AC70" s="2">
        <v>1</v>
      </c>
      <c r="AD70" s="3">
        <v>0</v>
      </c>
      <c r="AE70" s="2">
        <v>1</v>
      </c>
      <c r="AF70" s="2">
        <v>1</v>
      </c>
      <c r="AG70" s="2">
        <v>3</v>
      </c>
      <c r="AH70" s="2">
        <v>2</v>
      </c>
      <c r="AI70" s="2">
        <v>4</v>
      </c>
      <c r="AJ70" s="2">
        <v>3</v>
      </c>
      <c r="AK70" s="2">
        <f>6-AK11</f>
        <v>3</v>
      </c>
      <c r="AL70" s="2">
        <f>8-AL11</f>
        <v>0</v>
      </c>
      <c r="AM70" s="2">
        <f>12-AM11</f>
        <v>2</v>
      </c>
      <c r="AN70" s="2">
        <f>10-AN11</f>
        <v>1</v>
      </c>
      <c r="AO70" s="2">
        <f>10-AO11</f>
        <v>2</v>
      </c>
      <c r="AP70" s="2">
        <f>7-AP11</f>
        <v>1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/>
      <c r="BB70" s="2"/>
      <c r="BC70" s="8"/>
      <c r="BD70" s="20"/>
    </row>
    <row r="71" spans="1:56" ht="13.5" customHeight="1" x14ac:dyDescent="0.2">
      <c r="A71" s="7"/>
      <c r="B71" s="2"/>
      <c r="C71" s="3" t="s">
        <v>9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3"/>
      <c r="AP71" s="2">
        <v>0</v>
      </c>
      <c r="AQ71" s="2">
        <v>0</v>
      </c>
      <c r="AR71" s="2">
        <v>0</v>
      </c>
      <c r="AS71" s="2">
        <v>1</v>
      </c>
      <c r="AT71" s="2">
        <v>0</v>
      </c>
      <c r="AU71" s="2">
        <v>1</v>
      </c>
      <c r="AV71" s="2">
        <v>3</v>
      </c>
      <c r="AW71" s="2">
        <v>0</v>
      </c>
      <c r="AX71" s="2">
        <v>1</v>
      </c>
      <c r="AY71" s="2">
        <v>2</v>
      </c>
      <c r="AZ71" s="2">
        <v>3</v>
      </c>
      <c r="BA71" s="2">
        <v>0</v>
      </c>
      <c r="BB71" s="2">
        <v>2</v>
      </c>
      <c r="BC71" s="8"/>
    </row>
    <row r="72" spans="1:56" ht="13.5" customHeight="1" x14ac:dyDescent="0.2">
      <c r="A72" s="7"/>
      <c r="B72" s="2"/>
      <c r="C72" s="3" t="s">
        <v>7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>
        <v>1</v>
      </c>
      <c r="AC72" s="3">
        <v>1</v>
      </c>
      <c r="AD72" s="3">
        <v>8</v>
      </c>
      <c r="AE72" s="3">
        <v>6</v>
      </c>
      <c r="AF72" s="3">
        <v>16</v>
      </c>
      <c r="AG72" s="3">
        <v>19</v>
      </c>
      <c r="AH72" s="3">
        <v>23</v>
      </c>
      <c r="AI72" s="2">
        <v>35</v>
      </c>
      <c r="AJ72" s="2">
        <v>38</v>
      </c>
      <c r="AK72" s="2">
        <v>42</v>
      </c>
      <c r="AL72" s="2">
        <v>38</v>
      </c>
      <c r="AM72" s="2">
        <v>36</v>
      </c>
      <c r="AN72" s="2">
        <v>33</v>
      </c>
      <c r="AO72" s="2">
        <v>29</v>
      </c>
      <c r="AP72" s="2">
        <v>43</v>
      </c>
      <c r="AQ72" s="2">
        <v>43</v>
      </c>
      <c r="AR72" s="2">
        <v>32</v>
      </c>
      <c r="AS72" s="2">
        <v>24</v>
      </c>
      <c r="AT72" s="2">
        <v>32</v>
      </c>
      <c r="AU72" s="2">
        <v>31</v>
      </c>
      <c r="AV72" s="2">
        <v>42</v>
      </c>
      <c r="AW72" s="2">
        <v>45</v>
      </c>
      <c r="AX72" s="2">
        <v>55</v>
      </c>
      <c r="AY72" s="2">
        <v>47</v>
      </c>
      <c r="AZ72" s="2">
        <v>48</v>
      </c>
      <c r="BA72" s="2">
        <v>47</v>
      </c>
      <c r="BB72" s="2">
        <v>39</v>
      </c>
      <c r="BC72" s="8"/>
    </row>
    <row r="73" spans="1:56" ht="13.5" customHeight="1" x14ac:dyDescent="0.2">
      <c r="A73" s="7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1">
        <f t="shared" ref="AB73:AD73" si="78">SUM(AB70:AB72)</f>
        <v>2</v>
      </c>
      <c r="AC73" s="11">
        <f t="shared" si="78"/>
        <v>2</v>
      </c>
      <c r="AD73" s="11">
        <f t="shared" si="78"/>
        <v>8</v>
      </c>
      <c r="AE73" s="11">
        <f t="shared" ref="AE73:AG73" si="79">SUM(AE70:AE72)</f>
        <v>7</v>
      </c>
      <c r="AF73" s="11">
        <f t="shared" si="79"/>
        <v>17</v>
      </c>
      <c r="AG73" s="11">
        <f t="shared" si="79"/>
        <v>22</v>
      </c>
      <c r="AH73" s="11">
        <f t="shared" ref="AH73:AJ73" si="80">SUM(AH70:AH72)</f>
        <v>25</v>
      </c>
      <c r="AI73" s="11">
        <f t="shared" si="80"/>
        <v>39</v>
      </c>
      <c r="AJ73" s="11">
        <f t="shared" si="80"/>
        <v>41</v>
      </c>
      <c r="AK73" s="11">
        <f t="shared" ref="AK73:AV73" si="81">SUM(AK70:AK72)</f>
        <v>45</v>
      </c>
      <c r="AL73" s="11">
        <f t="shared" si="81"/>
        <v>38</v>
      </c>
      <c r="AM73" s="11">
        <f t="shared" si="81"/>
        <v>38</v>
      </c>
      <c r="AN73" s="11">
        <f t="shared" si="81"/>
        <v>34</v>
      </c>
      <c r="AO73" s="11">
        <f t="shared" si="81"/>
        <v>31</v>
      </c>
      <c r="AP73" s="11">
        <f t="shared" si="81"/>
        <v>44</v>
      </c>
      <c r="AQ73" s="11">
        <f t="shared" si="81"/>
        <v>43</v>
      </c>
      <c r="AR73" s="11">
        <f t="shared" si="81"/>
        <v>32</v>
      </c>
      <c r="AS73" s="11">
        <f t="shared" si="81"/>
        <v>25</v>
      </c>
      <c r="AT73" s="11">
        <f t="shared" si="81"/>
        <v>32</v>
      </c>
      <c r="AU73" s="11">
        <f t="shared" si="81"/>
        <v>32</v>
      </c>
      <c r="AV73" s="11">
        <f t="shared" si="81"/>
        <v>45</v>
      </c>
      <c r="AW73" s="11">
        <f t="shared" ref="AW73:AZ73" si="82">SUM(AW70:AW72)</f>
        <v>45</v>
      </c>
      <c r="AX73" s="11">
        <f t="shared" si="82"/>
        <v>56</v>
      </c>
      <c r="AY73" s="11">
        <f t="shared" si="82"/>
        <v>49</v>
      </c>
      <c r="AZ73" s="11">
        <f t="shared" si="82"/>
        <v>51</v>
      </c>
      <c r="BA73" s="11">
        <f>SUM(BA69:BA72)</f>
        <v>47</v>
      </c>
      <c r="BB73" s="11">
        <f>SUM(BB69:BB72)</f>
        <v>47</v>
      </c>
      <c r="BC73" s="8"/>
    </row>
    <row r="74" spans="1:56" ht="13.5" customHeight="1" x14ac:dyDescent="0.2">
      <c r="A74" s="7"/>
      <c r="B74" s="10" t="s">
        <v>82</v>
      </c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8"/>
    </row>
    <row r="75" spans="1:56" ht="13.5" customHeight="1" x14ac:dyDescent="0.2">
      <c r="A75" s="7"/>
      <c r="B75" s="2"/>
      <c r="C75" s="3" t="s"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>
        <v>8</v>
      </c>
      <c r="X75" s="2">
        <v>3</v>
      </c>
      <c r="Y75" s="2">
        <v>2</v>
      </c>
      <c r="Z75" s="2">
        <v>6</v>
      </c>
      <c r="AA75" s="2">
        <v>3</v>
      </c>
      <c r="AB75" s="2">
        <v>5</v>
      </c>
      <c r="AC75" s="2">
        <v>7</v>
      </c>
      <c r="AD75" s="2">
        <v>6</v>
      </c>
      <c r="AE75" s="2">
        <v>7</v>
      </c>
      <c r="AF75" s="2">
        <v>7</v>
      </c>
      <c r="AG75" s="2">
        <v>4</v>
      </c>
      <c r="AH75" s="2">
        <v>6</v>
      </c>
      <c r="AI75" s="2">
        <v>6</v>
      </c>
      <c r="AJ75" s="2">
        <v>4</v>
      </c>
      <c r="AK75" s="2">
        <v>4</v>
      </c>
      <c r="AL75" s="2">
        <v>9</v>
      </c>
      <c r="AM75" s="2">
        <v>4</v>
      </c>
      <c r="AN75" s="2">
        <v>4</v>
      </c>
      <c r="AO75" s="2">
        <v>15</v>
      </c>
      <c r="AP75" s="2">
        <v>16</v>
      </c>
      <c r="AQ75" s="2">
        <v>18</v>
      </c>
      <c r="AR75" s="2">
        <v>13</v>
      </c>
      <c r="AS75" s="2">
        <v>14</v>
      </c>
      <c r="AT75" s="2">
        <v>16</v>
      </c>
      <c r="AU75" s="2">
        <v>10</v>
      </c>
      <c r="AV75" s="2">
        <v>11</v>
      </c>
      <c r="AW75" s="2">
        <v>11</v>
      </c>
      <c r="AX75" s="2">
        <v>14</v>
      </c>
      <c r="AY75" s="2">
        <v>16</v>
      </c>
      <c r="AZ75" s="2">
        <v>12</v>
      </c>
      <c r="BA75" s="2">
        <v>13</v>
      </c>
      <c r="BB75" s="2">
        <v>7</v>
      </c>
      <c r="BC75" s="8"/>
    </row>
    <row r="76" spans="1:56" ht="13.5" customHeight="1" x14ac:dyDescent="0.2">
      <c r="A76" s="7"/>
      <c r="B76" s="2"/>
      <c r="C76" s="3" t="s">
        <v>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32"/>
      <c r="AV76" s="2">
        <v>0</v>
      </c>
      <c r="AW76" s="2">
        <v>0</v>
      </c>
      <c r="AX76" s="2">
        <v>0</v>
      </c>
      <c r="AY76" s="2">
        <v>1</v>
      </c>
      <c r="AZ76" s="2">
        <v>0</v>
      </c>
      <c r="BA76" s="2">
        <v>0</v>
      </c>
      <c r="BB76" s="2">
        <v>1</v>
      </c>
      <c r="BC76" s="8"/>
    </row>
    <row r="77" spans="1:56" ht="13.5" customHeight="1" x14ac:dyDescent="0.2">
      <c r="A77" s="7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1">
        <f t="shared" ref="W77:AS77" si="83">W75</f>
        <v>8</v>
      </c>
      <c r="X77" s="11">
        <f t="shared" si="83"/>
        <v>3</v>
      </c>
      <c r="Y77" s="11">
        <f t="shared" si="83"/>
        <v>2</v>
      </c>
      <c r="Z77" s="11">
        <f t="shared" si="83"/>
        <v>6</v>
      </c>
      <c r="AA77" s="11">
        <f t="shared" si="83"/>
        <v>3</v>
      </c>
      <c r="AB77" s="11">
        <f t="shared" si="83"/>
        <v>5</v>
      </c>
      <c r="AC77" s="11">
        <f t="shared" si="83"/>
        <v>7</v>
      </c>
      <c r="AD77" s="11">
        <f t="shared" si="83"/>
        <v>6</v>
      </c>
      <c r="AE77" s="11">
        <f t="shared" si="83"/>
        <v>7</v>
      </c>
      <c r="AF77" s="11">
        <f t="shared" si="83"/>
        <v>7</v>
      </c>
      <c r="AG77" s="11">
        <f t="shared" si="83"/>
        <v>4</v>
      </c>
      <c r="AH77" s="11">
        <f t="shared" si="83"/>
        <v>6</v>
      </c>
      <c r="AI77" s="11">
        <f t="shared" si="83"/>
        <v>6</v>
      </c>
      <c r="AJ77" s="11">
        <f t="shared" si="83"/>
        <v>4</v>
      </c>
      <c r="AK77" s="11">
        <f t="shared" si="83"/>
        <v>4</v>
      </c>
      <c r="AL77" s="11">
        <f t="shared" si="83"/>
        <v>9</v>
      </c>
      <c r="AM77" s="11">
        <f t="shared" si="83"/>
        <v>4</v>
      </c>
      <c r="AN77" s="11">
        <f t="shared" si="83"/>
        <v>4</v>
      </c>
      <c r="AO77" s="11">
        <f t="shared" si="83"/>
        <v>15</v>
      </c>
      <c r="AP77" s="11">
        <f t="shared" si="83"/>
        <v>16</v>
      </c>
      <c r="AQ77" s="11">
        <f t="shared" si="83"/>
        <v>18</v>
      </c>
      <c r="AR77" s="11">
        <f t="shared" si="83"/>
        <v>13</v>
      </c>
      <c r="AS77" s="11">
        <f t="shared" si="83"/>
        <v>14</v>
      </c>
      <c r="AT77" s="11">
        <f>AT75</f>
        <v>16</v>
      </c>
      <c r="AU77" s="11">
        <f>AU75</f>
        <v>10</v>
      </c>
      <c r="AV77" s="11">
        <f t="shared" ref="AV77:AX77" si="84">SUM(AV75:AV76)</f>
        <v>11</v>
      </c>
      <c r="AW77" s="11">
        <f t="shared" si="84"/>
        <v>11</v>
      </c>
      <c r="AX77" s="11">
        <f t="shared" si="84"/>
        <v>14</v>
      </c>
      <c r="AY77" s="11">
        <f>SUM(AY75:AY76)</f>
        <v>17</v>
      </c>
      <c r="AZ77" s="11">
        <f>SUM(AZ75:AZ76)</f>
        <v>12</v>
      </c>
      <c r="BA77" s="11">
        <f>SUM(BA75:BA76)</f>
        <v>13</v>
      </c>
      <c r="BB77" s="11">
        <f>SUM(BB75:BB76)</f>
        <v>8</v>
      </c>
      <c r="BC77" s="8"/>
    </row>
    <row r="78" spans="1:56" ht="13.5" customHeight="1" x14ac:dyDescent="0.2">
      <c r="A78" s="7"/>
      <c r="B78" s="10" t="s">
        <v>81</v>
      </c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8"/>
    </row>
    <row r="79" spans="1:56" ht="13.5" customHeight="1" x14ac:dyDescent="0.2">
      <c r="A79" s="7"/>
      <c r="B79" s="2"/>
      <c r="C79" s="3" t="s">
        <v>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>
        <v>33</v>
      </c>
      <c r="X79" s="2">
        <v>27</v>
      </c>
      <c r="Y79" s="2">
        <v>22</v>
      </c>
      <c r="Z79" s="2">
        <v>17</v>
      </c>
      <c r="AA79" s="2">
        <v>12</v>
      </c>
      <c r="AB79" s="2">
        <v>19</v>
      </c>
      <c r="AC79" s="2">
        <v>25</v>
      </c>
      <c r="AD79" s="2">
        <v>31</v>
      </c>
      <c r="AE79" s="2">
        <v>27</v>
      </c>
      <c r="AF79" s="2">
        <v>27</v>
      </c>
      <c r="AG79" s="2">
        <v>28</v>
      </c>
      <c r="AH79" s="2">
        <v>28</v>
      </c>
      <c r="AI79" s="2">
        <v>36</v>
      </c>
      <c r="AJ79" s="2">
        <v>28</v>
      </c>
      <c r="AK79" s="2">
        <v>20</v>
      </c>
      <c r="AL79" s="2">
        <v>43</v>
      </c>
      <c r="AM79" s="2">
        <v>39</v>
      </c>
      <c r="AN79" s="2">
        <v>41</v>
      </c>
      <c r="AO79" s="2">
        <v>46</v>
      </c>
      <c r="AP79" s="2">
        <v>57</v>
      </c>
      <c r="AQ79" s="2">
        <v>42</v>
      </c>
      <c r="AR79" s="2">
        <v>60</v>
      </c>
      <c r="AS79" s="2">
        <v>73</v>
      </c>
      <c r="AT79" s="2">
        <v>93</v>
      </c>
      <c r="AU79" s="2">
        <v>74</v>
      </c>
      <c r="AV79" s="2">
        <v>90</v>
      </c>
      <c r="AW79" s="2">
        <v>128</v>
      </c>
      <c r="AX79" s="2">
        <v>122</v>
      </c>
      <c r="AY79" s="2">
        <v>134</v>
      </c>
      <c r="AZ79" s="2">
        <v>107</v>
      </c>
      <c r="BA79" s="2">
        <v>127</v>
      </c>
      <c r="BB79" s="2">
        <v>109</v>
      </c>
      <c r="BC79" s="8"/>
    </row>
    <row r="80" spans="1:56" ht="13.5" customHeight="1" x14ac:dyDescent="0.2">
      <c r="A80" s="7"/>
      <c r="B80" s="2"/>
      <c r="C80" s="3" t="s">
        <v>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>
        <v>9</v>
      </c>
      <c r="X80" s="2">
        <v>17</v>
      </c>
      <c r="Y80" s="2">
        <v>10</v>
      </c>
      <c r="Z80" s="2">
        <v>13</v>
      </c>
      <c r="AA80" s="2">
        <v>13</v>
      </c>
      <c r="AB80" s="2">
        <v>18</v>
      </c>
      <c r="AC80" s="2">
        <v>15</v>
      </c>
      <c r="AD80" s="2">
        <v>14</v>
      </c>
      <c r="AE80" s="2">
        <v>9</v>
      </c>
      <c r="AF80" s="2">
        <v>16</v>
      </c>
      <c r="AG80" s="2">
        <v>18</v>
      </c>
      <c r="AH80" s="2">
        <v>10</v>
      </c>
      <c r="AI80" s="2">
        <v>7</v>
      </c>
      <c r="AJ80" s="2">
        <v>2</v>
      </c>
      <c r="AK80" s="2">
        <v>8</v>
      </c>
      <c r="AL80" s="2">
        <v>2</v>
      </c>
      <c r="AM80" s="2">
        <v>3</v>
      </c>
      <c r="AN80" s="2">
        <v>4</v>
      </c>
      <c r="AO80" s="2">
        <v>7</v>
      </c>
      <c r="AP80" s="2">
        <v>9</v>
      </c>
      <c r="AQ80" s="2">
        <v>8</v>
      </c>
      <c r="AR80" s="2">
        <v>5</v>
      </c>
      <c r="AS80" s="2">
        <v>6</v>
      </c>
      <c r="AT80" s="2">
        <v>11</v>
      </c>
      <c r="AU80" s="2">
        <v>14</v>
      </c>
      <c r="AV80" s="2">
        <v>15</v>
      </c>
      <c r="AW80" s="2">
        <v>15</v>
      </c>
      <c r="AX80" s="2">
        <v>12</v>
      </c>
      <c r="AY80" s="2">
        <v>20</v>
      </c>
      <c r="AZ80" s="2">
        <v>29</v>
      </c>
      <c r="BA80" s="2">
        <v>23</v>
      </c>
      <c r="BB80" s="2">
        <v>12</v>
      </c>
      <c r="BC80" s="8"/>
    </row>
    <row r="81" spans="1:55" ht="13.5" hidden="1" customHeight="1" x14ac:dyDescent="0.2">
      <c r="A81" s="7"/>
      <c r="B81" s="2"/>
      <c r="C81" s="3" t="s">
        <v>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>
        <v>6</v>
      </c>
      <c r="X81" s="2">
        <v>1</v>
      </c>
      <c r="Y81" s="2">
        <v>2</v>
      </c>
      <c r="Z81" s="2">
        <v>2</v>
      </c>
      <c r="AA81" s="2">
        <v>4</v>
      </c>
      <c r="AB81" s="2">
        <v>2</v>
      </c>
      <c r="AC81" s="2">
        <v>4</v>
      </c>
      <c r="AD81" s="2">
        <v>6</v>
      </c>
      <c r="AE81" s="2">
        <v>6</v>
      </c>
      <c r="AF81" s="2">
        <v>2</v>
      </c>
      <c r="AG81" s="2">
        <v>3</v>
      </c>
      <c r="AH81" s="3">
        <v>3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8"/>
    </row>
    <row r="82" spans="1:55" ht="13.5" customHeight="1" x14ac:dyDescent="0.2">
      <c r="A82" s="7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1">
        <f t="shared" ref="W82:AA82" si="85">SUM(W79:W81)</f>
        <v>48</v>
      </c>
      <c r="X82" s="11">
        <f t="shared" si="85"/>
        <v>45</v>
      </c>
      <c r="Y82" s="11">
        <f t="shared" si="85"/>
        <v>34</v>
      </c>
      <c r="Z82" s="11">
        <f t="shared" si="85"/>
        <v>32</v>
      </c>
      <c r="AA82" s="11">
        <f t="shared" si="85"/>
        <v>29</v>
      </c>
      <c r="AB82" s="11">
        <f t="shared" ref="AB82:AD82" si="86">SUM(AB79:AB81)</f>
        <v>39</v>
      </c>
      <c r="AC82" s="11">
        <f t="shared" si="86"/>
        <v>44</v>
      </c>
      <c r="AD82" s="11">
        <f t="shared" si="86"/>
        <v>51</v>
      </c>
      <c r="AE82" s="11">
        <f t="shared" ref="AE82:AG82" si="87">SUM(AE79:AE81)</f>
        <v>42</v>
      </c>
      <c r="AF82" s="11">
        <f t="shared" si="87"/>
        <v>45</v>
      </c>
      <c r="AG82" s="11">
        <f t="shared" si="87"/>
        <v>49</v>
      </c>
      <c r="AH82" s="11">
        <f>SUM(AH79:AH81)</f>
        <v>41</v>
      </c>
      <c r="AI82" s="11">
        <f t="shared" ref="AI82:AJ82" si="88">SUM(AI79:AI80)</f>
        <v>43</v>
      </c>
      <c r="AJ82" s="11">
        <f t="shared" si="88"/>
        <v>30</v>
      </c>
      <c r="AK82" s="11">
        <f>SUM(AK79:AK80)</f>
        <v>28</v>
      </c>
      <c r="AL82" s="11">
        <f t="shared" ref="AL82:AV82" si="89">SUM(AL79:AL80)</f>
        <v>45</v>
      </c>
      <c r="AM82" s="11">
        <f t="shared" si="89"/>
        <v>42</v>
      </c>
      <c r="AN82" s="11">
        <f t="shared" si="89"/>
        <v>45</v>
      </c>
      <c r="AO82" s="11">
        <f t="shared" si="89"/>
        <v>53</v>
      </c>
      <c r="AP82" s="11">
        <f t="shared" si="89"/>
        <v>66</v>
      </c>
      <c r="AQ82" s="11">
        <f t="shared" si="89"/>
        <v>50</v>
      </c>
      <c r="AR82" s="11">
        <f t="shared" si="89"/>
        <v>65</v>
      </c>
      <c r="AS82" s="11">
        <f t="shared" si="89"/>
        <v>79</v>
      </c>
      <c r="AT82" s="11">
        <f t="shared" si="89"/>
        <v>104</v>
      </c>
      <c r="AU82" s="11">
        <f t="shared" si="89"/>
        <v>88</v>
      </c>
      <c r="AV82" s="11">
        <f t="shared" si="89"/>
        <v>105</v>
      </c>
      <c r="AW82" s="11">
        <f t="shared" ref="AW82:BB82" si="90">SUM(AW79:AW80)</f>
        <v>143</v>
      </c>
      <c r="AX82" s="11">
        <f t="shared" si="90"/>
        <v>134</v>
      </c>
      <c r="AY82" s="11">
        <f t="shared" si="90"/>
        <v>154</v>
      </c>
      <c r="AZ82" s="11">
        <f t="shared" si="90"/>
        <v>136</v>
      </c>
      <c r="BA82" s="11">
        <f t="shared" si="90"/>
        <v>150</v>
      </c>
      <c r="BB82" s="11">
        <f t="shared" si="90"/>
        <v>121</v>
      </c>
      <c r="BC82" s="8"/>
    </row>
    <row r="83" spans="1:55" ht="13.5" customHeight="1" x14ac:dyDescent="0.2">
      <c r="A83" s="7"/>
      <c r="B83" s="10" t="s">
        <v>80</v>
      </c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8"/>
    </row>
    <row r="84" spans="1:55" ht="13.5" customHeight="1" x14ac:dyDescent="0.2">
      <c r="A84" s="7"/>
      <c r="B84" s="2"/>
      <c r="C84" s="3" t="s"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>
        <v>56</v>
      </c>
      <c r="X84" s="2">
        <v>48</v>
      </c>
      <c r="Y84" s="2">
        <v>59</v>
      </c>
      <c r="Z84" s="2">
        <v>63</v>
      </c>
      <c r="AA84" s="2">
        <v>62</v>
      </c>
      <c r="AB84" s="2">
        <v>60</v>
      </c>
      <c r="AC84" s="2">
        <v>78</v>
      </c>
      <c r="AD84" s="2">
        <v>76</v>
      </c>
      <c r="AE84" s="2">
        <v>90</v>
      </c>
      <c r="AF84" s="2">
        <v>84</v>
      </c>
      <c r="AG84" s="2">
        <v>78</v>
      </c>
      <c r="AH84" s="2">
        <v>87</v>
      </c>
      <c r="AI84" s="2">
        <v>79</v>
      </c>
      <c r="AJ84" s="2">
        <v>83</v>
      </c>
      <c r="AK84" s="2">
        <v>85</v>
      </c>
      <c r="AL84" s="2">
        <v>93</v>
      </c>
      <c r="AM84" s="2">
        <v>83</v>
      </c>
      <c r="AN84" s="2">
        <v>83</v>
      </c>
      <c r="AO84" s="2">
        <v>86</v>
      </c>
      <c r="AP84" s="2">
        <v>102</v>
      </c>
      <c r="AQ84" s="2">
        <v>91</v>
      </c>
      <c r="AR84" s="2">
        <v>79</v>
      </c>
      <c r="AS84" s="2">
        <v>92</v>
      </c>
      <c r="AT84" s="2">
        <v>92</v>
      </c>
      <c r="AU84" s="2">
        <v>88</v>
      </c>
      <c r="AV84" s="2">
        <v>102</v>
      </c>
      <c r="AW84" s="2">
        <v>113</v>
      </c>
      <c r="AX84" s="2">
        <v>99</v>
      </c>
      <c r="AY84" s="2">
        <v>109</v>
      </c>
      <c r="AZ84" s="2">
        <v>95</v>
      </c>
      <c r="BA84" s="2">
        <v>106</v>
      </c>
      <c r="BB84" s="2">
        <v>118</v>
      </c>
      <c r="BC84" s="8"/>
    </row>
    <row r="85" spans="1:55" ht="13.5" customHeight="1" x14ac:dyDescent="0.2">
      <c r="A85" s="7"/>
      <c r="B85" s="2"/>
      <c r="C85" s="3" t="s">
        <v>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>
        <v>0</v>
      </c>
      <c r="AW85" s="2">
        <v>0</v>
      </c>
      <c r="AX85" s="2">
        <v>1</v>
      </c>
      <c r="AY85" s="2">
        <v>1</v>
      </c>
      <c r="AZ85" s="2">
        <v>1</v>
      </c>
      <c r="BA85" s="2">
        <v>6</v>
      </c>
      <c r="BB85" s="2">
        <v>2</v>
      </c>
      <c r="BC85" s="8"/>
    </row>
    <row r="86" spans="1:55" ht="13.5" customHeight="1" x14ac:dyDescent="0.2">
      <c r="A86" s="7"/>
      <c r="B86" s="2"/>
      <c r="C86" s="3" t="s">
        <v>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v>13</v>
      </c>
      <c r="X86" s="2">
        <v>12</v>
      </c>
      <c r="Y86" s="2">
        <v>9</v>
      </c>
      <c r="Z86" s="2">
        <v>14</v>
      </c>
      <c r="AA86" s="2">
        <v>5</v>
      </c>
      <c r="AB86" s="2">
        <v>9</v>
      </c>
      <c r="AC86" s="2">
        <v>11</v>
      </c>
      <c r="AD86" s="2">
        <v>11</v>
      </c>
      <c r="AE86" s="2">
        <v>5</v>
      </c>
      <c r="AF86" s="2">
        <v>5</v>
      </c>
      <c r="AG86" s="2">
        <v>5</v>
      </c>
      <c r="AH86" s="2">
        <v>6</v>
      </c>
      <c r="AI86" s="2">
        <v>9</v>
      </c>
      <c r="AJ86" s="2">
        <v>2</v>
      </c>
      <c r="AK86" s="2">
        <v>2</v>
      </c>
      <c r="AL86" s="2">
        <v>4</v>
      </c>
      <c r="AM86" s="2">
        <v>3</v>
      </c>
      <c r="AN86" s="2">
        <v>4</v>
      </c>
      <c r="AO86" s="2">
        <v>4</v>
      </c>
      <c r="AP86" s="2">
        <v>6</v>
      </c>
      <c r="AQ86" s="2">
        <v>4</v>
      </c>
      <c r="AR86" s="2">
        <v>3</v>
      </c>
      <c r="AS86" s="2">
        <v>4</v>
      </c>
      <c r="AT86" s="2">
        <v>6</v>
      </c>
      <c r="AU86" s="2">
        <v>4</v>
      </c>
      <c r="AV86" s="2">
        <v>4</v>
      </c>
      <c r="AW86" s="2">
        <v>3</v>
      </c>
      <c r="AX86" s="2">
        <v>4</v>
      </c>
      <c r="AY86" s="2">
        <v>3</v>
      </c>
      <c r="AZ86" s="2">
        <v>4</v>
      </c>
      <c r="BA86" s="2">
        <v>3</v>
      </c>
      <c r="BB86" s="2">
        <v>2</v>
      </c>
      <c r="BC86" s="8"/>
    </row>
    <row r="87" spans="1:55" ht="13.5" customHeight="1" x14ac:dyDescent="0.2">
      <c r="A87" s="7"/>
      <c r="B87" s="2"/>
      <c r="C87" s="3" t="s">
        <v>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18</v>
      </c>
      <c r="X87" s="2">
        <v>12</v>
      </c>
      <c r="Y87" s="2">
        <v>14</v>
      </c>
      <c r="Z87" s="2">
        <v>8</v>
      </c>
      <c r="AA87" s="2">
        <v>19</v>
      </c>
      <c r="AB87" s="2">
        <v>17</v>
      </c>
      <c r="AC87" s="2">
        <v>12</v>
      </c>
      <c r="AD87" s="2">
        <v>14</v>
      </c>
      <c r="AE87" s="2">
        <v>12</v>
      </c>
      <c r="AF87" s="2">
        <v>12</v>
      </c>
      <c r="AG87" s="2">
        <v>13</v>
      </c>
      <c r="AH87" s="2">
        <v>7</v>
      </c>
      <c r="AI87" s="2">
        <v>3</v>
      </c>
      <c r="AJ87" s="2">
        <v>5</v>
      </c>
      <c r="AK87" s="2">
        <v>11</v>
      </c>
      <c r="AL87" s="2">
        <v>7</v>
      </c>
      <c r="AM87" s="2">
        <v>7</v>
      </c>
      <c r="AN87" s="2">
        <v>10</v>
      </c>
      <c r="AO87" s="2">
        <v>5</v>
      </c>
      <c r="AP87" s="2">
        <v>8</v>
      </c>
      <c r="AQ87" s="2">
        <v>8</v>
      </c>
      <c r="AR87" s="2">
        <v>12</v>
      </c>
      <c r="AS87" s="2">
        <v>9</v>
      </c>
      <c r="AT87" s="2">
        <v>8</v>
      </c>
      <c r="AU87" s="2">
        <v>4</v>
      </c>
      <c r="AV87" s="2">
        <v>9</v>
      </c>
      <c r="AW87" s="2">
        <v>5</v>
      </c>
      <c r="AX87" s="2">
        <v>13</v>
      </c>
      <c r="AY87" s="2">
        <v>8</v>
      </c>
      <c r="AZ87" s="2">
        <v>11</v>
      </c>
      <c r="BA87" s="2">
        <v>8</v>
      </c>
      <c r="BB87" s="2">
        <v>8</v>
      </c>
      <c r="BC87" s="8"/>
    </row>
    <row r="88" spans="1:55" ht="13.5" customHeight="1" x14ac:dyDescent="0.2">
      <c r="A88" s="7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1">
        <f t="shared" ref="W88:AA88" si="91">SUM(W84:W87)</f>
        <v>87</v>
      </c>
      <c r="X88" s="11">
        <f t="shared" si="91"/>
        <v>72</v>
      </c>
      <c r="Y88" s="11">
        <f t="shared" si="91"/>
        <v>82</v>
      </c>
      <c r="Z88" s="11">
        <f t="shared" si="91"/>
        <v>85</v>
      </c>
      <c r="AA88" s="11">
        <f t="shared" si="91"/>
        <v>86</v>
      </c>
      <c r="AB88" s="11">
        <f t="shared" ref="AB88:AD88" si="92">SUM(AB84:AB87)</f>
        <v>86</v>
      </c>
      <c r="AC88" s="11">
        <f t="shared" si="92"/>
        <v>101</v>
      </c>
      <c r="AD88" s="11">
        <f t="shared" si="92"/>
        <v>101</v>
      </c>
      <c r="AE88" s="11">
        <f t="shared" ref="AE88:AG88" si="93">SUM(AE84:AE87)</f>
        <v>107</v>
      </c>
      <c r="AF88" s="11">
        <f t="shared" si="93"/>
        <v>101</v>
      </c>
      <c r="AG88" s="11">
        <f t="shared" si="93"/>
        <v>96</v>
      </c>
      <c r="AH88" s="11">
        <f t="shared" ref="AH88:AJ88" si="94">SUM(AH84:AH87)</f>
        <v>100</v>
      </c>
      <c r="AI88" s="11">
        <f t="shared" si="94"/>
        <v>91</v>
      </c>
      <c r="AJ88" s="11">
        <f t="shared" si="94"/>
        <v>90</v>
      </c>
      <c r="AK88" s="11">
        <f t="shared" ref="AK88:AV88" si="95">SUM(AK84:AK87)</f>
        <v>98</v>
      </c>
      <c r="AL88" s="11">
        <f t="shared" si="95"/>
        <v>104</v>
      </c>
      <c r="AM88" s="11">
        <f t="shared" si="95"/>
        <v>93</v>
      </c>
      <c r="AN88" s="11">
        <f t="shared" si="95"/>
        <v>97</v>
      </c>
      <c r="AO88" s="11">
        <f t="shared" si="95"/>
        <v>95</v>
      </c>
      <c r="AP88" s="11">
        <f t="shared" si="95"/>
        <v>116</v>
      </c>
      <c r="AQ88" s="11">
        <f t="shared" si="95"/>
        <v>103</v>
      </c>
      <c r="AR88" s="11">
        <f t="shared" si="95"/>
        <v>94</v>
      </c>
      <c r="AS88" s="11">
        <f t="shared" si="95"/>
        <v>105</v>
      </c>
      <c r="AT88" s="11">
        <f t="shared" si="95"/>
        <v>106</v>
      </c>
      <c r="AU88" s="11">
        <f t="shared" si="95"/>
        <v>96</v>
      </c>
      <c r="AV88" s="11">
        <f t="shared" si="95"/>
        <v>115</v>
      </c>
      <c r="AW88" s="11">
        <f t="shared" ref="AW88:BB88" si="96">SUM(AW84:AW87)</f>
        <v>121</v>
      </c>
      <c r="AX88" s="11">
        <f t="shared" si="96"/>
        <v>117</v>
      </c>
      <c r="AY88" s="11">
        <f t="shared" si="96"/>
        <v>121</v>
      </c>
      <c r="AZ88" s="11">
        <f t="shared" si="96"/>
        <v>111</v>
      </c>
      <c r="BA88" s="11">
        <f t="shared" si="96"/>
        <v>123</v>
      </c>
      <c r="BB88" s="11">
        <f t="shared" si="96"/>
        <v>130</v>
      </c>
      <c r="BC88" s="8"/>
    </row>
    <row r="89" spans="1:55" ht="13.5" customHeight="1" x14ac:dyDescent="0.2">
      <c r="A89" s="7"/>
      <c r="B89" s="10" t="s">
        <v>79</v>
      </c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8"/>
    </row>
    <row r="90" spans="1:55" ht="13.5" customHeight="1" x14ac:dyDescent="0.2">
      <c r="A90" s="7"/>
      <c r="B90" s="2"/>
      <c r="C90" s="3" t="s"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>
        <v>17</v>
      </c>
      <c r="X90" s="2">
        <v>26</v>
      </c>
      <c r="Y90" s="2">
        <v>24</v>
      </c>
      <c r="Z90" s="2">
        <v>22</v>
      </c>
      <c r="AA90" s="2">
        <v>16</v>
      </c>
      <c r="AB90" s="2">
        <v>21</v>
      </c>
      <c r="AC90" s="2">
        <v>28</v>
      </c>
      <c r="AD90" s="2">
        <v>38</v>
      </c>
      <c r="AE90" s="2">
        <v>33</v>
      </c>
      <c r="AF90" s="2">
        <v>28</v>
      </c>
      <c r="AG90" s="2">
        <v>35</v>
      </c>
      <c r="AH90" s="2">
        <v>27</v>
      </c>
      <c r="AI90" s="2">
        <v>49</v>
      </c>
      <c r="AJ90" s="2">
        <v>27</v>
      </c>
      <c r="AK90" s="2">
        <v>30</v>
      </c>
      <c r="AL90" s="2">
        <v>34</v>
      </c>
      <c r="AM90" s="2">
        <v>29</v>
      </c>
      <c r="AN90" s="2">
        <v>31</v>
      </c>
      <c r="AO90" s="2">
        <v>25</v>
      </c>
      <c r="AP90" s="2">
        <v>41</v>
      </c>
      <c r="AQ90" s="2">
        <v>33</v>
      </c>
      <c r="AR90" s="2">
        <v>34</v>
      </c>
      <c r="AS90" s="2">
        <v>42</v>
      </c>
      <c r="AT90" s="2">
        <v>39</v>
      </c>
      <c r="AU90" s="2">
        <v>46</v>
      </c>
      <c r="AV90" s="2">
        <v>50</v>
      </c>
      <c r="AW90" s="2">
        <v>55</v>
      </c>
      <c r="AX90" s="2">
        <v>52</v>
      </c>
      <c r="AY90" s="2">
        <v>47</v>
      </c>
      <c r="AZ90" s="2">
        <v>53</v>
      </c>
      <c r="BA90" s="2">
        <v>57</v>
      </c>
      <c r="BB90" s="2">
        <v>37</v>
      </c>
      <c r="BC90" s="8"/>
    </row>
    <row r="91" spans="1:55" ht="13.5" customHeight="1" x14ac:dyDescent="0.2">
      <c r="A91" s="7"/>
      <c r="B91" s="2"/>
      <c r="C91" s="3" t="s">
        <v>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>
        <v>1</v>
      </c>
      <c r="X91" s="2">
        <v>2</v>
      </c>
      <c r="Y91" s="2">
        <v>4</v>
      </c>
      <c r="Z91" s="2">
        <v>1</v>
      </c>
      <c r="AA91" s="2">
        <v>2</v>
      </c>
      <c r="AB91" s="2">
        <v>1</v>
      </c>
      <c r="AC91" s="3">
        <v>0</v>
      </c>
      <c r="AD91" s="2">
        <v>3</v>
      </c>
      <c r="AE91" s="2">
        <v>2</v>
      </c>
      <c r="AF91" s="2">
        <v>1</v>
      </c>
      <c r="AG91" s="2">
        <v>3</v>
      </c>
      <c r="AH91" s="2">
        <v>4</v>
      </c>
      <c r="AI91" s="2">
        <v>7</v>
      </c>
      <c r="AJ91" s="2">
        <v>7</v>
      </c>
      <c r="AK91" s="2">
        <v>4</v>
      </c>
      <c r="AL91" s="2">
        <v>4</v>
      </c>
      <c r="AM91" s="2">
        <v>5</v>
      </c>
      <c r="AN91" s="2">
        <v>2</v>
      </c>
      <c r="AO91" s="2">
        <v>2</v>
      </c>
      <c r="AP91" s="2">
        <v>8</v>
      </c>
      <c r="AQ91" s="2">
        <v>6</v>
      </c>
      <c r="AR91" s="2">
        <v>3</v>
      </c>
      <c r="AS91" s="2">
        <v>11</v>
      </c>
      <c r="AT91" s="2">
        <v>7</v>
      </c>
      <c r="AU91" s="2">
        <v>9</v>
      </c>
      <c r="AV91" s="2">
        <v>10</v>
      </c>
      <c r="AW91" s="2">
        <v>6</v>
      </c>
      <c r="AX91" s="2">
        <v>8</v>
      </c>
      <c r="AY91" s="2">
        <v>5</v>
      </c>
      <c r="AZ91" s="2">
        <v>6</v>
      </c>
      <c r="BA91" s="2">
        <v>5</v>
      </c>
      <c r="BB91" s="2">
        <v>11</v>
      </c>
      <c r="BC91" s="8"/>
    </row>
    <row r="92" spans="1:55" ht="13.5" customHeight="1" x14ac:dyDescent="0.2">
      <c r="A92" s="7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1">
        <f t="shared" ref="W92:AA92" si="97">SUM(W90:W91)</f>
        <v>18</v>
      </c>
      <c r="X92" s="11">
        <f t="shared" si="97"/>
        <v>28</v>
      </c>
      <c r="Y92" s="11">
        <f t="shared" si="97"/>
        <v>28</v>
      </c>
      <c r="Z92" s="11">
        <f t="shared" si="97"/>
        <v>23</v>
      </c>
      <c r="AA92" s="11">
        <f t="shared" si="97"/>
        <v>18</v>
      </c>
      <c r="AB92" s="11">
        <f t="shared" ref="AB92:AD92" si="98">SUM(AB90:AB91)</f>
        <v>22</v>
      </c>
      <c r="AC92" s="11">
        <f t="shared" si="98"/>
        <v>28</v>
      </c>
      <c r="AD92" s="11">
        <f t="shared" si="98"/>
        <v>41</v>
      </c>
      <c r="AE92" s="11">
        <f t="shared" ref="AE92:AG92" si="99">SUM(AE90:AE91)</f>
        <v>35</v>
      </c>
      <c r="AF92" s="11">
        <f t="shared" si="99"/>
        <v>29</v>
      </c>
      <c r="AG92" s="11">
        <f t="shared" si="99"/>
        <v>38</v>
      </c>
      <c r="AH92" s="11">
        <f t="shared" ref="AH92:AJ92" si="100">SUM(AH90:AH91)</f>
        <v>31</v>
      </c>
      <c r="AI92" s="11">
        <f t="shared" si="100"/>
        <v>56</v>
      </c>
      <c r="AJ92" s="11">
        <f t="shared" si="100"/>
        <v>34</v>
      </c>
      <c r="AK92" s="11">
        <f t="shared" ref="AK92:AV92" si="101">SUM(AK90:AK91)</f>
        <v>34</v>
      </c>
      <c r="AL92" s="11">
        <f t="shared" si="101"/>
        <v>38</v>
      </c>
      <c r="AM92" s="11">
        <f t="shared" si="101"/>
        <v>34</v>
      </c>
      <c r="AN92" s="11">
        <f t="shared" si="101"/>
        <v>33</v>
      </c>
      <c r="AO92" s="11">
        <f t="shared" si="101"/>
        <v>27</v>
      </c>
      <c r="AP92" s="11">
        <f t="shared" si="101"/>
        <v>49</v>
      </c>
      <c r="AQ92" s="11">
        <f t="shared" si="101"/>
        <v>39</v>
      </c>
      <c r="AR92" s="11">
        <f t="shared" si="101"/>
        <v>37</v>
      </c>
      <c r="AS92" s="11">
        <f t="shared" si="101"/>
        <v>53</v>
      </c>
      <c r="AT92" s="11">
        <f t="shared" si="101"/>
        <v>46</v>
      </c>
      <c r="AU92" s="11">
        <f t="shared" si="101"/>
        <v>55</v>
      </c>
      <c r="AV92" s="11">
        <f t="shared" si="101"/>
        <v>60</v>
      </c>
      <c r="AW92" s="11">
        <f t="shared" ref="AW92:BB92" si="102">SUM(AW90:AW91)</f>
        <v>61</v>
      </c>
      <c r="AX92" s="11">
        <f t="shared" si="102"/>
        <v>60</v>
      </c>
      <c r="AY92" s="11">
        <f t="shared" si="102"/>
        <v>52</v>
      </c>
      <c r="AZ92" s="11">
        <f t="shared" si="102"/>
        <v>59</v>
      </c>
      <c r="BA92" s="11">
        <f t="shared" si="102"/>
        <v>62</v>
      </c>
      <c r="BB92" s="11">
        <f t="shared" si="102"/>
        <v>48</v>
      </c>
      <c r="BC92" s="8"/>
    </row>
    <row r="93" spans="1:55" ht="13.5" customHeight="1" x14ac:dyDescent="0.2">
      <c r="A93" s="7"/>
      <c r="B93" s="10" t="s">
        <v>78</v>
      </c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8"/>
    </row>
    <row r="94" spans="1:55" ht="13.5" customHeight="1" x14ac:dyDescent="0.2">
      <c r="A94" s="7"/>
      <c r="B94" s="10"/>
      <c r="C94" s="3" t="s">
        <v>9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32"/>
      <c r="AW94" s="2">
        <v>0</v>
      </c>
      <c r="AX94" s="2">
        <v>0</v>
      </c>
      <c r="AY94" s="2">
        <v>2</v>
      </c>
      <c r="AZ94" s="2">
        <v>3</v>
      </c>
      <c r="BA94" s="2">
        <v>3</v>
      </c>
      <c r="BB94" s="2">
        <v>4</v>
      </c>
      <c r="BC94" s="8"/>
    </row>
    <row r="95" spans="1:55" ht="13.5" customHeight="1" x14ac:dyDescent="0.2">
      <c r="A95" s="7"/>
      <c r="B95" s="2"/>
      <c r="C95" s="3" t="s">
        <v>5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>
        <v>45</v>
      </c>
      <c r="X95" s="2">
        <v>40</v>
      </c>
      <c r="Y95" s="2">
        <v>54</v>
      </c>
      <c r="Z95" s="2">
        <v>42</v>
      </c>
      <c r="AA95" s="2">
        <v>28</v>
      </c>
      <c r="AB95" s="2">
        <v>59</v>
      </c>
      <c r="AC95" s="2">
        <v>48</v>
      </c>
      <c r="AD95" s="2">
        <v>46</v>
      </c>
      <c r="AE95" s="2">
        <v>49</v>
      </c>
      <c r="AF95" s="2">
        <v>56</v>
      </c>
      <c r="AG95" s="2">
        <v>33</v>
      </c>
      <c r="AH95" s="2">
        <v>39</v>
      </c>
      <c r="AI95" s="2">
        <v>47</v>
      </c>
      <c r="AJ95" s="2">
        <v>32</v>
      </c>
      <c r="AK95" s="2">
        <v>54</v>
      </c>
      <c r="AL95" s="2">
        <v>72</v>
      </c>
      <c r="AM95" s="2">
        <v>97</v>
      </c>
      <c r="AN95" s="2">
        <v>90</v>
      </c>
      <c r="AO95" s="2">
        <v>98</v>
      </c>
      <c r="AP95" s="2">
        <v>94</v>
      </c>
      <c r="AQ95" s="2">
        <v>97</v>
      </c>
      <c r="AR95" s="2">
        <v>113</v>
      </c>
      <c r="AS95" s="2">
        <v>111</v>
      </c>
      <c r="AT95" s="2">
        <v>100</v>
      </c>
      <c r="AU95" s="2">
        <v>107</v>
      </c>
      <c r="AV95" s="2">
        <v>167</v>
      </c>
      <c r="AW95" s="2">
        <v>89</v>
      </c>
      <c r="AX95" s="2">
        <v>111</v>
      </c>
      <c r="AY95" s="2">
        <v>115</v>
      </c>
      <c r="AZ95" s="2">
        <v>99</v>
      </c>
      <c r="BA95" s="2">
        <v>105</v>
      </c>
      <c r="BB95" s="2">
        <v>98</v>
      </c>
      <c r="BC95" s="8"/>
    </row>
    <row r="96" spans="1:55" ht="13.5" customHeight="1" x14ac:dyDescent="0.2">
      <c r="A96" s="7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11">
        <f t="shared" ref="W96" si="103">W95</f>
        <v>45</v>
      </c>
      <c r="X96" s="11">
        <f t="shared" ref="X96" si="104">X95</f>
        <v>40</v>
      </c>
      <c r="Y96" s="11">
        <f t="shared" ref="Y96" si="105">Y95</f>
        <v>54</v>
      </c>
      <c r="Z96" s="11">
        <f t="shared" ref="Z96" si="106">Z95</f>
        <v>42</v>
      </c>
      <c r="AA96" s="11">
        <f t="shared" ref="AA96" si="107">AA95</f>
        <v>28</v>
      </c>
      <c r="AB96" s="11">
        <f t="shared" ref="AB96" si="108">AB95</f>
        <v>59</v>
      </c>
      <c r="AC96" s="11">
        <f t="shared" ref="AC96" si="109">AC95</f>
        <v>48</v>
      </c>
      <c r="AD96" s="11">
        <f t="shared" ref="AD96" si="110">AD95</f>
        <v>46</v>
      </c>
      <c r="AE96" s="11">
        <f t="shared" ref="AE96" si="111">AE95</f>
        <v>49</v>
      </c>
      <c r="AF96" s="11">
        <f t="shared" ref="AF96" si="112">AF95</f>
        <v>56</v>
      </c>
      <c r="AG96" s="11">
        <f t="shared" ref="AG96" si="113">AG95</f>
        <v>33</v>
      </c>
      <c r="AH96" s="11">
        <f t="shared" ref="AH96" si="114">AH95</f>
        <v>39</v>
      </c>
      <c r="AI96" s="11">
        <f t="shared" ref="AI96" si="115">AI95</f>
        <v>47</v>
      </c>
      <c r="AJ96" s="11">
        <f t="shared" ref="AJ96" si="116">AJ95</f>
        <v>32</v>
      </c>
      <c r="AK96" s="11">
        <f t="shared" ref="AK96" si="117">AK95</f>
        <v>54</v>
      </c>
      <c r="AL96" s="11">
        <f t="shared" ref="AL96" si="118">AL95</f>
        <v>72</v>
      </c>
      <c r="AM96" s="11">
        <f t="shared" ref="AM96" si="119">AM95</f>
        <v>97</v>
      </c>
      <c r="AN96" s="11">
        <f t="shared" ref="AN96" si="120">AN95</f>
        <v>90</v>
      </c>
      <c r="AO96" s="11">
        <f t="shared" ref="AO96" si="121">AO95</f>
        <v>98</v>
      </c>
      <c r="AP96" s="11">
        <f t="shared" ref="AP96" si="122">AP95</f>
        <v>94</v>
      </c>
      <c r="AQ96" s="11">
        <f t="shared" ref="AQ96" si="123">AQ95</f>
        <v>97</v>
      </c>
      <c r="AR96" s="11">
        <f t="shared" ref="AR96" si="124">AR95</f>
        <v>113</v>
      </c>
      <c r="AS96" s="11">
        <f t="shared" ref="AS96" si="125">AS95</f>
        <v>111</v>
      </c>
      <c r="AT96" s="11">
        <f t="shared" ref="AT96:AU96" si="126">AT95</f>
        <v>100</v>
      </c>
      <c r="AU96" s="11">
        <f t="shared" si="126"/>
        <v>107</v>
      </c>
      <c r="AV96" s="11">
        <f>AV95</f>
        <v>167</v>
      </c>
      <c r="AW96" s="11">
        <f t="shared" ref="AW96:AX96" si="127">SUM(AW94:AW95)</f>
        <v>89</v>
      </c>
      <c r="AX96" s="11">
        <f t="shared" si="127"/>
        <v>111</v>
      </c>
      <c r="AY96" s="11">
        <f>SUM(AY94:AY95)</f>
        <v>117</v>
      </c>
      <c r="AZ96" s="11">
        <f>SUM(AZ94:AZ95)</f>
        <v>102</v>
      </c>
      <c r="BA96" s="11">
        <f>SUM(BA94:BA95)</f>
        <v>108</v>
      </c>
      <c r="BB96" s="11">
        <f>SUM(BB94:BB95)</f>
        <v>102</v>
      </c>
      <c r="BC96" s="8"/>
    </row>
    <row r="97" spans="1:55" ht="13.5" customHeight="1" x14ac:dyDescent="0.2">
      <c r="A97" s="7"/>
      <c r="B97" s="10" t="s">
        <v>77</v>
      </c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8"/>
    </row>
    <row r="98" spans="1:55" ht="13.5" customHeight="1" x14ac:dyDescent="0.2">
      <c r="A98" s="7"/>
      <c r="B98" s="10"/>
      <c r="C98" s="3" t="s">
        <v>10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>
        <v>7</v>
      </c>
      <c r="AZ98" s="2">
        <v>6</v>
      </c>
      <c r="BA98" s="2">
        <v>11</v>
      </c>
      <c r="BB98" s="2">
        <v>18</v>
      </c>
      <c r="BC98" s="8"/>
    </row>
    <row r="99" spans="1:55" ht="13.5" customHeight="1" x14ac:dyDescent="0.2">
      <c r="A99" s="7"/>
      <c r="B99" s="2"/>
      <c r="C99" s="3" t="s">
        <v>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>
        <f>56-W122</f>
        <v>44</v>
      </c>
      <c r="X99" s="2">
        <f>68-X122</f>
        <v>55</v>
      </c>
      <c r="Y99" s="2">
        <f>63-Y122</f>
        <v>44</v>
      </c>
      <c r="Z99" s="2">
        <f>71-Z122</f>
        <v>51</v>
      </c>
      <c r="AA99" s="2">
        <f>86-AA122</f>
        <v>72</v>
      </c>
      <c r="AB99" s="2">
        <f>90-AB122</f>
        <v>65</v>
      </c>
      <c r="AC99" s="2">
        <f>78-AC122</f>
        <v>64</v>
      </c>
      <c r="AD99" s="2">
        <f>107-AD122</f>
        <v>77</v>
      </c>
      <c r="AE99" s="2">
        <f>111-AE122</f>
        <v>81</v>
      </c>
      <c r="AF99" s="2">
        <f>102-AF122</f>
        <v>79</v>
      </c>
      <c r="AG99" s="2">
        <f>115-AG122</f>
        <v>85</v>
      </c>
      <c r="AH99" s="2">
        <f>116-AH122</f>
        <v>88</v>
      </c>
      <c r="AI99" s="2">
        <f>121-AI122</f>
        <v>96</v>
      </c>
      <c r="AJ99" s="2">
        <f>91-AJ122</f>
        <v>74</v>
      </c>
      <c r="AK99" s="2">
        <f>81-AK122</f>
        <v>58</v>
      </c>
      <c r="AL99" s="2">
        <f>87-AL122</f>
        <v>66</v>
      </c>
      <c r="AM99" s="2">
        <v>76</v>
      </c>
      <c r="AN99" s="2">
        <v>88</v>
      </c>
      <c r="AO99" s="2">
        <v>94</v>
      </c>
      <c r="AP99" s="2">
        <v>96</v>
      </c>
      <c r="AQ99" s="2">
        <v>82</v>
      </c>
      <c r="AR99" s="2">
        <v>82</v>
      </c>
      <c r="AS99" s="2">
        <v>68</v>
      </c>
      <c r="AT99" s="2">
        <v>90</v>
      </c>
      <c r="AU99" s="2">
        <v>79</v>
      </c>
      <c r="AV99" s="2">
        <v>116</v>
      </c>
      <c r="AW99" s="2">
        <v>92</v>
      </c>
      <c r="AX99" s="2">
        <v>96</v>
      </c>
      <c r="AY99" s="2">
        <v>73</v>
      </c>
      <c r="AZ99" s="2">
        <v>62</v>
      </c>
      <c r="BA99" s="2">
        <v>97</v>
      </c>
      <c r="BB99" s="2">
        <v>89</v>
      </c>
      <c r="BC99" s="8"/>
    </row>
    <row r="100" spans="1:55" ht="13.5" customHeight="1" x14ac:dyDescent="0.2">
      <c r="A100" s="7"/>
      <c r="B100" s="2"/>
      <c r="C100" s="3" t="s">
        <v>9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>
        <v>2</v>
      </c>
      <c r="AZ100" s="2">
        <v>6</v>
      </c>
      <c r="BA100" s="2">
        <v>2</v>
      </c>
      <c r="BB100" s="2">
        <v>2</v>
      </c>
      <c r="BC100" s="8"/>
    </row>
    <row r="101" spans="1:55" ht="13.5" customHeight="1" x14ac:dyDescent="0.2">
      <c r="A101" s="7"/>
      <c r="B101" s="2"/>
      <c r="C101" s="3" t="s">
        <v>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>
        <f>25-W123</f>
        <v>11</v>
      </c>
      <c r="X101" s="2">
        <f>18-X123</f>
        <v>7</v>
      </c>
      <c r="Y101" s="2">
        <f>15-Y123</f>
        <v>6</v>
      </c>
      <c r="Z101" s="2">
        <f>24-Z123</f>
        <v>9</v>
      </c>
      <c r="AA101" s="2">
        <f>22-AA123</f>
        <v>9</v>
      </c>
      <c r="AB101" s="2">
        <f>28-AB123</f>
        <v>19</v>
      </c>
      <c r="AC101" s="2">
        <f>24-AC123</f>
        <v>10</v>
      </c>
      <c r="AD101" s="2">
        <f>36-AD123</f>
        <v>24</v>
      </c>
      <c r="AE101" s="2">
        <f>20-AE123</f>
        <v>10</v>
      </c>
      <c r="AF101" s="2">
        <f>29-AF123</f>
        <v>17</v>
      </c>
      <c r="AG101" s="2">
        <f>23-AG123</f>
        <v>13</v>
      </c>
      <c r="AH101" s="2">
        <f>36-AH123</f>
        <v>24</v>
      </c>
      <c r="AI101" s="2">
        <f>26-AI123</f>
        <v>14</v>
      </c>
      <c r="AJ101" s="2">
        <f>20-AJ123</f>
        <v>9</v>
      </c>
      <c r="AK101" s="2">
        <f>29-AK123</f>
        <v>18</v>
      </c>
      <c r="AL101" s="2">
        <f>31-AL123</f>
        <v>18</v>
      </c>
      <c r="AM101" s="2">
        <v>15</v>
      </c>
      <c r="AN101" s="2">
        <v>11</v>
      </c>
      <c r="AO101" s="2">
        <v>25</v>
      </c>
      <c r="AP101" s="2">
        <v>20</v>
      </c>
      <c r="AQ101" s="2">
        <v>13</v>
      </c>
      <c r="AR101" s="2">
        <v>16</v>
      </c>
      <c r="AS101" s="2">
        <v>13</v>
      </c>
      <c r="AT101" s="2">
        <v>14</v>
      </c>
      <c r="AU101" s="2">
        <v>24</v>
      </c>
      <c r="AV101" s="2">
        <v>34</v>
      </c>
      <c r="AW101" s="2">
        <v>41</v>
      </c>
      <c r="AX101" s="2">
        <v>46</v>
      </c>
      <c r="AY101" s="2">
        <v>40</v>
      </c>
      <c r="AZ101" s="2">
        <v>32</v>
      </c>
      <c r="BA101" s="2">
        <v>30</v>
      </c>
      <c r="BB101" s="2">
        <v>22</v>
      </c>
      <c r="BC101" s="8"/>
    </row>
    <row r="102" spans="1:55" ht="13.5" customHeight="1" x14ac:dyDescent="0.2">
      <c r="A102" s="7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1">
        <f t="shared" ref="W102:AA102" si="128">SUM(W99:W101)</f>
        <v>55</v>
      </c>
      <c r="X102" s="11">
        <f t="shared" si="128"/>
        <v>62</v>
      </c>
      <c r="Y102" s="11">
        <f t="shared" si="128"/>
        <v>50</v>
      </c>
      <c r="Z102" s="11">
        <f t="shared" si="128"/>
        <v>60</v>
      </c>
      <c r="AA102" s="11">
        <f t="shared" si="128"/>
        <v>81</v>
      </c>
      <c r="AB102" s="11">
        <f>SUM(AB99:AB101)</f>
        <v>84</v>
      </c>
      <c r="AC102" s="11">
        <f t="shared" ref="AC102:AD102" si="129">SUM(AC99:AC101)</f>
        <v>74</v>
      </c>
      <c r="AD102" s="11">
        <f t="shared" si="129"/>
        <v>101</v>
      </c>
      <c r="AE102" s="11">
        <f t="shared" ref="AE102:AG102" si="130">SUM(AE99:AE101)</f>
        <v>91</v>
      </c>
      <c r="AF102" s="11">
        <f t="shared" si="130"/>
        <v>96</v>
      </c>
      <c r="AG102" s="11">
        <f t="shared" si="130"/>
        <v>98</v>
      </c>
      <c r="AH102" s="11">
        <f t="shared" ref="AH102:AJ102" si="131">SUM(AH99:AH101)</f>
        <v>112</v>
      </c>
      <c r="AI102" s="11">
        <f t="shared" si="131"/>
        <v>110</v>
      </c>
      <c r="AJ102" s="11">
        <f t="shared" si="131"/>
        <v>83</v>
      </c>
      <c r="AK102" s="11">
        <f t="shared" ref="AK102:AV102" si="132">SUM(AK99:AK101)</f>
        <v>76</v>
      </c>
      <c r="AL102" s="11">
        <f t="shared" si="132"/>
        <v>84</v>
      </c>
      <c r="AM102" s="11">
        <f t="shared" si="132"/>
        <v>91</v>
      </c>
      <c r="AN102" s="11">
        <f t="shared" si="132"/>
        <v>99</v>
      </c>
      <c r="AO102" s="11">
        <f t="shared" si="132"/>
        <v>119</v>
      </c>
      <c r="AP102" s="11">
        <f t="shared" si="132"/>
        <v>116</v>
      </c>
      <c r="AQ102" s="11">
        <f t="shared" si="132"/>
        <v>95</v>
      </c>
      <c r="AR102" s="11">
        <f t="shared" si="132"/>
        <v>98</v>
      </c>
      <c r="AS102" s="11">
        <f t="shared" si="132"/>
        <v>81</v>
      </c>
      <c r="AT102" s="11">
        <f t="shared" si="132"/>
        <v>104</v>
      </c>
      <c r="AU102" s="11">
        <f t="shared" si="132"/>
        <v>103</v>
      </c>
      <c r="AV102" s="11">
        <f t="shared" si="132"/>
        <v>150</v>
      </c>
      <c r="AW102" s="11">
        <f>SUM(AW99:AW101)</f>
        <v>133</v>
      </c>
      <c r="AX102" s="11">
        <f>SUM(AX99:AX101)</f>
        <v>142</v>
      </c>
      <c r="AY102" s="11">
        <f>SUM(AY98:AY101)</f>
        <v>122</v>
      </c>
      <c r="AZ102" s="11">
        <f>SUM(AZ98:AZ101)</f>
        <v>106</v>
      </c>
      <c r="BA102" s="11">
        <f>SUM(BA98:BA101)</f>
        <v>140</v>
      </c>
      <c r="BB102" s="11">
        <f>SUM(BB98:BB101)</f>
        <v>131</v>
      </c>
      <c r="BC102" s="8"/>
    </row>
    <row r="103" spans="1:55" ht="13.5" customHeight="1" x14ac:dyDescent="0.2">
      <c r="A103" s="7"/>
      <c r="B103" s="10" t="s">
        <v>76</v>
      </c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8"/>
    </row>
    <row r="104" spans="1:55" ht="13.5" customHeight="1" x14ac:dyDescent="0.2">
      <c r="A104" s="7"/>
      <c r="B104" s="2"/>
      <c r="C104" s="3" t="s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>
        <v>65</v>
      </c>
      <c r="X104" s="2">
        <v>80</v>
      </c>
      <c r="Y104" s="2">
        <v>45</v>
      </c>
      <c r="Z104" s="2">
        <v>47</v>
      </c>
      <c r="AA104" s="2">
        <v>61</v>
      </c>
      <c r="AB104" s="2">
        <v>40</v>
      </c>
      <c r="AC104" s="2">
        <v>46</v>
      </c>
      <c r="AD104" s="2">
        <v>56</v>
      </c>
      <c r="AE104" s="2">
        <v>45</v>
      </c>
      <c r="AF104" s="2">
        <v>45</v>
      </c>
      <c r="AG104" s="2">
        <v>51</v>
      </c>
      <c r="AH104" s="2">
        <v>55</v>
      </c>
      <c r="AI104" s="2">
        <v>59</v>
      </c>
      <c r="AJ104" s="2">
        <v>65</v>
      </c>
      <c r="AK104" s="2">
        <v>75</v>
      </c>
      <c r="AL104" s="2">
        <v>65</v>
      </c>
      <c r="AM104" s="2">
        <v>78</v>
      </c>
      <c r="AN104" s="2">
        <v>93</v>
      </c>
      <c r="AO104" s="2">
        <v>91</v>
      </c>
      <c r="AP104" s="2">
        <v>89</v>
      </c>
      <c r="AQ104" s="2">
        <v>90</v>
      </c>
      <c r="AR104" s="2">
        <v>82</v>
      </c>
      <c r="AS104" s="2">
        <v>100</v>
      </c>
      <c r="AT104" s="2">
        <v>98</v>
      </c>
      <c r="AU104" s="2">
        <v>91</v>
      </c>
      <c r="AV104" s="2">
        <v>104</v>
      </c>
      <c r="AW104" s="2">
        <v>99</v>
      </c>
      <c r="AX104" s="2">
        <v>80</v>
      </c>
      <c r="AY104" s="2">
        <v>96</v>
      </c>
      <c r="AZ104" s="2">
        <v>75</v>
      </c>
      <c r="BA104" s="2">
        <v>87</v>
      </c>
      <c r="BB104" s="2">
        <v>83</v>
      </c>
      <c r="BC104" s="8"/>
    </row>
    <row r="105" spans="1:55" ht="13.5" customHeight="1" x14ac:dyDescent="0.2">
      <c r="A105" s="7"/>
      <c r="B105" s="2"/>
      <c r="C105" s="3" t="s">
        <v>9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  <c r="AM105" s="2">
        <v>1</v>
      </c>
      <c r="AN105" s="2">
        <v>0</v>
      </c>
      <c r="AO105" s="2">
        <v>2</v>
      </c>
      <c r="AP105" s="2">
        <v>0</v>
      </c>
      <c r="AQ105" s="2">
        <v>0</v>
      </c>
      <c r="AR105" s="2">
        <v>2</v>
      </c>
      <c r="AS105" s="2">
        <v>2</v>
      </c>
      <c r="AT105" s="2">
        <v>1</v>
      </c>
      <c r="AU105" s="2">
        <v>5</v>
      </c>
      <c r="AV105" s="2">
        <v>5</v>
      </c>
      <c r="AW105" s="2">
        <v>7</v>
      </c>
      <c r="AX105" s="2">
        <v>6</v>
      </c>
      <c r="AY105" s="2">
        <v>7</v>
      </c>
      <c r="AZ105" s="2">
        <v>1</v>
      </c>
      <c r="BA105" s="2">
        <v>3</v>
      </c>
      <c r="BB105" s="2">
        <v>10</v>
      </c>
      <c r="BC105" s="8"/>
    </row>
    <row r="106" spans="1:55" ht="13.5" customHeight="1" x14ac:dyDescent="0.2">
      <c r="A106" s="7"/>
      <c r="B106" s="2"/>
      <c r="C106" s="3" t="s">
        <v>5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>
        <v>33</v>
      </c>
      <c r="X106" s="2">
        <v>55</v>
      </c>
      <c r="Y106" s="2">
        <v>59</v>
      </c>
      <c r="Z106" s="2">
        <v>53</v>
      </c>
      <c r="AA106" s="2">
        <v>49</v>
      </c>
      <c r="AB106" s="2">
        <v>43</v>
      </c>
      <c r="AC106" s="2">
        <v>57</v>
      </c>
      <c r="AD106" s="2">
        <v>55</v>
      </c>
      <c r="AE106" s="2">
        <v>40</v>
      </c>
      <c r="AF106" s="2">
        <v>64</v>
      </c>
      <c r="AG106" s="2">
        <v>78</v>
      </c>
      <c r="AH106" s="2">
        <v>66</v>
      </c>
      <c r="AI106" s="2">
        <v>71</v>
      </c>
      <c r="AJ106" s="2">
        <v>50</v>
      </c>
      <c r="AK106" s="2">
        <v>68</v>
      </c>
      <c r="AL106" s="2">
        <v>53</v>
      </c>
      <c r="AM106" s="2">
        <v>51</v>
      </c>
      <c r="AN106" s="2">
        <v>49</v>
      </c>
      <c r="AO106" s="2">
        <v>72</v>
      </c>
      <c r="AP106" s="2">
        <v>69</v>
      </c>
      <c r="AQ106" s="2">
        <v>69</v>
      </c>
      <c r="AR106" s="2">
        <v>83</v>
      </c>
      <c r="AS106" s="2">
        <v>72</v>
      </c>
      <c r="AT106" s="2">
        <v>86</v>
      </c>
      <c r="AU106" s="2">
        <v>65</v>
      </c>
      <c r="AV106" s="2">
        <v>75</v>
      </c>
      <c r="AW106" s="2">
        <f>7+7+1+3+9+1+25+5+1</f>
        <v>59</v>
      </c>
      <c r="AX106" s="2">
        <v>65</v>
      </c>
      <c r="AY106" s="2">
        <v>77</v>
      </c>
      <c r="AZ106" s="2">
        <v>92</v>
      </c>
      <c r="BA106" s="2">
        <v>44</v>
      </c>
      <c r="BB106" s="2">
        <v>75</v>
      </c>
      <c r="BC106" s="8"/>
    </row>
    <row r="107" spans="1:55" ht="13.5" customHeight="1" x14ac:dyDescent="0.2">
      <c r="A107" s="7"/>
      <c r="B107" s="2"/>
      <c r="C107" s="3" t="s">
        <v>7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>
        <v>8</v>
      </c>
      <c r="X107" s="2">
        <v>8</v>
      </c>
      <c r="Y107" s="2">
        <v>9</v>
      </c>
      <c r="Z107" s="2">
        <v>10</v>
      </c>
      <c r="AA107" s="2">
        <v>7</v>
      </c>
      <c r="AB107" s="2">
        <v>8</v>
      </c>
      <c r="AC107" s="2">
        <v>13</v>
      </c>
      <c r="AD107" s="2">
        <v>5</v>
      </c>
      <c r="AE107" s="2">
        <v>6</v>
      </c>
      <c r="AF107" s="2">
        <v>8</v>
      </c>
      <c r="AG107" s="2">
        <v>12</v>
      </c>
      <c r="AH107" s="2">
        <v>10</v>
      </c>
      <c r="AI107" s="2">
        <v>19</v>
      </c>
      <c r="AJ107" s="2">
        <v>18</v>
      </c>
      <c r="AK107" s="2">
        <v>20</v>
      </c>
      <c r="AL107" s="2">
        <v>9</v>
      </c>
      <c r="AM107" s="2">
        <v>12</v>
      </c>
      <c r="AN107" s="2">
        <v>17</v>
      </c>
      <c r="AO107" s="2">
        <v>9</v>
      </c>
      <c r="AP107" s="2">
        <v>9</v>
      </c>
      <c r="AQ107" s="2">
        <v>14</v>
      </c>
      <c r="AR107" s="2">
        <v>12</v>
      </c>
      <c r="AS107" s="2">
        <v>21</v>
      </c>
      <c r="AT107" s="2">
        <v>20</v>
      </c>
      <c r="AU107" s="2">
        <v>21</v>
      </c>
      <c r="AV107" s="2">
        <v>16</v>
      </c>
      <c r="AW107" s="2">
        <v>21</v>
      </c>
      <c r="AX107" s="2">
        <v>18</v>
      </c>
      <c r="AY107" s="2">
        <v>14</v>
      </c>
      <c r="AZ107" s="2">
        <v>26</v>
      </c>
      <c r="BA107" s="2">
        <v>20</v>
      </c>
      <c r="BB107" s="2">
        <v>20</v>
      </c>
      <c r="BC107" s="8"/>
    </row>
    <row r="108" spans="1:55" ht="13.5" customHeight="1" x14ac:dyDescent="0.2">
      <c r="A108" s="7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11">
        <f t="shared" ref="W108:AA108" si="133">SUM(W104:W107)</f>
        <v>106</v>
      </c>
      <c r="X108" s="11">
        <f t="shared" si="133"/>
        <v>143</v>
      </c>
      <c r="Y108" s="11">
        <f t="shared" si="133"/>
        <v>113</v>
      </c>
      <c r="Z108" s="11">
        <f t="shared" si="133"/>
        <v>110</v>
      </c>
      <c r="AA108" s="11">
        <f t="shared" si="133"/>
        <v>117</v>
      </c>
      <c r="AB108" s="11">
        <f t="shared" ref="AB108:AD108" si="134">SUM(AB104:AB107)</f>
        <v>91</v>
      </c>
      <c r="AC108" s="11">
        <f t="shared" si="134"/>
        <v>116</v>
      </c>
      <c r="AD108" s="11">
        <f t="shared" si="134"/>
        <v>116</v>
      </c>
      <c r="AE108" s="11">
        <f t="shared" ref="AE108:AG108" si="135">SUM(AE104:AE107)</f>
        <v>91</v>
      </c>
      <c r="AF108" s="11">
        <f t="shared" si="135"/>
        <v>117</v>
      </c>
      <c r="AG108" s="11">
        <f t="shared" si="135"/>
        <v>141</v>
      </c>
      <c r="AH108" s="11">
        <f t="shared" ref="AH108:AJ108" si="136">SUM(AH104:AH107)</f>
        <v>131</v>
      </c>
      <c r="AI108" s="11">
        <f t="shared" si="136"/>
        <v>149</v>
      </c>
      <c r="AJ108" s="11">
        <f t="shared" si="136"/>
        <v>133</v>
      </c>
      <c r="AK108" s="11">
        <f>SUM(AK104:AK107)</f>
        <v>163</v>
      </c>
      <c r="AL108" s="11">
        <f t="shared" ref="AL108:AV108" si="137">SUM(AL104:AL107)</f>
        <v>127</v>
      </c>
      <c r="AM108" s="11">
        <f t="shared" si="137"/>
        <v>142</v>
      </c>
      <c r="AN108" s="11">
        <f t="shared" si="137"/>
        <v>159</v>
      </c>
      <c r="AO108" s="11">
        <f t="shared" si="137"/>
        <v>174</v>
      </c>
      <c r="AP108" s="11">
        <f t="shared" si="137"/>
        <v>167</v>
      </c>
      <c r="AQ108" s="11">
        <f t="shared" si="137"/>
        <v>173</v>
      </c>
      <c r="AR108" s="11">
        <f t="shared" si="137"/>
        <v>179</v>
      </c>
      <c r="AS108" s="11">
        <f t="shared" si="137"/>
        <v>195</v>
      </c>
      <c r="AT108" s="11">
        <f t="shared" si="137"/>
        <v>205</v>
      </c>
      <c r="AU108" s="11">
        <f t="shared" si="137"/>
        <v>182</v>
      </c>
      <c r="AV108" s="11">
        <f t="shared" si="137"/>
        <v>200</v>
      </c>
      <c r="AW108" s="11">
        <f t="shared" ref="AW108:BB108" si="138">SUM(AW104:AW107)</f>
        <v>186</v>
      </c>
      <c r="AX108" s="11">
        <f t="shared" si="138"/>
        <v>169</v>
      </c>
      <c r="AY108" s="11">
        <f t="shared" si="138"/>
        <v>194</v>
      </c>
      <c r="AZ108" s="11">
        <f t="shared" si="138"/>
        <v>194</v>
      </c>
      <c r="BA108" s="11">
        <f t="shared" si="138"/>
        <v>154</v>
      </c>
      <c r="BB108" s="11">
        <f t="shared" si="138"/>
        <v>188</v>
      </c>
      <c r="BC108" s="8"/>
    </row>
    <row r="109" spans="1:55" ht="13.5" customHeight="1" x14ac:dyDescent="0.2">
      <c r="A109" s="7"/>
      <c r="B109" s="10" t="s">
        <v>75</v>
      </c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8"/>
    </row>
    <row r="110" spans="1:55" ht="13.5" customHeight="1" x14ac:dyDescent="0.2">
      <c r="A110" s="7"/>
      <c r="B110" s="2"/>
      <c r="C110" s="3" t="s">
        <v>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>
        <f>26+58</f>
        <v>84</v>
      </c>
      <c r="X110" s="2">
        <f>25+75</f>
        <v>100</v>
      </c>
      <c r="Y110" s="2">
        <f>20+91</f>
        <v>111</v>
      </c>
      <c r="Z110" s="2">
        <f>28+93</f>
        <v>121</v>
      </c>
      <c r="AA110" s="2">
        <f>28+69</f>
        <v>97</v>
      </c>
      <c r="AB110" s="2">
        <v>80</v>
      </c>
      <c r="AC110" s="2">
        <v>108</v>
      </c>
      <c r="AD110" s="2">
        <v>80</v>
      </c>
      <c r="AE110" s="2">
        <v>87</v>
      </c>
      <c r="AF110" s="2">
        <v>82</v>
      </c>
      <c r="AG110" s="2">
        <v>59</v>
      </c>
      <c r="AH110" s="2">
        <v>70</v>
      </c>
      <c r="AI110" s="2">
        <v>51</v>
      </c>
      <c r="AJ110" s="2">
        <v>48</v>
      </c>
      <c r="AK110" s="2">
        <v>51</v>
      </c>
      <c r="AL110" s="2">
        <v>48</v>
      </c>
      <c r="AM110" s="2">
        <v>44</v>
      </c>
      <c r="AN110" s="2">
        <v>49</v>
      </c>
      <c r="AO110" s="2">
        <v>91</v>
      </c>
      <c r="AP110" s="2">
        <v>110</v>
      </c>
      <c r="AQ110" s="2">
        <v>117</v>
      </c>
      <c r="AR110" s="2">
        <v>114</v>
      </c>
      <c r="AS110" s="2">
        <v>140</v>
      </c>
      <c r="AT110" s="2">
        <v>148</v>
      </c>
      <c r="AU110" s="2">
        <v>197</v>
      </c>
      <c r="AV110" s="2">
        <v>211</v>
      </c>
      <c r="AW110" s="2">
        <v>261</v>
      </c>
      <c r="AX110" s="2">
        <v>273</v>
      </c>
      <c r="AY110" s="2">
        <v>294</v>
      </c>
      <c r="AZ110" s="2">
        <v>300</v>
      </c>
      <c r="BA110" s="2">
        <v>261</v>
      </c>
      <c r="BB110" s="2">
        <v>271</v>
      </c>
      <c r="BC110" s="8"/>
    </row>
    <row r="111" spans="1:55" ht="13.5" customHeight="1" x14ac:dyDescent="0.2">
      <c r="A111" s="7"/>
      <c r="B111" s="2"/>
      <c r="C111" s="3" t="s">
        <v>9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>
        <v>14</v>
      </c>
      <c r="X111" s="3">
        <v>18</v>
      </c>
      <c r="Y111" s="3">
        <v>20</v>
      </c>
      <c r="Z111" s="3">
        <v>21</v>
      </c>
      <c r="AA111" s="3">
        <v>20</v>
      </c>
      <c r="AB111" s="3">
        <v>16</v>
      </c>
      <c r="AC111" s="3">
        <v>18</v>
      </c>
      <c r="AD111" s="3">
        <v>26</v>
      </c>
      <c r="AE111" s="3">
        <v>25</v>
      </c>
      <c r="AF111" s="3">
        <v>21</v>
      </c>
      <c r="AG111" s="3">
        <v>5</v>
      </c>
      <c r="AH111" s="2">
        <v>21</v>
      </c>
      <c r="AI111" s="2">
        <v>23</v>
      </c>
      <c r="AJ111" s="2">
        <v>18</v>
      </c>
      <c r="AK111" s="2">
        <v>19</v>
      </c>
      <c r="AL111" s="2">
        <v>8</v>
      </c>
      <c r="AM111" s="2">
        <v>21</v>
      </c>
      <c r="AN111" s="2">
        <v>9</v>
      </c>
      <c r="AO111" s="2">
        <v>17</v>
      </c>
      <c r="AP111" s="2">
        <v>23</v>
      </c>
      <c r="AQ111" s="2">
        <v>19</v>
      </c>
      <c r="AR111" s="2">
        <v>22</v>
      </c>
      <c r="AS111" s="2">
        <v>17</v>
      </c>
      <c r="AT111" s="2">
        <v>17</v>
      </c>
      <c r="AU111" s="2">
        <v>17</v>
      </c>
      <c r="AV111" s="2">
        <v>17</v>
      </c>
      <c r="AW111" s="2">
        <v>17</v>
      </c>
      <c r="AX111" s="2">
        <v>17</v>
      </c>
      <c r="AY111" s="2">
        <v>17</v>
      </c>
      <c r="AZ111" s="2">
        <v>18</v>
      </c>
      <c r="BA111" s="2">
        <v>17</v>
      </c>
      <c r="BB111" s="2">
        <v>14</v>
      </c>
      <c r="BC111" s="8"/>
    </row>
    <row r="112" spans="1:55" ht="13.5" customHeight="1" x14ac:dyDescent="0.2">
      <c r="A112" s="7"/>
      <c r="B112" s="2"/>
      <c r="C112" s="3" t="s">
        <v>5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>
        <f>4+11</f>
        <v>15</v>
      </c>
      <c r="X112" s="2">
        <f>1+32</f>
        <v>33</v>
      </c>
      <c r="Y112" s="2">
        <f>4+14</f>
        <v>18</v>
      </c>
      <c r="Z112" s="2">
        <f>5+24</f>
        <v>29</v>
      </c>
      <c r="AA112" s="2">
        <f>7+25</f>
        <v>32</v>
      </c>
      <c r="AB112" s="2">
        <v>50</v>
      </c>
      <c r="AC112" s="2">
        <v>59</v>
      </c>
      <c r="AD112" s="2">
        <v>52</v>
      </c>
      <c r="AE112" s="2">
        <f>37-AE111</f>
        <v>12</v>
      </c>
      <c r="AF112" s="2">
        <f>69-AF111</f>
        <v>48</v>
      </c>
      <c r="AG112" s="2">
        <f>94-AG111</f>
        <v>89</v>
      </c>
      <c r="AH112" s="2">
        <f>110-AH111</f>
        <v>89</v>
      </c>
      <c r="AI112" s="2">
        <f>96-AI111</f>
        <v>73</v>
      </c>
      <c r="AJ112" s="2">
        <v>78</v>
      </c>
      <c r="AK112" s="2">
        <v>60</v>
      </c>
      <c r="AL112" s="2">
        <v>77</v>
      </c>
      <c r="AM112" s="2">
        <v>81</v>
      </c>
      <c r="AN112" s="2">
        <v>67</v>
      </c>
      <c r="AO112" s="2">
        <v>61</v>
      </c>
      <c r="AP112" s="2">
        <v>72</v>
      </c>
      <c r="AQ112" s="2">
        <v>65</v>
      </c>
      <c r="AR112" s="2">
        <v>80</v>
      </c>
      <c r="AS112" s="2">
        <v>67</v>
      </c>
      <c r="AT112" s="2">
        <v>86</v>
      </c>
      <c r="AU112" s="2">
        <v>91</v>
      </c>
      <c r="AV112" s="2">
        <v>122</v>
      </c>
      <c r="AW112" s="2">
        <v>125</v>
      </c>
      <c r="AX112" s="2">
        <v>147</v>
      </c>
      <c r="AY112" s="2">
        <v>136</v>
      </c>
      <c r="AZ112" s="2">
        <v>56</v>
      </c>
      <c r="BA112" s="2">
        <v>66</v>
      </c>
      <c r="BB112" s="2">
        <v>91</v>
      </c>
      <c r="BC112" s="8"/>
    </row>
    <row r="113" spans="1:55" ht="13.5" customHeight="1" x14ac:dyDescent="0.2">
      <c r="A113" s="7"/>
      <c r="B113" s="2"/>
      <c r="C113" s="3" t="s">
        <v>7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1</v>
      </c>
      <c r="X113" s="2">
        <v>3</v>
      </c>
      <c r="Y113" s="2">
        <v>4</v>
      </c>
      <c r="Z113" s="2">
        <v>3</v>
      </c>
      <c r="AA113" s="2">
        <v>5</v>
      </c>
      <c r="AB113" s="2">
        <v>8</v>
      </c>
      <c r="AC113" s="3">
        <v>7</v>
      </c>
      <c r="AD113" s="2">
        <v>3</v>
      </c>
      <c r="AE113" s="2">
        <v>2</v>
      </c>
      <c r="AF113" s="2">
        <v>1</v>
      </c>
      <c r="AG113" s="2">
        <v>0</v>
      </c>
      <c r="AH113" s="2">
        <v>2</v>
      </c>
      <c r="AI113" s="2">
        <v>4</v>
      </c>
      <c r="AJ113" s="2">
        <v>1</v>
      </c>
      <c r="AK113" s="2">
        <v>1</v>
      </c>
      <c r="AL113" s="2">
        <v>3</v>
      </c>
      <c r="AM113" s="2">
        <v>2</v>
      </c>
      <c r="AN113" s="2">
        <v>1</v>
      </c>
      <c r="AO113" s="2">
        <v>3</v>
      </c>
      <c r="AP113" s="2">
        <v>1</v>
      </c>
      <c r="AQ113" s="2">
        <v>5</v>
      </c>
      <c r="AR113" s="2">
        <v>3</v>
      </c>
      <c r="AS113" s="2">
        <v>10</v>
      </c>
      <c r="AT113" s="2">
        <v>22</v>
      </c>
      <c r="AU113" s="2">
        <v>19</v>
      </c>
      <c r="AV113" s="2">
        <v>25</v>
      </c>
      <c r="AW113" s="2">
        <v>15</v>
      </c>
      <c r="AX113" s="2">
        <v>14</v>
      </c>
      <c r="AY113" s="2">
        <v>23</v>
      </c>
      <c r="AZ113" s="2">
        <v>28</v>
      </c>
      <c r="BA113" s="2">
        <v>40</v>
      </c>
      <c r="BB113" s="2">
        <v>39</v>
      </c>
      <c r="BC113" s="8"/>
    </row>
    <row r="114" spans="1:55" ht="13.5" customHeight="1" x14ac:dyDescent="0.2">
      <c r="A114" s="7"/>
      <c r="B114" s="2"/>
      <c r="C114" s="3" t="s">
        <v>32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>
        <v>200</v>
      </c>
      <c r="X114" s="3">
        <v>196</v>
      </c>
      <c r="Y114" s="3">
        <v>190</v>
      </c>
      <c r="Z114" s="3">
        <v>184</v>
      </c>
      <c r="AA114" s="3">
        <v>187</v>
      </c>
      <c r="AB114" s="3">
        <v>175</v>
      </c>
      <c r="AC114" s="2">
        <v>163</v>
      </c>
      <c r="AD114" s="2">
        <v>169</v>
      </c>
      <c r="AE114" s="2">
        <v>173</v>
      </c>
      <c r="AF114" s="2">
        <v>176</v>
      </c>
      <c r="AG114" s="2">
        <v>172</v>
      </c>
      <c r="AH114" s="2">
        <v>169</v>
      </c>
      <c r="AI114" s="2">
        <v>198</v>
      </c>
      <c r="AJ114" s="2">
        <v>217</v>
      </c>
      <c r="AK114" s="2">
        <v>198</v>
      </c>
      <c r="AL114" s="2">
        <v>243</v>
      </c>
      <c r="AM114" s="2">
        <v>232</v>
      </c>
      <c r="AN114" s="2">
        <v>231</v>
      </c>
      <c r="AO114" s="2">
        <v>224</v>
      </c>
      <c r="AP114" s="2">
        <v>259</v>
      </c>
      <c r="AQ114" s="2">
        <v>262</v>
      </c>
      <c r="AR114" s="2">
        <v>258</v>
      </c>
      <c r="AS114" s="2">
        <v>259</v>
      </c>
      <c r="AT114" s="2">
        <v>299</v>
      </c>
      <c r="AU114" s="2">
        <v>312</v>
      </c>
      <c r="AV114" s="2">
        <v>294</v>
      </c>
      <c r="AW114" s="2">
        <v>316</v>
      </c>
      <c r="AX114" s="2">
        <v>318</v>
      </c>
      <c r="AY114" s="2">
        <v>348</v>
      </c>
      <c r="AZ114" s="2">
        <v>321</v>
      </c>
      <c r="BA114" s="2">
        <v>332</v>
      </c>
      <c r="BB114" s="2">
        <v>360</v>
      </c>
      <c r="BC114" s="8"/>
    </row>
    <row r="115" spans="1:55" ht="13.5" customHeight="1" x14ac:dyDescent="0.2">
      <c r="A115" s="7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11">
        <f t="shared" ref="W115:AA115" si="139">SUM(W110:W114)</f>
        <v>314</v>
      </c>
      <c r="X115" s="11">
        <f t="shared" si="139"/>
        <v>350</v>
      </c>
      <c r="Y115" s="11">
        <f t="shared" si="139"/>
        <v>343</v>
      </c>
      <c r="Z115" s="11">
        <f t="shared" si="139"/>
        <v>358</v>
      </c>
      <c r="AA115" s="11">
        <f t="shared" si="139"/>
        <v>341</v>
      </c>
      <c r="AB115" s="11">
        <f t="shared" ref="AB115:AD115" si="140">SUM(AB110:AB114)</f>
        <v>329</v>
      </c>
      <c r="AC115" s="11">
        <f t="shared" si="140"/>
        <v>355</v>
      </c>
      <c r="AD115" s="11">
        <f t="shared" si="140"/>
        <v>330</v>
      </c>
      <c r="AE115" s="11">
        <f t="shared" ref="AE115:AG115" si="141">SUM(AE110:AE114)</f>
        <v>299</v>
      </c>
      <c r="AF115" s="11">
        <f t="shared" si="141"/>
        <v>328</v>
      </c>
      <c r="AG115" s="11">
        <f t="shared" si="141"/>
        <v>325</v>
      </c>
      <c r="AH115" s="11">
        <f t="shared" ref="AH115:AJ115" si="142">SUM(AH110:AH114)</f>
        <v>351</v>
      </c>
      <c r="AI115" s="11">
        <f t="shared" si="142"/>
        <v>349</v>
      </c>
      <c r="AJ115" s="11">
        <f t="shared" si="142"/>
        <v>362</v>
      </c>
      <c r="AK115" s="11">
        <f t="shared" ref="AK115:AV115" si="143">SUM(AK110:AK114)</f>
        <v>329</v>
      </c>
      <c r="AL115" s="11">
        <f t="shared" si="143"/>
        <v>379</v>
      </c>
      <c r="AM115" s="11">
        <f t="shared" si="143"/>
        <v>380</v>
      </c>
      <c r="AN115" s="11">
        <f t="shared" si="143"/>
        <v>357</v>
      </c>
      <c r="AO115" s="11">
        <f t="shared" si="143"/>
        <v>396</v>
      </c>
      <c r="AP115" s="11">
        <f t="shared" si="143"/>
        <v>465</v>
      </c>
      <c r="AQ115" s="11">
        <f t="shared" si="143"/>
        <v>468</v>
      </c>
      <c r="AR115" s="11">
        <f t="shared" si="143"/>
        <v>477</v>
      </c>
      <c r="AS115" s="11">
        <f t="shared" si="143"/>
        <v>493</v>
      </c>
      <c r="AT115" s="11">
        <f t="shared" si="143"/>
        <v>572</v>
      </c>
      <c r="AU115" s="11">
        <f t="shared" si="143"/>
        <v>636</v>
      </c>
      <c r="AV115" s="11">
        <f t="shared" si="143"/>
        <v>669</v>
      </c>
      <c r="AW115" s="11">
        <f t="shared" ref="AW115:BB115" si="144">SUM(AW110:AW114)</f>
        <v>734</v>
      </c>
      <c r="AX115" s="11">
        <f t="shared" si="144"/>
        <v>769</v>
      </c>
      <c r="AY115" s="11">
        <f t="shared" si="144"/>
        <v>818</v>
      </c>
      <c r="AZ115" s="11">
        <f t="shared" si="144"/>
        <v>723</v>
      </c>
      <c r="BA115" s="11">
        <f t="shared" si="144"/>
        <v>716</v>
      </c>
      <c r="BB115" s="11">
        <f t="shared" si="144"/>
        <v>775</v>
      </c>
      <c r="BC115" s="8"/>
    </row>
    <row r="116" spans="1:55" ht="13.5" customHeight="1" x14ac:dyDescent="0.2">
      <c r="A116" s="7"/>
      <c r="B116" s="10" t="s">
        <v>74</v>
      </c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8"/>
    </row>
    <row r="117" spans="1:55" ht="13.5" customHeight="1" x14ac:dyDescent="0.2">
      <c r="A117" s="7"/>
      <c r="B117" s="2"/>
      <c r="C117" s="3" t="s">
        <v>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>
        <v>291</v>
      </c>
      <c r="X117" s="2">
        <v>307</v>
      </c>
      <c r="Y117" s="2">
        <v>400</v>
      </c>
      <c r="Z117" s="2">
        <v>326</v>
      </c>
      <c r="AA117" s="2">
        <v>267</v>
      </c>
      <c r="AB117" s="2">
        <v>208</v>
      </c>
      <c r="AC117" s="2">
        <v>180</v>
      </c>
      <c r="AD117" s="2">
        <v>156</v>
      </c>
      <c r="AE117" s="2">
        <v>137</v>
      </c>
      <c r="AF117" s="2">
        <v>125</v>
      </c>
      <c r="AG117" s="2">
        <v>141</v>
      </c>
      <c r="AH117" s="2">
        <v>123</v>
      </c>
      <c r="AI117" s="2">
        <v>146</v>
      </c>
      <c r="AJ117" s="2">
        <v>140</v>
      </c>
      <c r="AK117" s="2">
        <v>148</v>
      </c>
      <c r="AL117" s="2">
        <v>162</v>
      </c>
      <c r="AM117" s="2">
        <v>123</v>
      </c>
      <c r="AN117" s="2">
        <v>147</v>
      </c>
      <c r="AO117" s="2">
        <v>180</v>
      </c>
      <c r="AP117" s="2">
        <v>189</v>
      </c>
      <c r="AQ117" s="2">
        <v>194</v>
      </c>
      <c r="AR117" s="2">
        <v>178</v>
      </c>
      <c r="AS117" s="2">
        <v>195</v>
      </c>
      <c r="AT117" s="2">
        <v>192</v>
      </c>
      <c r="AU117" s="2">
        <v>207</v>
      </c>
      <c r="AV117" s="2">
        <v>228</v>
      </c>
      <c r="AW117" s="2">
        <v>231</v>
      </c>
      <c r="AX117" s="2">
        <v>276</v>
      </c>
      <c r="AY117" s="2">
        <v>315</v>
      </c>
      <c r="AZ117" s="2">
        <v>307</v>
      </c>
      <c r="BA117" s="2">
        <v>303</v>
      </c>
      <c r="BB117" s="2">
        <v>321</v>
      </c>
      <c r="BC117" s="8"/>
    </row>
    <row r="118" spans="1:55" ht="13.5" customHeight="1" x14ac:dyDescent="0.2">
      <c r="A118" s="7"/>
      <c r="B118" s="2"/>
      <c r="C118" s="3" t="s">
        <v>5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>
        <v>129</v>
      </c>
      <c r="X118" s="2">
        <v>173</v>
      </c>
      <c r="Y118" s="2">
        <v>172</v>
      </c>
      <c r="Z118" s="2">
        <v>178</v>
      </c>
      <c r="AA118" s="2">
        <v>205</v>
      </c>
      <c r="AB118" s="2">
        <v>180</v>
      </c>
      <c r="AC118" s="2">
        <v>184</v>
      </c>
      <c r="AD118" s="2">
        <v>186</v>
      </c>
      <c r="AE118" s="2">
        <v>171</v>
      </c>
      <c r="AF118" s="2">
        <v>190</v>
      </c>
      <c r="AG118" s="2">
        <v>195</v>
      </c>
      <c r="AH118" s="2">
        <v>198</v>
      </c>
      <c r="AI118" s="2">
        <v>206</v>
      </c>
      <c r="AJ118" s="2">
        <v>174</v>
      </c>
      <c r="AK118" s="2">
        <v>209</v>
      </c>
      <c r="AL118" s="2">
        <v>177</v>
      </c>
      <c r="AM118" s="2">
        <v>189</v>
      </c>
      <c r="AN118" s="2">
        <v>197</v>
      </c>
      <c r="AO118" s="2">
        <v>169</v>
      </c>
      <c r="AP118" s="2">
        <v>153</v>
      </c>
      <c r="AQ118" s="2">
        <v>177</v>
      </c>
      <c r="AR118" s="2">
        <v>189</v>
      </c>
      <c r="AS118" s="2">
        <v>201</v>
      </c>
      <c r="AT118" s="2">
        <v>210</v>
      </c>
      <c r="AU118" s="2">
        <v>223</v>
      </c>
      <c r="AV118" s="2">
        <v>209</v>
      </c>
      <c r="AW118" s="2">
        <v>220</v>
      </c>
      <c r="AX118" s="2">
        <v>252</v>
      </c>
      <c r="AY118" s="2">
        <v>239</v>
      </c>
      <c r="AZ118" s="2">
        <v>208</v>
      </c>
      <c r="BA118" s="2">
        <v>194</v>
      </c>
      <c r="BB118" s="2">
        <v>175</v>
      </c>
      <c r="BC118" s="8"/>
    </row>
    <row r="119" spans="1:55" ht="13.5" customHeight="1" x14ac:dyDescent="0.2">
      <c r="A119" s="7"/>
      <c r="B119" s="2"/>
      <c r="C119" s="3" t="s">
        <v>7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3"/>
      <c r="AV119" s="2">
        <v>0</v>
      </c>
      <c r="AW119" s="2">
        <v>1</v>
      </c>
      <c r="AX119" s="2">
        <v>1</v>
      </c>
      <c r="AY119" s="2">
        <v>0</v>
      </c>
      <c r="AZ119" s="2">
        <v>2</v>
      </c>
      <c r="BA119" s="2">
        <v>2</v>
      </c>
      <c r="BB119" s="2">
        <v>1</v>
      </c>
      <c r="BC119" s="8"/>
    </row>
    <row r="120" spans="1:55" ht="13.5" customHeight="1" x14ac:dyDescent="0.2">
      <c r="A120" s="7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11">
        <f>SUM(W117:W118)</f>
        <v>420</v>
      </c>
      <c r="X120" s="11">
        <f t="shared" ref="X120:AA120" si="145">SUM(X117:X118)</f>
        <v>480</v>
      </c>
      <c r="Y120" s="11">
        <f t="shared" si="145"/>
        <v>572</v>
      </c>
      <c r="Z120" s="11">
        <f t="shared" si="145"/>
        <v>504</v>
      </c>
      <c r="AA120" s="11">
        <f t="shared" si="145"/>
        <v>472</v>
      </c>
      <c r="AB120" s="11">
        <f t="shared" ref="AB120:AD120" si="146">SUM(AB117:AB118)</f>
        <v>388</v>
      </c>
      <c r="AC120" s="11">
        <f t="shared" si="146"/>
        <v>364</v>
      </c>
      <c r="AD120" s="11">
        <f t="shared" si="146"/>
        <v>342</v>
      </c>
      <c r="AE120" s="11">
        <f t="shared" ref="AE120:AG120" si="147">SUM(AE117:AE118)</f>
        <v>308</v>
      </c>
      <c r="AF120" s="11">
        <f t="shared" si="147"/>
        <v>315</v>
      </c>
      <c r="AG120" s="11">
        <f t="shared" si="147"/>
        <v>336</v>
      </c>
      <c r="AH120" s="11">
        <f t="shared" ref="AH120:AT120" si="148">SUM(AH117:AH118)</f>
        <v>321</v>
      </c>
      <c r="AI120" s="11">
        <f t="shared" si="148"/>
        <v>352</v>
      </c>
      <c r="AJ120" s="11">
        <f t="shared" si="148"/>
        <v>314</v>
      </c>
      <c r="AK120" s="11">
        <f t="shared" si="148"/>
        <v>357</v>
      </c>
      <c r="AL120" s="11">
        <f t="shared" si="148"/>
        <v>339</v>
      </c>
      <c r="AM120" s="11">
        <f t="shared" si="148"/>
        <v>312</v>
      </c>
      <c r="AN120" s="11">
        <f t="shared" si="148"/>
        <v>344</v>
      </c>
      <c r="AO120" s="11">
        <f t="shared" si="148"/>
        <v>349</v>
      </c>
      <c r="AP120" s="11">
        <f t="shared" si="148"/>
        <v>342</v>
      </c>
      <c r="AQ120" s="11">
        <f t="shared" si="148"/>
        <v>371</v>
      </c>
      <c r="AR120" s="11">
        <f t="shared" si="148"/>
        <v>367</v>
      </c>
      <c r="AS120" s="11">
        <f t="shared" si="148"/>
        <v>396</v>
      </c>
      <c r="AT120" s="11">
        <f t="shared" si="148"/>
        <v>402</v>
      </c>
      <c r="AU120" s="11">
        <f>SUM(AU117:AU118)</f>
        <v>430</v>
      </c>
      <c r="AV120" s="11">
        <f t="shared" ref="AV120:BA120" si="149">SUM(AV117:AV119)</f>
        <v>437</v>
      </c>
      <c r="AW120" s="11">
        <f t="shared" si="149"/>
        <v>452</v>
      </c>
      <c r="AX120" s="11">
        <f t="shared" si="149"/>
        <v>529</v>
      </c>
      <c r="AY120" s="11">
        <f t="shared" si="149"/>
        <v>554</v>
      </c>
      <c r="AZ120" s="11">
        <f t="shared" si="149"/>
        <v>517</v>
      </c>
      <c r="BA120" s="11">
        <f t="shared" si="149"/>
        <v>499</v>
      </c>
      <c r="BB120" s="11">
        <f t="shared" ref="BB120" si="150">SUM(BB117:BB119)</f>
        <v>497</v>
      </c>
      <c r="BC120" s="8"/>
    </row>
    <row r="121" spans="1:55" ht="13.5" customHeight="1" x14ac:dyDescent="0.2">
      <c r="A121" s="7"/>
      <c r="B121" s="10" t="s">
        <v>73</v>
      </c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8"/>
    </row>
    <row r="122" spans="1:55" ht="13.5" customHeight="1" x14ac:dyDescent="0.2">
      <c r="A122" s="7"/>
      <c r="B122" s="2"/>
      <c r="C122" s="2" t="s">
        <v>0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>
        <v>12</v>
      </c>
      <c r="X122" s="2">
        <v>13</v>
      </c>
      <c r="Y122" s="2">
        <v>19</v>
      </c>
      <c r="Z122" s="2">
        <v>20</v>
      </c>
      <c r="AA122" s="2">
        <v>14</v>
      </c>
      <c r="AB122" s="2">
        <v>25</v>
      </c>
      <c r="AC122" s="2">
        <v>14</v>
      </c>
      <c r="AD122" s="2">
        <v>30</v>
      </c>
      <c r="AE122" s="2">
        <v>30</v>
      </c>
      <c r="AF122" s="2">
        <v>23</v>
      </c>
      <c r="AG122" s="2">
        <v>30</v>
      </c>
      <c r="AH122" s="2">
        <v>28</v>
      </c>
      <c r="AI122" s="2">
        <v>25</v>
      </c>
      <c r="AJ122" s="2">
        <v>17</v>
      </c>
      <c r="AK122" s="2">
        <v>23</v>
      </c>
      <c r="AL122" s="2">
        <v>21</v>
      </c>
      <c r="AM122" s="2">
        <v>20</v>
      </c>
      <c r="AN122" s="2">
        <v>21</v>
      </c>
      <c r="AO122" s="2">
        <v>24</v>
      </c>
      <c r="AP122" s="2">
        <v>31</v>
      </c>
      <c r="AQ122" s="2">
        <v>49</v>
      </c>
      <c r="AR122" s="2">
        <v>22</v>
      </c>
      <c r="AS122" s="2">
        <v>26</v>
      </c>
      <c r="AT122" s="2">
        <v>28</v>
      </c>
      <c r="AU122" s="2">
        <v>33</v>
      </c>
      <c r="AV122" s="2">
        <v>21</v>
      </c>
      <c r="AW122" s="2">
        <v>25</v>
      </c>
      <c r="AX122" s="2">
        <v>26</v>
      </c>
      <c r="AY122" s="2">
        <v>21</v>
      </c>
      <c r="AZ122" s="2">
        <v>25</v>
      </c>
      <c r="BA122" s="2">
        <v>26</v>
      </c>
      <c r="BB122" s="2">
        <v>22</v>
      </c>
      <c r="BC122" s="8"/>
    </row>
    <row r="123" spans="1:55" ht="13.5" customHeight="1" x14ac:dyDescent="0.2">
      <c r="A123" s="7"/>
      <c r="B123" s="2"/>
      <c r="C123" s="2" t="s">
        <v>5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>
        <v>14</v>
      </c>
      <c r="X123" s="2">
        <v>11</v>
      </c>
      <c r="Y123" s="2">
        <v>9</v>
      </c>
      <c r="Z123" s="2">
        <v>15</v>
      </c>
      <c r="AA123" s="2">
        <v>13</v>
      </c>
      <c r="AB123" s="2">
        <v>9</v>
      </c>
      <c r="AC123" s="2">
        <v>14</v>
      </c>
      <c r="AD123" s="2">
        <v>12</v>
      </c>
      <c r="AE123" s="2">
        <v>10</v>
      </c>
      <c r="AF123" s="2">
        <v>12</v>
      </c>
      <c r="AG123" s="2">
        <v>10</v>
      </c>
      <c r="AH123" s="2">
        <v>12</v>
      </c>
      <c r="AI123" s="2">
        <v>12</v>
      </c>
      <c r="AJ123" s="2">
        <v>11</v>
      </c>
      <c r="AK123" s="2">
        <v>11</v>
      </c>
      <c r="AL123" s="2">
        <v>13</v>
      </c>
      <c r="AM123" s="2">
        <v>6</v>
      </c>
      <c r="AN123" s="2">
        <v>9</v>
      </c>
      <c r="AO123" s="2">
        <v>7</v>
      </c>
      <c r="AP123" s="2">
        <v>7</v>
      </c>
      <c r="AQ123" s="2">
        <v>4</v>
      </c>
      <c r="AR123" s="2">
        <v>9</v>
      </c>
      <c r="AS123" s="2">
        <v>8</v>
      </c>
      <c r="AT123" s="2">
        <v>4</v>
      </c>
      <c r="AU123" s="2">
        <v>1</v>
      </c>
      <c r="AV123" s="2">
        <v>4</v>
      </c>
      <c r="AW123" s="2">
        <v>12</v>
      </c>
      <c r="AX123" s="2">
        <v>10</v>
      </c>
      <c r="AY123" s="2">
        <v>11</v>
      </c>
      <c r="AZ123" s="2">
        <v>8</v>
      </c>
      <c r="BA123" s="2">
        <v>6</v>
      </c>
      <c r="BB123" s="2">
        <v>7</v>
      </c>
      <c r="BC123" s="8"/>
    </row>
    <row r="124" spans="1:55" ht="13.5" customHeight="1" x14ac:dyDescent="0.2">
      <c r="A124" s="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11">
        <f t="shared" ref="W124:AA124" si="151">SUM(W122:W123)</f>
        <v>26</v>
      </c>
      <c r="X124" s="11">
        <f t="shared" si="151"/>
        <v>24</v>
      </c>
      <c r="Y124" s="11">
        <f t="shared" si="151"/>
        <v>28</v>
      </c>
      <c r="Z124" s="11">
        <f t="shared" si="151"/>
        <v>35</v>
      </c>
      <c r="AA124" s="11">
        <f t="shared" si="151"/>
        <v>27</v>
      </c>
      <c r="AB124" s="11">
        <f t="shared" ref="AB124:AD124" si="152">SUM(AB122:AB123)</f>
        <v>34</v>
      </c>
      <c r="AC124" s="11">
        <f t="shared" si="152"/>
        <v>28</v>
      </c>
      <c r="AD124" s="11">
        <f t="shared" si="152"/>
        <v>42</v>
      </c>
      <c r="AE124" s="11">
        <f t="shared" ref="AE124:AG124" si="153">SUM(AE122:AE123)</f>
        <v>40</v>
      </c>
      <c r="AF124" s="11">
        <f t="shared" si="153"/>
        <v>35</v>
      </c>
      <c r="AG124" s="11">
        <f t="shared" si="153"/>
        <v>40</v>
      </c>
      <c r="AH124" s="11">
        <f t="shared" ref="AH124:AJ124" si="154">SUM(AH122:AH123)</f>
        <v>40</v>
      </c>
      <c r="AI124" s="11">
        <f t="shared" si="154"/>
        <v>37</v>
      </c>
      <c r="AJ124" s="11">
        <f t="shared" si="154"/>
        <v>28</v>
      </c>
      <c r="AK124" s="11">
        <f t="shared" ref="AK124:AV124" si="155">SUM(AK122:AK123)</f>
        <v>34</v>
      </c>
      <c r="AL124" s="11">
        <f t="shared" si="155"/>
        <v>34</v>
      </c>
      <c r="AM124" s="11">
        <f t="shared" si="155"/>
        <v>26</v>
      </c>
      <c r="AN124" s="11">
        <f t="shared" si="155"/>
        <v>30</v>
      </c>
      <c r="AO124" s="11">
        <f t="shared" si="155"/>
        <v>31</v>
      </c>
      <c r="AP124" s="11">
        <f t="shared" si="155"/>
        <v>38</v>
      </c>
      <c r="AQ124" s="11">
        <f t="shared" si="155"/>
        <v>53</v>
      </c>
      <c r="AR124" s="11">
        <f t="shared" si="155"/>
        <v>31</v>
      </c>
      <c r="AS124" s="11">
        <f t="shared" si="155"/>
        <v>34</v>
      </c>
      <c r="AT124" s="11">
        <f t="shared" si="155"/>
        <v>32</v>
      </c>
      <c r="AU124" s="11">
        <f t="shared" si="155"/>
        <v>34</v>
      </c>
      <c r="AV124" s="11">
        <f t="shared" si="155"/>
        <v>25</v>
      </c>
      <c r="AW124" s="11">
        <f t="shared" ref="AW124:BB124" si="156">SUM(AW122:AW123)</f>
        <v>37</v>
      </c>
      <c r="AX124" s="11">
        <f t="shared" si="156"/>
        <v>36</v>
      </c>
      <c r="AY124" s="11">
        <f t="shared" si="156"/>
        <v>32</v>
      </c>
      <c r="AZ124" s="11">
        <f t="shared" si="156"/>
        <v>33</v>
      </c>
      <c r="BA124" s="11">
        <f t="shared" si="156"/>
        <v>32</v>
      </c>
      <c r="BB124" s="11">
        <f t="shared" si="156"/>
        <v>29</v>
      </c>
      <c r="BC124" s="8"/>
    </row>
    <row r="125" spans="1:55" ht="13.5" customHeight="1" x14ac:dyDescent="0.2">
      <c r="A125" s="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8"/>
    </row>
    <row r="126" spans="1:55" ht="13.5" customHeight="1" x14ac:dyDescent="0.2">
      <c r="A126" s="7"/>
      <c r="B126" s="17" t="s">
        <v>29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8"/>
    </row>
    <row r="127" spans="1:55" ht="13.5" customHeight="1" x14ac:dyDescent="0.2">
      <c r="A127" s="7"/>
      <c r="B127" s="10" t="s">
        <v>72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8"/>
    </row>
    <row r="128" spans="1:55" ht="13.5" customHeight="1" x14ac:dyDescent="0.2">
      <c r="A128" s="7"/>
      <c r="B128" s="10"/>
      <c r="C128" s="3" t="s">
        <v>10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>
        <f>AY98</f>
        <v>7</v>
      </c>
      <c r="AZ128" s="2">
        <f>AZ98</f>
        <v>6</v>
      </c>
      <c r="BA128" s="2">
        <f>BA69+BA98</f>
        <v>11</v>
      </c>
      <c r="BB128" s="2">
        <f>BB69+BB98</f>
        <v>24</v>
      </c>
      <c r="BC128" s="8"/>
    </row>
    <row r="129" spans="1:55" ht="13.5" customHeight="1" x14ac:dyDescent="0.2">
      <c r="A129" s="7"/>
      <c r="B129" s="2"/>
      <c r="C129" s="2" t="s">
        <v>0</v>
      </c>
      <c r="D129" s="2">
        <v>617</v>
      </c>
      <c r="E129" s="2">
        <v>728</v>
      </c>
      <c r="F129" s="2">
        <v>872</v>
      </c>
      <c r="G129" s="2">
        <v>927</v>
      </c>
      <c r="H129" s="2">
        <v>1074</v>
      </c>
      <c r="I129" s="2">
        <v>1064</v>
      </c>
      <c r="J129" s="2">
        <v>1098</v>
      </c>
      <c r="K129" s="2">
        <v>1171</v>
      </c>
      <c r="L129" s="2">
        <v>1156</v>
      </c>
      <c r="M129" s="2">
        <v>1103</v>
      </c>
      <c r="N129" s="2">
        <v>1003</v>
      </c>
      <c r="O129" s="2">
        <v>976</v>
      </c>
      <c r="P129" s="2">
        <v>881</v>
      </c>
      <c r="Q129" s="2">
        <v>853</v>
      </c>
      <c r="R129" s="2">
        <v>951</v>
      </c>
      <c r="S129" s="2">
        <v>923</v>
      </c>
      <c r="T129" s="2">
        <v>927</v>
      </c>
      <c r="U129" s="2">
        <v>872</v>
      </c>
      <c r="V129" s="2">
        <v>988</v>
      </c>
      <c r="W129" s="2">
        <f t="shared" ref="W129:AJ129" si="157">W17+W21+W25+W29+W41+W50+W55+W59+W64+W70+W75+W79+W84+W90+W99+W104+W110+W117+W122</f>
        <v>1033</v>
      </c>
      <c r="X129" s="2">
        <f t="shared" si="157"/>
        <v>1101</v>
      </c>
      <c r="Y129" s="2">
        <f t="shared" si="157"/>
        <v>1169</v>
      </c>
      <c r="Z129" s="2">
        <f t="shared" si="157"/>
        <v>1155</v>
      </c>
      <c r="AA129" s="2">
        <f t="shared" si="157"/>
        <v>1104</v>
      </c>
      <c r="AB129" s="2">
        <f t="shared" si="157"/>
        <v>1091</v>
      </c>
      <c r="AC129" s="2">
        <f t="shared" si="157"/>
        <v>1191</v>
      </c>
      <c r="AD129" s="2">
        <f t="shared" si="157"/>
        <v>1007</v>
      </c>
      <c r="AE129" s="2">
        <f t="shared" si="157"/>
        <v>1033</v>
      </c>
      <c r="AF129" s="2">
        <f t="shared" si="157"/>
        <v>973</v>
      </c>
      <c r="AG129" s="2">
        <f t="shared" si="157"/>
        <v>1024</v>
      </c>
      <c r="AH129" s="2">
        <f t="shared" si="157"/>
        <v>1001</v>
      </c>
      <c r="AI129" s="2">
        <f t="shared" si="157"/>
        <v>1138</v>
      </c>
      <c r="AJ129" s="2">
        <f t="shared" si="157"/>
        <v>1047</v>
      </c>
      <c r="AK129" s="2">
        <f>AK11+AK17+AK21+AK25+AK29+AK41+AK50+AK55+AK59+AK64+AK70+AK75+AK79+AK84+AK90+AK99+AK104+AK110+AK117+AK122</f>
        <v>1081</v>
      </c>
      <c r="AL129" s="2">
        <f t="shared" ref="AL129:AS129" si="158">AL11+AL15+AL17+AL21+AL25+AL29+AL36+AL41+AL50+AL55+AL59+AL64+AL70+AL75+AL79+AL84+AL90+AL99+AL104+AL110+AL117+AL122</f>
        <v>1221</v>
      </c>
      <c r="AM129" s="2">
        <f t="shared" si="158"/>
        <v>1135</v>
      </c>
      <c r="AN129" s="2">
        <f t="shared" si="158"/>
        <v>1316</v>
      </c>
      <c r="AO129" s="2">
        <f t="shared" si="158"/>
        <v>1393</v>
      </c>
      <c r="AP129" s="2">
        <f t="shared" si="158"/>
        <v>1425</v>
      </c>
      <c r="AQ129" s="2">
        <f t="shared" si="158"/>
        <v>1428</v>
      </c>
      <c r="AR129" s="2">
        <f t="shared" si="158"/>
        <v>1289</v>
      </c>
      <c r="AS129" s="2">
        <f t="shared" si="158"/>
        <v>1496</v>
      </c>
      <c r="AT129" s="2">
        <f t="shared" ref="AT129:AW129" si="159">AT11+AT15+AT17+AT21+AT25+AT29+AT36+AT41+AT45+AT50+AT55+AT59+AT64+AT70+AT75+AT79+AT84+AT90+AT99+AT104+AT110+AT117+AT122</f>
        <v>1633</v>
      </c>
      <c r="AU129" s="2">
        <f t="shared" si="159"/>
        <v>1523</v>
      </c>
      <c r="AV129" s="2">
        <f t="shared" si="159"/>
        <v>1749</v>
      </c>
      <c r="AW129" s="2">
        <f t="shared" si="159"/>
        <v>1759</v>
      </c>
      <c r="AX129" s="2">
        <f>AX11+AX15+AX21+AX25+AX29+AX36+AX41+AX45+AX50+AX55+AX59+AX64+AX70+AX75+AX79+AX84+AX90+AX99+AX104+AX110+AX117+AX122</f>
        <v>1803</v>
      </c>
      <c r="AY129" s="2">
        <f>AY11+AY15+AY21+AY25+AY29+AY36+AY41+AY45+AY50+AY55+AY59+AY64+AY70+AY75+AY79+AY84+AY90+AY99+AY104+AY110+AY117+AY122</f>
        <v>1812</v>
      </c>
      <c r="AZ129" s="2">
        <f>AZ11+AZ15+AZ21+AZ25+AZ29+AZ36+AZ41+AZ45+AZ50+AZ55+AZ59+AZ64+AZ70+AZ75+AZ79+AZ84+AZ90+AZ99+AZ104+AZ110+AZ117+AZ122</f>
        <v>1741</v>
      </c>
      <c r="BA129" s="2">
        <f>BA11+BA15+BA21+BA25+BA29+BA36+BA41+BA45+BA50+BA55+BA59+BA64+BA75+BA79+BA84+BA90+BA99+BA104+BA110+BA117+BA122</f>
        <v>1824</v>
      </c>
      <c r="BB129" s="2">
        <f>BB11+BB15+BB21+BB25+BB29+BB36+BB41+BB50+BB55+BB59+BB64+BB75+BB79+BB84+BB90+BB99+BB104+BB110+BB117+BB122</f>
        <v>1753</v>
      </c>
      <c r="BC129" s="8"/>
    </row>
    <row r="130" spans="1:55" ht="13.5" customHeight="1" x14ac:dyDescent="0.2">
      <c r="A130" s="7"/>
      <c r="B130" s="2"/>
      <c r="C130" s="2" t="s">
        <v>9</v>
      </c>
      <c r="D130" s="3"/>
      <c r="E130" s="3"/>
      <c r="F130" s="3"/>
      <c r="G130" s="3"/>
      <c r="H130" s="3"/>
      <c r="I130" s="3"/>
      <c r="J130" s="3">
        <v>21</v>
      </c>
      <c r="K130" s="3">
        <v>19</v>
      </c>
      <c r="L130" s="3">
        <v>29</v>
      </c>
      <c r="M130" s="3">
        <v>22</v>
      </c>
      <c r="N130" s="3">
        <v>29</v>
      </c>
      <c r="O130" s="3">
        <v>27</v>
      </c>
      <c r="P130" s="3">
        <v>29</v>
      </c>
      <c r="Q130" s="3">
        <v>15</v>
      </c>
      <c r="R130" s="3">
        <v>23</v>
      </c>
      <c r="S130" s="3">
        <v>16</v>
      </c>
      <c r="T130" s="3">
        <v>18</v>
      </c>
      <c r="U130" s="3">
        <v>17</v>
      </c>
      <c r="V130" s="3">
        <v>14</v>
      </c>
      <c r="W130" s="3">
        <f t="shared" ref="W130:AA130" si="160">W111</f>
        <v>14</v>
      </c>
      <c r="X130" s="3">
        <f t="shared" si="160"/>
        <v>18</v>
      </c>
      <c r="Y130" s="3">
        <f t="shared" si="160"/>
        <v>20</v>
      </c>
      <c r="Z130" s="3">
        <f t="shared" si="160"/>
        <v>21</v>
      </c>
      <c r="AA130" s="3">
        <f t="shared" si="160"/>
        <v>20</v>
      </c>
      <c r="AB130" s="3">
        <f t="shared" ref="AB130:AD130" si="161">AB111</f>
        <v>16</v>
      </c>
      <c r="AC130" s="3">
        <f t="shared" si="161"/>
        <v>18</v>
      </c>
      <c r="AD130" s="3">
        <f t="shared" si="161"/>
        <v>26</v>
      </c>
      <c r="AE130" s="3">
        <f>AE111</f>
        <v>25</v>
      </c>
      <c r="AF130" s="3">
        <f t="shared" ref="AF130:AG130" si="162">AF111</f>
        <v>21</v>
      </c>
      <c r="AG130" s="3">
        <f t="shared" si="162"/>
        <v>5</v>
      </c>
      <c r="AH130" s="2">
        <f>AH111</f>
        <v>21</v>
      </c>
      <c r="AI130" s="2">
        <f>AI111</f>
        <v>23</v>
      </c>
      <c r="AJ130" s="2">
        <f>AJ111</f>
        <v>18</v>
      </c>
      <c r="AK130" s="2">
        <f>AK111</f>
        <v>19</v>
      </c>
      <c r="AL130" s="2">
        <f>AL111</f>
        <v>8</v>
      </c>
      <c r="AM130" s="2">
        <f>AM12+AM105+AM111</f>
        <v>22</v>
      </c>
      <c r="AN130" s="2">
        <f>AN12+AN105+AN111</f>
        <v>9</v>
      </c>
      <c r="AO130" s="2">
        <f>AO12+AO105+AO111</f>
        <v>19</v>
      </c>
      <c r="AP130" s="2">
        <f>AP12+AP71+AP105+AP111</f>
        <v>23</v>
      </c>
      <c r="AQ130" s="2">
        <f>AQ12+AQ71+AQ105+AQ111</f>
        <v>19</v>
      </c>
      <c r="AR130" s="2">
        <f>AR12+AR71+AR105+AR111</f>
        <v>24</v>
      </c>
      <c r="AS130" s="2">
        <f>AS12+AS60+AS71+AS105+AS111</f>
        <v>20</v>
      </c>
      <c r="AT130" s="2">
        <f>AT12+AT60+AT71+AT105+AT111</f>
        <v>18</v>
      </c>
      <c r="AU130" s="2">
        <f>AU12+AU30+AU60+AU71+AU105+AU111</f>
        <v>24</v>
      </c>
      <c r="AV130" s="2">
        <f>AV12+AV30+AV60+AV71+AV76+AV85+AV105+AV111</f>
        <v>29</v>
      </c>
      <c r="AW130" s="2">
        <f>AW12+AW30+AW37+AW51+AW60+AW71+AW76+AW85+AW94+AW105+AW111</f>
        <v>33</v>
      </c>
      <c r="AX130" s="2">
        <f>AX12+AX18+AX30+AX37+AX51+AX60+AX71+AX76+AX85+AX94+AX105+AX111</f>
        <v>33</v>
      </c>
      <c r="AY130" s="2">
        <f>AY12+AY18+AY30+AY37+AY51+AY60+AY71+AY76+AY85+AY94+AY100+AY105+AY111</f>
        <v>50</v>
      </c>
      <c r="AZ130" s="2">
        <f>AZ12+AZ18+AZ30+AZ37+AZ51+AZ60+AZ71+AZ76+AZ85+AZ94+AZ100+AZ105+AZ111</f>
        <v>71</v>
      </c>
      <c r="BA130" s="2">
        <f>BA12+BA18+BA30+BA37+BA51+BA60+BA71+BA76+BA85+BA94+BA100+BA105+BA111</f>
        <v>48</v>
      </c>
      <c r="BB130" s="2">
        <f>BB12+BB18+BB30+BB37+BB51+BB60+BB71+BB76+BB85+BB94+BB100+BB105+BB111</f>
        <v>54</v>
      </c>
      <c r="BC130" s="8"/>
    </row>
    <row r="131" spans="1:55" ht="13.5" customHeight="1" x14ac:dyDescent="0.2">
      <c r="A131" s="7"/>
      <c r="B131" s="2"/>
      <c r="C131" s="2" t="s">
        <v>5</v>
      </c>
      <c r="D131" s="3">
        <v>356</v>
      </c>
      <c r="E131" s="3">
        <v>460</v>
      </c>
      <c r="F131" s="3">
        <v>529</v>
      </c>
      <c r="G131" s="3">
        <v>627</v>
      </c>
      <c r="H131" s="3">
        <v>642</v>
      </c>
      <c r="I131" s="3">
        <v>630</v>
      </c>
      <c r="J131" s="3">
        <v>582</v>
      </c>
      <c r="K131" s="3">
        <v>653</v>
      </c>
      <c r="L131" s="3">
        <v>620</v>
      </c>
      <c r="M131" s="3">
        <v>675</v>
      </c>
      <c r="N131" s="3">
        <v>589</v>
      </c>
      <c r="O131" s="3">
        <v>588</v>
      </c>
      <c r="P131" s="3">
        <v>516</v>
      </c>
      <c r="Q131" s="3">
        <v>554</v>
      </c>
      <c r="R131" s="3">
        <v>590</v>
      </c>
      <c r="S131" s="3">
        <v>555</v>
      </c>
      <c r="T131" s="3">
        <v>518</v>
      </c>
      <c r="U131" s="3">
        <v>511</v>
      </c>
      <c r="V131" s="3">
        <v>555</v>
      </c>
      <c r="W131" s="3">
        <f>W22+W26+W31+W42+W46+W52+W61+W65+W80+W86+W91+W95+W101+W106+W112+W118+W123</f>
        <v>503</v>
      </c>
      <c r="X131" s="3">
        <f>X22+X26+X31+X42+X46+X52+X61+X65+X80+X86+X91+X95+X101+X106+X112+X118+X123</f>
        <v>617</v>
      </c>
      <c r="Y131" s="3">
        <f>Y22+Y26+Y31+Y42+Y46+Y52+Y61+Y65+Y80+Y86+Y91+Y95+Y101+Y106+Y112+Y118+Y123</f>
        <v>596</v>
      </c>
      <c r="Z131" s="3">
        <f t="shared" ref="Z131:AI131" si="163">Z22+Z26+Z31+Z42+Z46+Z52+Z61+Z65+Z80+Z86+Z91+Z95+Z101+Z106+Z112+Z118+Z123</f>
        <v>658</v>
      </c>
      <c r="AA131" s="3">
        <f t="shared" si="163"/>
        <v>648</v>
      </c>
      <c r="AB131" s="3">
        <f t="shared" si="163"/>
        <v>666</v>
      </c>
      <c r="AC131" s="3">
        <f t="shared" si="163"/>
        <v>673</v>
      </c>
      <c r="AD131" s="3">
        <f t="shared" si="163"/>
        <v>698</v>
      </c>
      <c r="AE131" s="3">
        <f t="shared" si="163"/>
        <v>595</v>
      </c>
      <c r="AF131" s="2">
        <f t="shared" si="163"/>
        <v>714</v>
      </c>
      <c r="AG131" s="2">
        <f t="shared" si="163"/>
        <v>728</v>
      </c>
      <c r="AH131" s="2">
        <f t="shared" si="163"/>
        <v>738</v>
      </c>
      <c r="AI131" s="2">
        <f t="shared" si="163"/>
        <v>719</v>
      </c>
      <c r="AJ131" s="2">
        <f>AJ22+AJ26+AJ31+AJ42+AJ46+AJ52+AJ56+AJ61+AJ65+AJ80+AJ86+AJ91+AJ95+AJ101+AJ106+AJ112+AJ118+AJ123</f>
        <v>674</v>
      </c>
      <c r="AK131" s="2">
        <f>AK22+AK26+AK31+AK42+AK46+AK52+AK56+AK61+AK65+AK80+AK86+AK91+AK95+AK101+AK106+AK112+AK118+AK123</f>
        <v>712</v>
      </c>
      <c r="AL131" s="2">
        <f t="shared" ref="AL131:AW131" si="164">AL22+AL26+AL31+AL38+AL42+AL46+AL52+AL56+AL61+AL65+AL80+AL86+AL91+AL95+AL101+AL106+AL112+AL118+AL123</f>
        <v>741</v>
      </c>
      <c r="AM131" s="2">
        <f t="shared" si="164"/>
        <v>877</v>
      </c>
      <c r="AN131" s="2">
        <f t="shared" si="164"/>
        <v>795</v>
      </c>
      <c r="AO131" s="2">
        <f t="shared" si="164"/>
        <v>794</v>
      </c>
      <c r="AP131" s="2">
        <f t="shared" si="164"/>
        <v>791</v>
      </c>
      <c r="AQ131" s="2">
        <f t="shared" si="164"/>
        <v>769</v>
      </c>
      <c r="AR131" s="2">
        <f t="shared" si="164"/>
        <v>852</v>
      </c>
      <c r="AS131" s="2">
        <f t="shared" si="164"/>
        <v>917</v>
      </c>
      <c r="AT131" s="2">
        <f t="shared" si="164"/>
        <v>911</v>
      </c>
      <c r="AU131" s="2">
        <f t="shared" si="164"/>
        <v>972</v>
      </c>
      <c r="AV131" s="2">
        <f t="shared" si="164"/>
        <v>999</v>
      </c>
      <c r="AW131" s="2">
        <f t="shared" si="164"/>
        <v>954</v>
      </c>
      <c r="AX131" s="2">
        <f t="shared" ref="AX131:AY131" si="165">AX22+AX26+AX31+AX38+AX42+AX46+AX52+AX56+AX61+AX65+AX80+AX86+AX91+AX95+AX101+AX106+AX112+AX118+AX123</f>
        <v>1028</v>
      </c>
      <c r="AY131" s="2">
        <f t="shared" si="165"/>
        <v>1197</v>
      </c>
      <c r="AZ131" s="2">
        <f t="shared" ref="AZ131:BA131" si="166">AZ22+AZ26+AZ31+AZ38+AZ42+AZ46+AZ52+AZ56+AZ61+AZ65+AZ80+AZ86+AZ91+AZ95+AZ101+AZ106+AZ112+AZ118+AZ123</f>
        <v>1213</v>
      </c>
      <c r="BA131" s="2">
        <f t="shared" si="166"/>
        <v>1082</v>
      </c>
      <c r="BB131" s="2">
        <f t="shared" ref="BB131" si="167">BB22+BB26+BB31+BB38+BB42+BB46+BB52+BB56+BB61+BB65+BB80+BB86+BB91+BB95+BB101+BB106+BB112+BB118+BB123</f>
        <v>962</v>
      </c>
      <c r="BC131" s="8"/>
    </row>
    <row r="132" spans="1:55" ht="13.5" customHeight="1" x14ac:dyDescent="0.2">
      <c r="A132" s="7"/>
      <c r="B132" s="2"/>
      <c r="C132" s="2" t="s">
        <v>11</v>
      </c>
      <c r="D132" s="2"/>
      <c r="E132" s="2"/>
      <c r="F132" s="2"/>
      <c r="G132" s="2"/>
      <c r="H132" s="2"/>
      <c r="I132" s="3"/>
      <c r="J132" s="2">
        <v>22</v>
      </c>
      <c r="K132" s="2">
        <v>24</v>
      </c>
      <c r="L132" s="2">
        <v>25</v>
      </c>
      <c r="M132" s="2">
        <v>34</v>
      </c>
      <c r="N132" s="2">
        <v>38</v>
      </c>
      <c r="O132" s="2">
        <v>30</v>
      </c>
      <c r="P132" s="2">
        <v>30</v>
      </c>
      <c r="Q132" s="2">
        <v>43</v>
      </c>
      <c r="R132" s="2">
        <v>26</v>
      </c>
      <c r="S132" s="2">
        <v>35</v>
      </c>
      <c r="T132" s="2">
        <v>26</v>
      </c>
      <c r="U132" s="2">
        <v>29</v>
      </c>
      <c r="V132" s="2">
        <v>49</v>
      </c>
      <c r="W132" s="2">
        <f t="shared" ref="W132:AA132" si="168">W32</f>
        <v>58</v>
      </c>
      <c r="X132" s="2">
        <f t="shared" si="168"/>
        <v>47</v>
      </c>
      <c r="Y132" s="2">
        <f t="shared" si="168"/>
        <v>45</v>
      </c>
      <c r="Z132" s="2">
        <f t="shared" si="168"/>
        <v>63</v>
      </c>
      <c r="AA132" s="2">
        <f t="shared" si="168"/>
        <v>61</v>
      </c>
      <c r="AB132" s="2">
        <f t="shared" ref="AB132:AD132" si="169">AB32</f>
        <v>62</v>
      </c>
      <c r="AC132" s="2">
        <f t="shared" si="169"/>
        <v>57</v>
      </c>
      <c r="AD132" s="2">
        <f t="shared" si="169"/>
        <v>50</v>
      </c>
      <c r="AE132" s="2">
        <f t="shared" ref="AE132:AG132" si="170">AE32</f>
        <v>44</v>
      </c>
      <c r="AF132" s="2">
        <f t="shared" si="170"/>
        <v>54</v>
      </c>
      <c r="AG132" s="2">
        <f t="shared" si="170"/>
        <v>36</v>
      </c>
      <c r="AH132" s="2">
        <f t="shared" ref="AH132:AW132" si="171">AH32</f>
        <v>47</v>
      </c>
      <c r="AI132" s="2">
        <f t="shared" si="171"/>
        <v>36</v>
      </c>
      <c r="AJ132" s="2">
        <f t="shared" si="171"/>
        <v>36</v>
      </c>
      <c r="AK132" s="2">
        <f t="shared" si="171"/>
        <v>52</v>
      </c>
      <c r="AL132" s="2">
        <f t="shared" si="171"/>
        <v>43</v>
      </c>
      <c r="AM132" s="2">
        <f t="shared" si="171"/>
        <v>53</v>
      </c>
      <c r="AN132" s="2">
        <f t="shared" si="171"/>
        <v>59</v>
      </c>
      <c r="AO132" s="2">
        <f t="shared" si="171"/>
        <v>41</v>
      </c>
      <c r="AP132" s="2">
        <f t="shared" si="171"/>
        <v>41</v>
      </c>
      <c r="AQ132" s="2">
        <f t="shared" si="171"/>
        <v>39</v>
      </c>
      <c r="AR132" s="2">
        <f t="shared" si="171"/>
        <v>40</v>
      </c>
      <c r="AS132" s="2">
        <f t="shared" si="171"/>
        <v>49</v>
      </c>
      <c r="AT132" s="2">
        <f t="shared" si="171"/>
        <v>33</v>
      </c>
      <c r="AU132" s="2">
        <f t="shared" si="171"/>
        <v>25</v>
      </c>
      <c r="AV132" s="2">
        <f t="shared" si="171"/>
        <v>35</v>
      </c>
      <c r="AW132" s="2">
        <f t="shared" si="171"/>
        <v>24</v>
      </c>
      <c r="AX132" s="2">
        <f t="shared" ref="AX132:AY132" si="172">AX32</f>
        <v>35</v>
      </c>
      <c r="AY132" s="2">
        <f t="shared" si="172"/>
        <v>26</v>
      </c>
      <c r="AZ132" s="2">
        <f t="shared" ref="AZ132:BA132" si="173">AZ32</f>
        <v>32</v>
      </c>
      <c r="BA132" s="2">
        <f t="shared" si="173"/>
        <v>20</v>
      </c>
      <c r="BB132" s="2">
        <f t="shared" ref="BB132" si="174">BB32</f>
        <v>18</v>
      </c>
      <c r="BC132" s="8"/>
    </row>
    <row r="133" spans="1:55" ht="13.5" customHeight="1" x14ac:dyDescent="0.2">
      <c r="A133" s="7"/>
      <c r="B133" s="2"/>
      <c r="C133" s="2" t="s">
        <v>7</v>
      </c>
      <c r="D133" s="2">
        <v>16</v>
      </c>
      <c r="E133" s="2">
        <v>13</v>
      </c>
      <c r="F133" s="2">
        <v>25</v>
      </c>
      <c r="G133" s="2">
        <v>22</v>
      </c>
      <c r="H133" s="2">
        <v>18</v>
      </c>
      <c r="I133" s="2">
        <v>32</v>
      </c>
      <c r="J133" s="2">
        <v>37</v>
      </c>
      <c r="K133" s="2">
        <v>32</v>
      </c>
      <c r="L133" s="2">
        <v>34</v>
      </c>
      <c r="M133" s="2">
        <v>42</v>
      </c>
      <c r="N133" s="2">
        <v>23</v>
      </c>
      <c r="O133" s="2">
        <v>34</v>
      </c>
      <c r="P133" s="2">
        <v>44</v>
      </c>
      <c r="Q133" s="2">
        <v>21</v>
      </c>
      <c r="R133" s="2">
        <v>26</v>
      </c>
      <c r="S133" s="2">
        <v>23</v>
      </c>
      <c r="T133" s="2">
        <v>39</v>
      </c>
      <c r="U133" s="2">
        <v>37</v>
      </c>
      <c r="V133" s="2">
        <v>43</v>
      </c>
      <c r="W133" s="2">
        <f>W33+W66+W81+W87+W107+W113</f>
        <v>44</v>
      </c>
      <c r="X133" s="2">
        <f>X33+X66+X81+X87+X107+X113</f>
        <v>38</v>
      </c>
      <c r="Y133" s="2">
        <f>Y33+Y66+Y81+Y87+Y107+Y113</f>
        <v>41</v>
      </c>
      <c r="Z133" s="2">
        <f>Z33+Z66+Z81+Z87+Z107+Z113</f>
        <v>30</v>
      </c>
      <c r="AA133" s="2">
        <f>AA33+AA66+AA81+AA87+AA107+AA113</f>
        <v>50</v>
      </c>
      <c r="AB133" s="2">
        <f t="shared" ref="AB133:AC133" si="175">AB33+AB66+AB72+AB81+AB87+AB107+AB113</f>
        <v>53</v>
      </c>
      <c r="AC133" s="2">
        <f t="shared" si="175"/>
        <v>52</v>
      </c>
      <c r="AD133" s="2">
        <f>AD33+AD66+AD72+AD81+AD87+AD107+AD113</f>
        <v>43</v>
      </c>
      <c r="AE133" s="2">
        <f t="shared" ref="AE133:AH133" si="176">AE33+AE66+AE72+AE81+AE87+AE107+AE113</f>
        <v>38</v>
      </c>
      <c r="AF133" s="2">
        <f t="shared" si="176"/>
        <v>41</v>
      </c>
      <c r="AG133" s="3">
        <f t="shared" si="176"/>
        <v>52</v>
      </c>
      <c r="AH133" s="2">
        <f t="shared" si="176"/>
        <v>54</v>
      </c>
      <c r="AI133" s="2">
        <f>AI33+AI66+AI72+AI87+AI107+AI113</f>
        <v>65</v>
      </c>
      <c r="AJ133" s="2">
        <f>AJ33+AJ66+AJ72+AJ87+AJ107+AJ113</f>
        <v>63</v>
      </c>
      <c r="AK133" s="2">
        <f>AK33+AK66+AK72+AK87+AK107+AK113</f>
        <v>76</v>
      </c>
      <c r="AL133" s="2">
        <f>AL33+AL66+AL72+AL87+AL107+AL113</f>
        <v>59</v>
      </c>
      <c r="AM133" s="2">
        <f>AM33+AM66+AM72+AM87+AM107+AM113</f>
        <v>62</v>
      </c>
      <c r="AN133" s="2">
        <f t="shared" ref="AN133:AU133" si="177">AN33+AN72+AN87+AN107+AN113</f>
        <v>65</v>
      </c>
      <c r="AO133" s="2">
        <f t="shared" si="177"/>
        <v>48</v>
      </c>
      <c r="AP133" s="2">
        <f t="shared" si="177"/>
        <v>61</v>
      </c>
      <c r="AQ133" s="2">
        <f t="shared" si="177"/>
        <v>71</v>
      </c>
      <c r="AR133" s="2">
        <f t="shared" si="177"/>
        <v>59</v>
      </c>
      <c r="AS133" s="2">
        <f t="shared" si="177"/>
        <v>68</v>
      </c>
      <c r="AT133" s="2">
        <f t="shared" si="177"/>
        <v>83</v>
      </c>
      <c r="AU133" s="2">
        <f t="shared" si="177"/>
        <v>77</v>
      </c>
      <c r="AV133" s="2">
        <f t="shared" ref="AV133:BA133" si="178">AV33+AV72+AV87+AV107+AV113+AV119</f>
        <v>99</v>
      </c>
      <c r="AW133" s="2">
        <f t="shared" si="178"/>
        <v>93</v>
      </c>
      <c r="AX133" s="2">
        <f t="shared" si="178"/>
        <v>116</v>
      </c>
      <c r="AY133" s="2">
        <f t="shared" si="178"/>
        <v>98</v>
      </c>
      <c r="AZ133" s="2">
        <f t="shared" si="178"/>
        <v>120</v>
      </c>
      <c r="BA133" s="2">
        <f t="shared" si="178"/>
        <v>122</v>
      </c>
      <c r="BB133" s="2">
        <f t="shared" ref="BB133" si="179">BB33+BB72+BB87+BB107+BB113+BB119</f>
        <v>114</v>
      </c>
      <c r="BC133" s="8"/>
    </row>
    <row r="134" spans="1:55" ht="13.5" customHeight="1" x14ac:dyDescent="0.2">
      <c r="A134" s="7"/>
      <c r="B134" s="2"/>
      <c r="C134" s="2" t="s">
        <v>32</v>
      </c>
      <c r="D134" s="2">
        <v>218</v>
      </c>
      <c r="E134" s="2">
        <v>206</v>
      </c>
      <c r="F134" s="2">
        <v>179</v>
      </c>
      <c r="G134" s="2">
        <v>186</v>
      </c>
      <c r="H134" s="2">
        <v>241</v>
      </c>
      <c r="I134" s="2">
        <v>298</v>
      </c>
      <c r="J134" s="2">
        <v>351</v>
      </c>
      <c r="K134" s="2">
        <v>366</v>
      </c>
      <c r="L134" s="2">
        <v>351</v>
      </c>
      <c r="M134" s="2">
        <v>349</v>
      </c>
      <c r="N134" s="2">
        <v>394</v>
      </c>
      <c r="O134" s="2">
        <v>358</v>
      </c>
      <c r="P134" s="2">
        <v>386</v>
      </c>
      <c r="Q134" s="2">
        <v>355</v>
      </c>
      <c r="R134" s="2">
        <v>357</v>
      </c>
      <c r="S134" s="2">
        <v>382</v>
      </c>
      <c r="T134" s="2">
        <v>392</v>
      </c>
      <c r="U134" s="2">
        <v>385</v>
      </c>
      <c r="V134" s="2">
        <v>338</v>
      </c>
      <c r="W134" s="2">
        <f t="shared" ref="W134:AA134" si="180">W47+W114</f>
        <v>327</v>
      </c>
      <c r="X134" s="2">
        <f t="shared" si="180"/>
        <v>331</v>
      </c>
      <c r="Y134" s="2">
        <f t="shared" si="180"/>
        <v>327</v>
      </c>
      <c r="Z134" s="2">
        <f t="shared" si="180"/>
        <v>317</v>
      </c>
      <c r="AA134" s="2">
        <f t="shared" si="180"/>
        <v>351</v>
      </c>
      <c r="AB134" s="2">
        <f>AB47+AB114</f>
        <v>325</v>
      </c>
      <c r="AC134" s="2">
        <f t="shared" ref="AC134:AD134" si="181">AC47+AC114</f>
        <v>324</v>
      </c>
      <c r="AD134" s="2">
        <f t="shared" si="181"/>
        <v>296</v>
      </c>
      <c r="AE134" s="2">
        <f t="shared" ref="AE134:AG134" si="182">AE47+AE114</f>
        <v>326</v>
      </c>
      <c r="AF134" s="2">
        <f t="shared" si="182"/>
        <v>318</v>
      </c>
      <c r="AG134" s="2">
        <f t="shared" si="182"/>
        <v>318</v>
      </c>
      <c r="AH134" s="2">
        <f t="shared" ref="AH134:AW134" si="183">AH47+AH114</f>
        <v>300</v>
      </c>
      <c r="AI134" s="2">
        <f t="shared" si="183"/>
        <v>364</v>
      </c>
      <c r="AJ134" s="2">
        <f t="shared" si="183"/>
        <v>348</v>
      </c>
      <c r="AK134" s="2">
        <f t="shared" si="183"/>
        <v>344</v>
      </c>
      <c r="AL134" s="2">
        <f t="shared" si="183"/>
        <v>359</v>
      </c>
      <c r="AM134" s="2">
        <f t="shared" si="183"/>
        <v>364</v>
      </c>
      <c r="AN134" s="2">
        <f t="shared" si="183"/>
        <v>390</v>
      </c>
      <c r="AO134" s="2">
        <f t="shared" si="183"/>
        <v>377</v>
      </c>
      <c r="AP134" s="2">
        <f t="shared" si="183"/>
        <v>415</v>
      </c>
      <c r="AQ134" s="2">
        <f t="shared" si="183"/>
        <v>438</v>
      </c>
      <c r="AR134" s="2">
        <f t="shared" si="183"/>
        <v>408</v>
      </c>
      <c r="AS134" s="2">
        <f t="shared" si="183"/>
        <v>412</v>
      </c>
      <c r="AT134" s="2">
        <f t="shared" si="183"/>
        <v>455</v>
      </c>
      <c r="AU134" s="2">
        <f t="shared" si="183"/>
        <v>468</v>
      </c>
      <c r="AV134" s="2">
        <f t="shared" si="183"/>
        <v>444</v>
      </c>
      <c r="AW134" s="2">
        <f t="shared" si="183"/>
        <v>475</v>
      </c>
      <c r="AX134" s="2">
        <f t="shared" ref="AX134:AY134" si="184">AX47+AX114</f>
        <v>459</v>
      </c>
      <c r="AY134" s="2">
        <f t="shared" si="184"/>
        <v>489</v>
      </c>
      <c r="AZ134" s="2">
        <f t="shared" ref="AZ134:BA134" si="185">AZ47+AZ114</f>
        <v>480</v>
      </c>
      <c r="BA134" s="2">
        <f t="shared" si="185"/>
        <v>473</v>
      </c>
      <c r="BB134" s="2">
        <f t="shared" ref="BB134" si="186">BB47+BB114</f>
        <v>491</v>
      </c>
      <c r="BC134" s="8"/>
    </row>
    <row r="135" spans="1:55" ht="13.5" customHeight="1" x14ac:dyDescent="0.2">
      <c r="A135" s="7"/>
      <c r="B135" s="2"/>
      <c r="C135" s="2"/>
      <c r="D135" s="11">
        <f t="shared" ref="D135:M135" si="187">SUM(D129:D134)</f>
        <v>1207</v>
      </c>
      <c r="E135" s="11">
        <f t="shared" si="187"/>
        <v>1407</v>
      </c>
      <c r="F135" s="11">
        <f t="shared" si="187"/>
        <v>1605</v>
      </c>
      <c r="G135" s="11">
        <f t="shared" si="187"/>
        <v>1762</v>
      </c>
      <c r="H135" s="11">
        <f t="shared" si="187"/>
        <v>1975</v>
      </c>
      <c r="I135" s="11">
        <f t="shared" si="187"/>
        <v>2024</v>
      </c>
      <c r="J135" s="11">
        <f t="shared" si="187"/>
        <v>2111</v>
      </c>
      <c r="K135" s="11">
        <f t="shared" si="187"/>
        <v>2265</v>
      </c>
      <c r="L135" s="11">
        <f t="shared" si="187"/>
        <v>2215</v>
      </c>
      <c r="M135" s="11">
        <f t="shared" si="187"/>
        <v>2225</v>
      </c>
      <c r="N135" s="11">
        <f t="shared" ref="N135:V135" si="188">SUM(N129:N134)</f>
        <v>2076</v>
      </c>
      <c r="O135" s="11">
        <f t="shared" si="188"/>
        <v>2013</v>
      </c>
      <c r="P135" s="11">
        <f t="shared" si="188"/>
        <v>1886</v>
      </c>
      <c r="Q135" s="11">
        <f t="shared" si="188"/>
        <v>1841</v>
      </c>
      <c r="R135" s="11">
        <f t="shared" si="188"/>
        <v>1973</v>
      </c>
      <c r="S135" s="11">
        <f t="shared" si="188"/>
        <v>1934</v>
      </c>
      <c r="T135" s="11">
        <f t="shared" si="188"/>
        <v>1920</v>
      </c>
      <c r="U135" s="11">
        <f t="shared" si="188"/>
        <v>1851</v>
      </c>
      <c r="V135" s="11">
        <f t="shared" si="188"/>
        <v>1987</v>
      </c>
      <c r="W135" s="11">
        <f t="shared" ref="W135:AA135" si="189">SUM(W129:W134)</f>
        <v>1979</v>
      </c>
      <c r="X135" s="11">
        <f t="shared" si="189"/>
        <v>2152</v>
      </c>
      <c r="Y135" s="11">
        <f t="shared" si="189"/>
        <v>2198</v>
      </c>
      <c r="Z135" s="11">
        <f t="shared" si="189"/>
        <v>2244</v>
      </c>
      <c r="AA135" s="11">
        <f t="shared" si="189"/>
        <v>2234</v>
      </c>
      <c r="AB135" s="11">
        <f t="shared" ref="AB135:AD135" si="190">SUM(AB129:AB134)</f>
        <v>2213</v>
      </c>
      <c r="AC135" s="11">
        <f t="shared" si="190"/>
        <v>2315</v>
      </c>
      <c r="AD135" s="11">
        <f t="shared" si="190"/>
        <v>2120</v>
      </c>
      <c r="AE135" s="11">
        <f t="shared" ref="AE135:AG135" si="191">SUM(AE129:AE134)</f>
        <v>2061</v>
      </c>
      <c r="AF135" s="11">
        <f t="shared" si="191"/>
        <v>2121</v>
      </c>
      <c r="AG135" s="11">
        <f t="shared" si="191"/>
        <v>2163</v>
      </c>
      <c r="AH135" s="11">
        <f t="shared" ref="AH135" si="192">SUM(AH129:AH134)</f>
        <v>2161</v>
      </c>
      <c r="AI135" s="11">
        <f t="shared" ref="AI135:AJ135" si="193">SUM(AI129:AI134)</f>
        <v>2345</v>
      </c>
      <c r="AJ135" s="11">
        <f t="shared" si="193"/>
        <v>2186</v>
      </c>
      <c r="AK135" s="11">
        <f t="shared" ref="AK135:AW135" si="194">SUM(AK129:AK134)</f>
        <v>2284</v>
      </c>
      <c r="AL135" s="11">
        <f t="shared" si="194"/>
        <v>2431</v>
      </c>
      <c r="AM135" s="11">
        <f t="shared" si="194"/>
        <v>2513</v>
      </c>
      <c r="AN135" s="11">
        <f t="shared" si="194"/>
        <v>2634</v>
      </c>
      <c r="AO135" s="11">
        <f t="shared" si="194"/>
        <v>2672</v>
      </c>
      <c r="AP135" s="11">
        <f t="shared" si="194"/>
        <v>2756</v>
      </c>
      <c r="AQ135" s="11">
        <f t="shared" si="194"/>
        <v>2764</v>
      </c>
      <c r="AR135" s="11">
        <f t="shared" si="194"/>
        <v>2672</v>
      </c>
      <c r="AS135" s="11">
        <f t="shared" si="194"/>
        <v>2962</v>
      </c>
      <c r="AT135" s="11">
        <f t="shared" si="194"/>
        <v>3133</v>
      </c>
      <c r="AU135" s="11">
        <f t="shared" si="194"/>
        <v>3089</v>
      </c>
      <c r="AV135" s="11">
        <f t="shared" si="194"/>
        <v>3355</v>
      </c>
      <c r="AW135" s="11">
        <f t="shared" si="194"/>
        <v>3338</v>
      </c>
      <c r="AX135" s="11">
        <f t="shared" ref="AX135" si="195">SUM(AX129:AX134)</f>
        <v>3474</v>
      </c>
      <c r="AY135" s="11">
        <f>SUM(AY128:AY134)</f>
        <v>3679</v>
      </c>
      <c r="AZ135" s="11">
        <f>SUM(AZ128:AZ134)</f>
        <v>3663</v>
      </c>
      <c r="BA135" s="11">
        <f>SUM(BA128:BA134)</f>
        <v>3580</v>
      </c>
      <c r="BB135" s="11">
        <f>SUM(BB128:BB134)</f>
        <v>3416</v>
      </c>
      <c r="BC135" s="8"/>
    </row>
    <row r="136" spans="1:55" ht="13.5" customHeight="1" x14ac:dyDescent="0.2">
      <c r="A136" s="7"/>
      <c r="B136" s="10" t="s">
        <v>33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0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8"/>
    </row>
    <row r="137" spans="1:55" ht="13.5" customHeight="1" x14ac:dyDescent="0.2">
      <c r="A137" s="7"/>
      <c r="B137" s="2"/>
      <c r="C137" s="2" t="s">
        <v>0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>
        <f t="shared" ref="W137:AA137" si="196">W25+W59+W64+W79</f>
        <v>185</v>
      </c>
      <c r="X137" s="2">
        <f t="shared" si="196"/>
        <v>177</v>
      </c>
      <c r="Y137" s="2">
        <f t="shared" si="196"/>
        <v>158</v>
      </c>
      <c r="Z137" s="2">
        <f t="shared" si="196"/>
        <v>154</v>
      </c>
      <c r="AA137" s="2">
        <f t="shared" si="196"/>
        <v>166</v>
      </c>
      <c r="AB137" s="2">
        <f t="shared" ref="AB137:AD137" si="197">AB25+AB59+AB64+AB79</f>
        <v>168</v>
      </c>
      <c r="AC137" s="2">
        <f t="shared" si="197"/>
        <v>239</v>
      </c>
      <c r="AD137" s="2">
        <f t="shared" si="197"/>
        <v>199</v>
      </c>
      <c r="AE137" s="2">
        <f t="shared" ref="AE137:AG137" si="198">AE25+AE59+AE64+AE79</f>
        <v>235</v>
      </c>
      <c r="AF137" s="2">
        <f t="shared" si="198"/>
        <v>206</v>
      </c>
      <c r="AG137" s="2">
        <f t="shared" si="198"/>
        <v>196</v>
      </c>
      <c r="AH137" s="2">
        <f>AH25+AH59+AH64+AH79</f>
        <v>211</v>
      </c>
      <c r="AI137" s="2">
        <f>AI25+AI59+AI64+AI79</f>
        <v>225</v>
      </c>
      <c r="AJ137" s="2">
        <f>AJ25+AJ59+AJ64+AJ79</f>
        <v>181</v>
      </c>
      <c r="AK137" s="2">
        <f>AK11+AK25+AK59+AK64+AK79</f>
        <v>140</v>
      </c>
      <c r="AL137" s="2">
        <f t="shared" ref="AL137:AW137" si="199">AL11+AL25+AL36+AL59+AL64+AL79</f>
        <v>247</v>
      </c>
      <c r="AM137" s="2">
        <f t="shared" si="199"/>
        <v>211</v>
      </c>
      <c r="AN137" s="2">
        <f t="shared" si="199"/>
        <v>252</v>
      </c>
      <c r="AO137" s="2">
        <f t="shared" si="199"/>
        <v>229</v>
      </c>
      <c r="AP137" s="2">
        <f t="shared" si="199"/>
        <v>233</v>
      </c>
      <c r="AQ137" s="2">
        <f t="shared" si="199"/>
        <v>225</v>
      </c>
      <c r="AR137" s="2">
        <f t="shared" si="199"/>
        <v>219</v>
      </c>
      <c r="AS137" s="2">
        <f t="shared" si="199"/>
        <v>241</v>
      </c>
      <c r="AT137" s="2">
        <f t="shared" si="199"/>
        <v>295</v>
      </c>
      <c r="AU137" s="2">
        <f t="shared" si="199"/>
        <v>255</v>
      </c>
      <c r="AV137" s="2">
        <f t="shared" si="199"/>
        <v>337</v>
      </c>
      <c r="AW137" s="2">
        <f t="shared" si="199"/>
        <v>384</v>
      </c>
      <c r="AX137" s="2">
        <f t="shared" ref="AX137:AY137" si="200">AX11+AX25+AX36+AX59+AX64+AX79</f>
        <v>368</v>
      </c>
      <c r="AY137" s="2">
        <f t="shared" si="200"/>
        <v>378</v>
      </c>
      <c r="AZ137" s="2">
        <f t="shared" ref="AZ137:BA137" si="201">AZ11+AZ25+AZ36+AZ59+AZ64+AZ79</f>
        <v>405</v>
      </c>
      <c r="BA137" s="2">
        <f t="shared" si="201"/>
        <v>437</v>
      </c>
      <c r="BB137" s="2">
        <f t="shared" ref="BB137" si="202">BB11+BB25+BB36+BB59+BB64+BB79</f>
        <v>450</v>
      </c>
      <c r="BC137" s="8"/>
    </row>
    <row r="138" spans="1:55" ht="13.5" customHeight="1" x14ac:dyDescent="0.2">
      <c r="A138" s="7"/>
      <c r="B138" s="2"/>
      <c r="C138" s="2" t="s">
        <v>9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>
        <f t="shared" ref="AM138:AR138" si="203">AM12</f>
        <v>0</v>
      </c>
      <c r="AN138" s="2">
        <f t="shared" si="203"/>
        <v>0</v>
      </c>
      <c r="AO138" s="2">
        <f t="shared" si="203"/>
        <v>0</v>
      </c>
      <c r="AP138" s="2">
        <f t="shared" si="203"/>
        <v>0</v>
      </c>
      <c r="AQ138" s="2">
        <f t="shared" si="203"/>
        <v>0</v>
      </c>
      <c r="AR138" s="2">
        <f t="shared" si="203"/>
        <v>0</v>
      </c>
      <c r="AS138" s="2">
        <f>AS12+AS60</f>
        <v>0</v>
      </c>
      <c r="AT138" s="2">
        <f>AT12+AT60</f>
        <v>0</v>
      </c>
      <c r="AU138" s="2">
        <f>AU12+AU60</f>
        <v>0</v>
      </c>
      <c r="AV138" s="2">
        <f>AV12+AV60</f>
        <v>2</v>
      </c>
      <c r="AW138" s="2">
        <f t="shared" ref="AW138:BB138" si="204">AW12+AW37+AW60</f>
        <v>7</v>
      </c>
      <c r="AX138" s="2">
        <f t="shared" si="204"/>
        <v>3</v>
      </c>
      <c r="AY138" s="2">
        <f t="shared" si="204"/>
        <v>12</v>
      </c>
      <c r="AZ138" s="2">
        <f t="shared" si="204"/>
        <v>6</v>
      </c>
      <c r="BA138" s="2">
        <f t="shared" si="204"/>
        <v>6</v>
      </c>
      <c r="BB138" s="2">
        <f t="shared" si="204"/>
        <v>3</v>
      </c>
      <c r="BC138" s="8"/>
    </row>
    <row r="139" spans="1:55" ht="13.5" customHeight="1" x14ac:dyDescent="0.2">
      <c r="A139" s="7"/>
      <c r="B139" s="2"/>
      <c r="C139" s="2" t="s">
        <v>5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>
        <f t="shared" ref="W139:AA139" si="205">W26+W61+W65+W80</f>
        <v>28</v>
      </c>
      <c r="X139" s="2">
        <f t="shared" si="205"/>
        <v>36</v>
      </c>
      <c r="Y139" s="2">
        <f t="shared" si="205"/>
        <v>35</v>
      </c>
      <c r="Z139" s="2">
        <f t="shared" si="205"/>
        <v>46</v>
      </c>
      <c r="AA139" s="2">
        <f t="shared" si="205"/>
        <v>34</v>
      </c>
      <c r="AB139" s="2">
        <f t="shared" ref="AB139:AD139" si="206">AB26+AB61+AB65+AB80</f>
        <v>63</v>
      </c>
      <c r="AC139" s="2">
        <f t="shared" si="206"/>
        <v>51</v>
      </c>
      <c r="AD139" s="2">
        <f t="shared" si="206"/>
        <v>65</v>
      </c>
      <c r="AE139" s="2">
        <f t="shared" ref="AE139:AG139" si="207">AE26+AE61+AE65+AE80</f>
        <v>61</v>
      </c>
      <c r="AF139" s="2">
        <f t="shared" si="207"/>
        <v>51</v>
      </c>
      <c r="AG139" s="2">
        <f t="shared" si="207"/>
        <v>66</v>
      </c>
      <c r="AH139" s="2">
        <f>AH26+AH61+AH65+AH80</f>
        <v>66</v>
      </c>
      <c r="AI139" s="2">
        <f>AI26+AI61+AI65+AI80</f>
        <v>52</v>
      </c>
      <c r="AJ139" s="2">
        <f>AJ26+AJ61+AJ65+AJ80</f>
        <v>60</v>
      </c>
      <c r="AK139" s="2">
        <f>AK26+AK61+AK65+AK80</f>
        <v>58</v>
      </c>
      <c r="AL139" s="2">
        <f t="shared" ref="AL139:AW139" si="208">AL26+AL38+AL61+AL65+AL80</f>
        <v>74</v>
      </c>
      <c r="AM139" s="2">
        <f t="shared" si="208"/>
        <v>80</v>
      </c>
      <c r="AN139" s="2">
        <f t="shared" si="208"/>
        <v>91</v>
      </c>
      <c r="AO139" s="2">
        <f t="shared" si="208"/>
        <v>117</v>
      </c>
      <c r="AP139" s="2">
        <f t="shared" si="208"/>
        <v>105</v>
      </c>
      <c r="AQ139" s="2">
        <f t="shared" si="208"/>
        <v>120</v>
      </c>
      <c r="AR139" s="2">
        <f t="shared" si="208"/>
        <v>141</v>
      </c>
      <c r="AS139" s="2">
        <f t="shared" si="208"/>
        <v>180</v>
      </c>
      <c r="AT139" s="2">
        <f t="shared" si="208"/>
        <v>179</v>
      </c>
      <c r="AU139" s="2">
        <f t="shared" si="208"/>
        <v>242</v>
      </c>
      <c r="AV139" s="2">
        <f t="shared" si="208"/>
        <v>174</v>
      </c>
      <c r="AW139" s="2">
        <f t="shared" si="208"/>
        <v>177</v>
      </c>
      <c r="AX139" s="2">
        <f t="shared" ref="AX139:AY139" si="209">AX26+AX38+AX61+AX65+AX80</f>
        <v>176</v>
      </c>
      <c r="AY139" s="2">
        <f t="shared" si="209"/>
        <v>338</v>
      </c>
      <c r="AZ139" s="2">
        <f t="shared" ref="AZ139:BA139" si="210">AZ26+AZ38+AZ61+AZ65+AZ80</f>
        <v>501</v>
      </c>
      <c r="BA139" s="2">
        <f t="shared" si="210"/>
        <v>447</v>
      </c>
      <c r="BB139" s="2">
        <f t="shared" ref="BB139" si="211">BB26+BB38+BB61+BB65+BB80</f>
        <v>340</v>
      </c>
      <c r="BC139" s="8"/>
    </row>
    <row r="140" spans="1:55" ht="13.5" hidden="1" customHeight="1" x14ac:dyDescent="0.2">
      <c r="A140" s="7"/>
      <c r="B140" s="2"/>
      <c r="C140" s="2" t="s">
        <v>7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>
        <f t="shared" ref="W140:AA140" si="212">W66+W81</f>
        <v>7</v>
      </c>
      <c r="X140" s="2">
        <f t="shared" si="212"/>
        <v>1</v>
      </c>
      <c r="Y140" s="2">
        <f t="shared" si="212"/>
        <v>2</v>
      </c>
      <c r="Z140" s="2">
        <f t="shared" si="212"/>
        <v>3</v>
      </c>
      <c r="AA140" s="2">
        <f t="shared" si="212"/>
        <v>5</v>
      </c>
      <c r="AB140" s="2">
        <f>AB66+AB81</f>
        <v>2</v>
      </c>
      <c r="AC140" s="2">
        <f t="shared" ref="AC140:AD140" si="213">AC66+AC81</f>
        <v>4</v>
      </c>
      <c r="AD140" s="2">
        <f t="shared" si="213"/>
        <v>6</v>
      </c>
      <c r="AE140" s="2">
        <f>AE66+AE81</f>
        <v>6</v>
      </c>
      <c r="AF140" s="2">
        <f t="shared" ref="AF140:AG140" si="214">AF66+AF81</f>
        <v>2</v>
      </c>
      <c r="AG140" s="2">
        <f t="shared" si="214"/>
        <v>5</v>
      </c>
      <c r="AH140" s="2">
        <f>AH66+AH81</f>
        <v>3</v>
      </c>
      <c r="AI140" s="2">
        <f t="shared" ref="AI140:AJ140" si="215">AI66</f>
        <v>0</v>
      </c>
      <c r="AJ140" s="2">
        <f t="shared" si="215"/>
        <v>0</v>
      </c>
      <c r="AK140" s="2">
        <f>AK66</f>
        <v>1</v>
      </c>
      <c r="AL140" s="2">
        <f>AL66</f>
        <v>0</v>
      </c>
      <c r="AM140" s="2">
        <f>AM66</f>
        <v>1</v>
      </c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8"/>
    </row>
    <row r="141" spans="1:55" ht="13.5" customHeight="1" x14ac:dyDescent="0.2">
      <c r="A141" s="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11">
        <f>SUM(W137:W140)</f>
        <v>220</v>
      </c>
      <c r="X141" s="11">
        <f t="shared" ref="X141:AA141" si="216">SUM(X137:X140)</f>
        <v>214</v>
      </c>
      <c r="Y141" s="11">
        <f t="shared" si="216"/>
        <v>195</v>
      </c>
      <c r="Z141" s="11">
        <f t="shared" si="216"/>
        <v>203</v>
      </c>
      <c r="AA141" s="11">
        <f t="shared" si="216"/>
        <v>205</v>
      </c>
      <c r="AB141" s="11">
        <f t="shared" ref="AB141:AD141" si="217">SUM(AB137:AB140)</f>
        <v>233</v>
      </c>
      <c r="AC141" s="11">
        <f t="shared" si="217"/>
        <v>294</v>
      </c>
      <c r="AD141" s="11">
        <f t="shared" si="217"/>
        <v>270</v>
      </c>
      <c r="AE141" s="11">
        <f t="shared" ref="AE141:AG141" si="218">SUM(AE137:AE140)</f>
        <v>302</v>
      </c>
      <c r="AF141" s="11">
        <f t="shared" si="218"/>
        <v>259</v>
      </c>
      <c r="AG141" s="11">
        <f t="shared" si="218"/>
        <v>267</v>
      </c>
      <c r="AH141" s="11">
        <f>SUM(AH137:AH140)</f>
        <v>280</v>
      </c>
      <c r="AI141" s="11">
        <f t="shared" ref="AI141" si="219">SUM(AI137:AI139)</f>
        <v>277</v>
      </c>
      <c r="AJ141" s="11">
        <f>SUM(AJ137:AJ139)</f>
        <v>241</v>
      </c>
      <c r="AK141" s="11">
        <f>SUM(AK137:AK140)</f>
        <v>199</v>
      </c>
      <c r="AL141" s="11">
        <f t="shared" ref="AL141:AM141" si="220">SUM(AL137:AL140)</f>
        <v>321</v>
      </c>
      <c r="AM141" s="11">
        <f t="shared" si="220"/>
        <v>292</v>
      </c>
      <c r="AN141" s="11">
        <f t="shared" ref="AN141:AQ141" si="221">SUM(AN137:AN139)</f>
        <v>343</v>
      </c>
      <c r="AO141" s="11">
        <f t="shared" si="221"/>
        <v>346</v>
      </c>
      <c r="AP141" s="11">
        <f t="shared" si="221"/>
        <v>338</v>
      </c>
      <c r="AQ141" s="11">
        <f t="shared" si="221"/>
        <v>345</v>
      </c>
      <c r="AR141" s="11">
        <f t="shared" ref="AR141" si="222">SUM(AR137:AR139)</f>
        <v>360</v>
      </c>
      <c r="AS141" s="11">
        <f t="shared" ref="AS141:AU141" si="223">SUM(AS137:AS139)</f>
        <v>421</v>
      </c>
      <c r="AT141" s="11">
        <f t="shared" si="223"/>
        <v>474</v>
      </c>
      <c r="AU141" s="11">
        <f t="shared" si="223"/>
        <v>497</v>
      </c>
      <c r="AV141" s="11">
        <f t="shared" ref="AV141:BA141" si="224">SUM(AV137:AV139)</f>
        <v>513</v>
      </c>
      <c r="AW141" s="11">
        <f t="shared" si="224"/>
        <v>568</v>
      </c>
      <c r="AX141" s="11">
        <f t="shared" si="224"/>
        <v>547</v>
      </c>
      <c r="AY141" s="11">
        <f t="shared" si="224"/>
        <v>728</v>
      </c>
      <c r="AZ141" s="11">
        <f t="shared" si="224"/>
        <v>912</v>
      </c>
      <c r="BA141" s="11">
        <f t="shared" si="224"/>
        <v>890</v>
      </c>
      <c r="BB141" s="11">
        <f t="shared" ref="BB141" si="225">SUM(BB137:BB139)</f>
        <v>793</v>
      </c>
      <c r="BC141" s="8"/>
    </row>
    <row r="142" spans="1:55" ht="13.5" customHeight="1" x14ac:dyDescent="0.2">
      <c r="A142" s="7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8"/>
    </row>
    <row r="143" spans="1:55" ht="13.5" customHeight="1" x14ac:dyDescent="0.2">
      <c r="A143" s="7"/>
      <c r="B143" s="40" t="s">
        <v>115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8"/>
    </row>
    <row r="144" spans="1:55" ht="13.5" customHeight="1" x14ac:dyDescent="0.2">
      <c r="A144" s="7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8"/>
    </row>
    <row r="145" spans="1:55" ht="13.5" customHeight="1" x14ac:dyDescent="0.2">
      <c r="A145" s="7"/>
      <c r="B145" s="43" t="s">
        <v>116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8"/>
    </row>
    <row r="146" spans="1:55" ht="13.5" customHeight="1" x14ac:dyDescent="0.2">
      <c r="A146" s="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8"/>
    </row>
    <row r="147" spans="1:55" ht="13.5" customHeight="1" x14ac:dyDescent="0.2">
      <c r="A147" s="7"/>
      <c r="B147" s="2" t="s">
        <v>96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8"/>
    </row>
    <row r="148" spans="1:55" ht="13.5" customHeight="1" x14ac:dyDescent="0.2">
      <c r="A148" s="7"/>
      <c r="B148" s="2" t="s">
        <v>95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8"/>
    </row>
    <row r="149" spans="1:55" ht="13.5" customHeight="1" x14ac:dyDescent="0.2">
      <c r="A149" s="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8"/>
    </row>
    <row r="150" spans="1:55" ht="13.5" customHeight="1" x14ac:dyDescent="0.2">
      <c r="A150" s="7"/>
      <c r="B150" s="2" t="s">
        <v>101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8"/>
    </row>
    <row r="151" spans="1:55" ht="13.5" customHeight="1" x14ac:dyDescent="0.2">
      <c r="A151" s="7"/>
      <c r="B151" s="2" t="s">
        <v>100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8"/>
    </row>
    <row r="152" spans="1:55" ht="13.5" customHeight="1" x14ac:dyDescent="0.2">
      <c r="A152" s="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8"/>
    </row>
    <row r="153" spans="1:55" ht="13.5" customHeight="1" x14ac:dyDescent="0.2">
      <c r="A153" s="7"/>
      <c r="B153" s="3" t="s">
        <v>102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8"/>
    </row>
    <row r="154" spans="1:55" ht="13.5" customHeight="1" x14ac:dyDescent="0.2">
      <c r="A154" s="7"/>
      <c r="B154" s="3" t="s">
        <v>97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8"/>
    </row>
    <row r="155" spans="1:55" ht="13.5" customHeight="1" x14ac:dyDescent="0.2">
      <c r="A155" s="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8"/>
    </row>
    <row r="156" spans="1:55" ht="13.5" customHeight="1" x14ac:dyDescent="0.2">
      <c r="A156" s="12"/>
      <c r="B156" s="38" t="s">
        <v>31</v>
      </c>
      <c r="C156" s="3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31"/>
      <c r="AY156" s="16"/>
      <c r="AZ156" s="16"/>
      <c r="BA156" s="16"/>
      <c r="BB156" s="16" t="s">
        <v>117</v>
      </c>
      <c r="BC156" s="13"/>
    </row>
  </sheetData>
  <mergeCells count="4">
    <mergeCell ref="A2:BC2"/>
    <mergeCell ref="B156:C156"/>
    <mergeCell ref="B143:BB144"/>
    <mergeCell ref="B145:BB145"/>
  </mergeCells>
  <hyperlinks>
    <hyperlink ref="B156:C156" r:id="rId1" display="Source: IPEDS C, Completions Survey"/>
    <hyperlink ref="B145" r:id="rId2"/>
    <hyperlink ref="B145:BB145" r:id="rId3" display="https://dhe.mo.gov/documents/performancefunding2018.pdf"/>
  </hyperlinks>
  <printOptions horizontalCentered="1"/>
  <pageMargins left="0.7" right="0.45" top="0.5" bottom="0.25" header="0.3" footer="0.3"/>
  <pageSetup orientation="portrait" r:id="rId4"/>
  <rowBreaks count="2" manualBreakCount="2">
    <brk id="57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01"/>
  <sheetViews>
    <sheetView zoomScaleNormal="100" workbookViewId="0">
      <pane ySplit="7" topLeftCell="A8" activePane="bottomLeft" state="frozen"/>
      <selection pane="bottomLeft"/>
    </sheetView>
  </sheetViews>
  <sheetFormatPr defaultRowHeight="13.5" customHeight="1" x14ac:dyDescent="0.2"/>
  <cols>
    <col min="1" max="2" width="2.7109375" style="1" customWidth="1"/>
    <col min="3" max="3" width="25.7109375" style="1" customWidth="1"/>
    <col min="4" max="38" width="7.7109375" style="20" hidden="1" customWidth="1"/>
    <col min="39" max="39" width="7.7109375" style="1" hidden="1" customWidth="1"/>
    <col min="40" max="40" width="7.7109375" style="20" hidden="1" customWidth="1"/>
    <col min="41" max="41" width="7.7109375" style="1" hidden="1" customWidth="1"/>
    <col min="42" max="42" width="7.7109375" style="20" hidden="1" customWidth="1"/>
    <col min="43" max="48" width="7.7109375" style="1" hidden="1" customWidth="1"/>
    <col min="49" max="54" width="7.7109375" style="1" customWidth="1"/>
    <col min="55" max="55" width="2.7109375" style="1" customWidth="1"/>
    <col min="56" max="16384" width="9.140625" style="1"/>
  </cols>
  <sheetData>
    <row r="2" spans="1:55" ht="15" customHeight="1" x14ac:dyDescent="0.25">
      <c r="A2" s="35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7"/>
    </row>
    <row r="3" spans="1:55" ht="13.5" customHeight="1" x14ac:dyDescent="0.2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8"/>
    </row>
    <row r="4" spans="1:55" ht="15" customHeight="1" x14ac:dyDescent="0.25">
      <c r="A4" s="7"/>
      <c r="B4" s="9" t="s">
        <v>109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3"/>
      <c r="AO4" s="2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8"/>
    </row>
    <row r="5" spans="1:55" ht="15" customHeight="1" x14ac:dyDescent="0.25">
      <c r="A5" s="7"/>
      <c r="B5" s="9" t="s">
        <v>28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3"/>
      <c r="AO5" s="2"/>
      <c r="AP5" s="3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8"/>
    </row>
    <row r="6" spans="1:55" ht="13.5" customHeight="1" x14ac:dyDescent="0.2">
      <c r="A6" s="7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3"/>
      <c r="AO6" s="2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8"/>
    </row>
    <row r="7" spans="1:55" ht="13.5" customHeight="1" thickBot="1" x14ac:dyDescent="0.25">
      <c r="A7" s="7"/>
      <c r="B7" s="5"/>
      <c r="C7" s="5"/>
      <c r="D7" s="6" t="s">
        <v>63</v>
      </c>
      <c r="E7" s="6" t="s">
        <v>62</v>
      </c>
      <c r="F7" s="6" t="s">
        <v>61</v>
      </c>
      <c r="G7" s="6" t="s">
        <v>60</v>
      </c>
      <c r="H7" s="6" t="s">
        <v>59</v>
      </c>
      <c r="I7" s="6" t="s">
        <v>58</v>
      </c>
      <c r="J7" s="6" t="s">
        <v>57</v>
      </c>
      <c r="K7" s="6" t="s">
        <v>56</v>
      </c>
      <c r="L7" s="6" t="s">
        <v>55</v>
      </c>
      <c r="M7" s="6" t="s">
        <v>54</v>
      </c>
      <c r="N7" s="6" t="s">
        <v>53</v>
      </c>
      <c r="O7" s="6" t="s">
        <v>52</v>
      </c>
      <c r="P7" s="6" t="s">
        <v>51</v>
      </c>
      <c r="Q7" s="6" t="s">
        <v>50</v>
      </c>
      <c r="R7" s="6" t="s">
        <v>49</v>
      </c>
      <c r="S7" s="6" t="s">
        <v>48</v>
      </c>
      <c r="T7" s="6" t="s">
        <v>47</v>
      </c>
      <c r="U7" s="6" t="s">
        <v>46</v>
      </c>
      <c r="V7" s="6" t="s">
        <v>45</v>
      </c>
      <c r="W7" s="6" t="s">
        <v>42</v>
      </c>
      <c r="X7" s="6" t="s">
        <v>43</v>
      </c>
      <c r="Y7" s="6" t="s">
        <v>39</v>
      </c>
      <c r="Z7" s="6" t="s">
        <v>40</v>
      </c>
      <c r="AA7" s="6" t="s">
        <v>41</v>
      </c>
      <c r="AB7" s="6" t="s">
        <v>38</v>
      </c>
      <c r="AC7" s="6" t="s">
        <v>37</v>
      </c>
      <c r="AD7" s="6" t="s">
        <v>36</v>
      </c>
      <c r="AE7" s="21" t="s">
        <v>35</v>
      </c>
      <c r="AF7" s="21" t="s">
        <v>34</v>
      </c>
      <c r="AG7" s="21" t="s">
        <v>22</v>
      </c>
      <c r="AH7" s="21" t="s">
        <v>21</v>
      </c>
      <c r="AI7" s="21" t="s">
        <v>20</v>
      </c>
      <c r="AJ7" s="21" t="s">
        <v>19</v>
      </c>
      <c r="AK7" s="21" t="s">
        <v>18</v>
      </c>
      <c r="AL7" s="21" t="s">
        <v>17</v>
      </c>
      <c r="AM7" s="6" t="s">
        <v>16</v>
      </c>
      <c r="AN7" s="21" t="s">
        <v>15</v>
      </c>
      <c r="AO7" s="6" t="s">
        <v>14</v>
      </c>
      <c r="AP7" s="21" t="s">
        <v>13</v>
      </c>
      <c r="AQ7" s="6" t="s">
        <v>12</v>
      </c>
      <c r="AR7" s="6" t="s">
        <v>8</v>
      </c>
      <c r="AS7" s="6" t="s">
        <v>6</v>
      </c>
      <c r="AT7" s="6" t="s">
        <v>3</v>
      </c>
      <c r="AU7" s="6" t="s">
        <v>1</v>
      </c>
      <c r="AV7" s="6" t="s">
        <v>2</v>
      </c>
      <c r="AW7" s="6" t="s">
        <v>4</v>
      </c>
      <c r="AX7" s="6" t="s">
        <v>108</v>
      </c>
      <c r="AY7" s="6" t="s">
        <v>110</v>
      </c>
      <c r="AZ7" s="21" t="s">
        <v>112</v>
      </c>
      <c r="BA7" s="21" t="s">
        <v>113</v>
      </c>
      <c r="BB7" s="21" t="s">
        <v>114</v>
      </c>
      <c r="BC7" s="8"/>
    </row>
    <row r="8" spans="1:55" ht="13.5" customHeight="1" thickTop="1" x14ac:dyDescent="0.2">
      <c r="A8" s="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3"/>
      <c r="AO8" s="2"/>
      <c r="AP8" s="3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8"/>
    </row>
    <row r="9" spans="1:55" ht="13.5" customHeight="1" x14ac:dyDescent="0.2">
      <c r="A9" s="7"/>
      <c r="B9" s="24" t="s">
        <v>30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8"/>
    </row>
    <row r="10" spans="1:55" ht="13.5" customHeight="1" x14ac:dyDescent="0.2">
      <c r="A10" s="7"/>
      <c r="B10" s="10" t="s">
        <v>69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3"/>
      <c r="AO10" s="2"/>
      <c r="AP10" s="3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8"/>
    </row>
    <row r="11" spans="1:55" ht="13.5" customHeight="1" x14ac:dyDescent="0.2">
      <c r="A11" s="7"/>
      <c r="B11" s="2"/>
      <c r="C11" s="3" t="s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123</v>
      </c>
      <c r="X11" s="3">
        <v>76</v>
      </c>
      <c r="Y11" s="3">
        <v>68</v>
      </c>
      <c r="Z11" s="3">
        <v>57</v>
      </c>
      <c r="AA11" s="3">
        <v>39</v>
      </c>
      <c r="AB11" s="3">
        <v>43</v>
      </c>
      <c r="AC11" s="3">
        <v>46</v>
      </c>
      <c r="AD11" s="3">
        <v>41</v>
      </c>
      <c r="AE11" s="3">
        <v>35</v>
      </c>
      <c r="AF11" s="3">
        <v>47</v>
      </c>
      <c r="AG11" s="3">
        <v>46</v>
      </c>
      <c r="AH11" s="3">
        <v>63</v>
      </c>
      <c r="AI11" s="3">
        <v>71</v>
      </c>
      <c r="AJ11" s="3">
        <v>65</v>
      </c>
      <c r="AK11" s="3">
        <v>79</v>
      </c>
      <c r="AL11" s="3">
        <v>92</v>
      </c>
      <c r="AM11" s="2">
        <v>95</v>
      </c>
      <c r="AN11" s="3">
        <v>83</v>
      </c>
      <c r="AO11" s="2">
        <v>87</v>
      </c>
      <c r="AP11" s="3">
        <v>80</v>
      </c>
      <c r="AQ11" s="2">
        <v>73</v>
      </c>
      <c r="AR11" s="2">
        <v>82</v>
      </c>
      <c r="AS11" s="2">
        <v>59</v>
      </c>
      <c r="AT11" s="2">
        <v>73</v>
      </c>
      <c r="AU11" s="2">
        <v>84</v>
      </c>
      <c r="AV11" s="2">
        <v>77</v>
      </c>
      <c r="AW11" s="2">
        <v>86</v>
      </c>
      <c r="AX11" s="2">
        <v>99</v>
      </c>
      <c r="AY11" s="2">
        <v>121</v>
      </c>
      <c r="AZ11" s="2">
        <v>133</v>
      </c>
      <c r="BA11" s="2">
        <v>131</v>
      </c>
      <c r="BB11" s="2">
        <v>129</v>
      </c>
      <c r="BC11" s="8"/>
    </row>
    <row r="12" spans="1:55" ht="13.5" customHeight="1" x14ac:dyDescent="0.2">
      <c r="A12" s="7"/>
      <c r="B12" s="2"/>
      <c r="C12" s="3" t="s">
        <v>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>
        <v>0</v>
      </c>
      <c r="AN12" s="3">
        <v>0</v>
      </c>
      <c r="AO12" s="2">
        <v>1</v>
      </c>
      <c r="AP12" s="3">
        <v>6</v>
      </c>
      <c r="AQ12" s="2">
        <v>13</v>
      </c>
      <c r="AR12" s="2">
        <v>30</v>
      </c>
      <c r="AS12" s="2">
        <v>44</v>
      </c>
      <c r="AT12" s="2">
        <v>29</v>
      </c>
      <c r="AU12" s="2">
        <v>39</v>
      </c>
      <c r="AV12" s="2">
        <v>30</v>
      </c>
      <c r="AW12" s="2">
        <v>24</v>
      </c>
      <c r="AX12" s="2">
        <v>19</v>
      </c>
      <c r="AY12" s="2">
        <v>22</v>
      </c>
      <c r="AZ12" s="2">
        <v>22</v>
      </c>
      <c r="BA12" s="2">
        <v>23</v>
      </c>
      <c r="BB12" s="2">
        <v>12</v>
      </c>
      <c r="BC12" s="8"/>
    </row>
    <row r="13" spans="1:55" ht="13.5" customHeight="1" x14ac:dyDescent="0.2">
      <c r="A13" s="7"/>
      <c r="B13" s="2"/>
      <c r="C13" s="3" t="s">
        <v>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47</v>
      </c>
      <c r="X13" s="3">
        <v>35</v>
      </c>
      <c r="Y13" s="3">
        <v>29</v>
      </c>
      <c r="Z13" s="3">
        <v>32</v>
      </c>
      <c r="AA13" s="3">
        <v>39</v>
      </c>
      <c r="AB13" s="3">
        <v>37</v>
      </c>
      <c r="AC13" s="3">
        <v>35</v>
      </c>
      <c r="AD13" s="3">
        <v>45</v>
      </c>
      <c r="AE13" s="3">
        <v>42</v>
      </c>
      <c r="AF13" s="3">
        <v>36</v>
      </c>
      <c r="AG13" s="3">
        <v>34</v>
      </c>
      <c r="AH13" s="3">
        <v>36</v>
      </c>
      <c r="AI13" s="3">
        <v>23</v>
      </c>
      <c r="AJ13" s="3">
        <v>45</v>
      </c>
      <c r="AK13" s="3">
        <v>32</v>
      </c>
      <c r="AL13" s="3">
        <v>28</v>
      </c>
      <c r="AM13" s="2">
        <v>22</v>
      </c>
      <c r="AN13" s="3">
        <v>38</v>
      </c>
      <c r="AO13" s="2">
        <v>56</v>
      </c>
      <c r="AP13" s="3">
        <v>51</v>
      </c>
      <c r="AQ13" s="2">
        <v>38</v>
      </c>
      <c r="AR13" s="2">
        <v>51</v>
      </c>
      <c r="AS13" s="2">
        <v>57</v>
      </c>
      <c r="AT13" s="2">
        <v>44</v>
      </c>
      <c r="AU13" s="2">
        <v>64</v>
      </c>
      <c r="AV13" s="2">
        <v>49</v>
      </c>
      <c r="AW13" s="2">
        <f>15+11</f>
        <v>26</v>
      </c>
      <c r="AX13" s="2">
        <v>34</v>
      </c>
      <c r="AY13" s="2">
        <v>85</v>
      </c>
      <c r="AZ13" s="2">
        <v>60</v>
      </c>
      <c r="BA13" s="2">
        <v>56</v>
      </c>
      <c r="BB13" s="2">
        <v>58</v>
      </c>
      <c r="BC13" s="8"/>
    </row>
    <row r="14" spans="1:55" ht="13.5" customHeight="1" x14ac:dyDescent="0.2">
      <c r="A14" s="7"/>
      <c r="B14" s="2"/>
      <c r="C14" s="3" t="s">
        <v>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5</v>
      </c>
      <c r="X14" s="3">
        <v>2</v>
      </c>
      <c r="Y14" s="3">
        <v>5</v>
      </c>
      <c r="Z14" s="3">
        <v>3</v>
      </c>
      <c r="AA14" s="3">
        <v>3</v>
      </c>
      <c r="AB14" s="3">
        <v>2</v>
      </c>
      <c r="AC14" s="3">
        <v>7</v>
      </c>
      <c r="AD14" s="3">
        <v>5</v>
      </c>
      <c r="AE14" s="3">
        <v>2</v>
      </c>
      <c r="AF14" s="3">
        <v>1</v>
      </c>
      <c r="AG14" s="3">
        <v>4</v>
      </c>
      <c r="AH14" s="3">
        <v>1</v>
      </c>
      <c r="AI14" s="3">
        <v>0</v>
      </c>
      <c r="AJ14" s="3">
        <v>1</v>
      </c>
      <c r="AK14" s="3">
        <v>0</v>
      </c>
      <c r="AL14" s="3">
        <v>0</v>
      </c>
      <c r="AM14" s="2">
        <v>1</v>
      </c>
      <c r="AN14" s="3">
        <v>0</v>
      </c>
      <c r="AO14" s="2">
        <v>2</v>
      </c>
      <c r="AP14" s="3">
        <v>1</v>
      </c>
      <c r="AQ14" s="2">
        <v>3</v>
      </c>
      <c r="AR14" s="2">
        <v>3</v>
      </c>
      <c r="AS14" s="2">
        <v>1</v>
      </c>
      <c r="AT14" s="2">
        <v>1</v>
      </c>
      <c r="AU14" s="2">
        <v>4</v>
      </c>
      <c r="AV14" s="2">
        <v>1</v>
      </c>
      <c r="AW14" s="2">
        <v>3</v>
      </c>
      <c r="AX14" s="2">
        <v>9</v>
      </c>
      <c r="AY14" s="2">
        <v>6</v>
      </c>
      <c r="AZ14" s="2">
        <v>6</v>
      </c>
      <c r="BA14" s="2">
        <v>6</v>
      </c>
      <c r="BB14" s="2">
        <v>2</v>
      </c>
      <c r="BC14" s="8"/>
    </row>
    <row r="15" spans="1:55" ht="13.5" customHeight="1" x14ac:dyDescent="0.2">
      <c r="A15" s="7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2">
        <f t="shared" ref="W15:AA15" si="0">SUM(W11:W14)</f>
        <v>175</v>
      </c>
      <c r="X15" s="22">
        <f t="shared" si="0"/>
        <v>113</v>
      </c>
      <c r="Y15" s="22">
        <f t="shared" si="0"/>
        <v>102</v>
      </c>
      <c r="Z15" s="22">
        <f t="shared" si="0"/>
        <v>92</v>
      </c>
      <c r="AA15" s="22">
        <f t="shared" si="0"/>
        <v>81</v>
      </c>
      <c r="AB15" s="22">
        <f t="shared" ref="AB15:AD15" si="1">SUM(AB11:AB14)</f>
        <v>82</v>
      </c>
      <c r="AC15" s="22">
        <f t="shared" si="1"/>
        <v>88</v>
      </c>
      <c r="AD15" s="22">
        <f t="shared" si="1"/>
        <v>91</v>
      </c>
      <c r="AE15" s="22">
        <f t="shared" ref="AE15:AG15" si="2">SUM(AE11:AE14)</f>
        <v>79</v>
      </c>
      <c r="AF15" s="22">
        <f t="shared" si="2"/>
        <v>84</v>
      </c>
      <c r="AG15" s="22">
        <f t="shared" si="2"/>
        <v>84</v>
      </c>
      <c r="AH15" s="22">
        <f t="shared" ref="AH15:AV15" si="3">SUM(AH11:AH14)</f>
        <v>100</v>
      </c>
      <c r="AI15" s="22">
        <f t="shared" si="3"/>
        <v>94</v>
      </c>
      <c r="AJ15" s="22">
        <f t="shared" si="3"/>
        <v>111</v>
      </c>
      <c r="AK15" s="22">
        <f t="shared" si="3"/>
        <v>111</v>
      </c>
      <c r="AL15" s="22">
        <f t="shared" si="3"/>
        <v>120</v>
      </c>
      <c r="AM15" s="11">
        <f t="shared" si="3"/>
        <v>118</v>
      </c>
      <c r="AN15" s="22">
        <f t="shared" si="3"/>
        <v>121</v>
      </c>
      <c r="AO15" s="11">
        <f t="shared" si="3"/>
        <v>146</v>
      </c>
      <c r="AP15" s="22">
        <f t="shared" si="3"/>
        <v>138</v>
      </c>
      <c r="AQ15" s="11">
        <f t="shared" si="3"/>
        <v>127</v>
      </c>
      <c r="AR15" s="11">
        <f t="shared" si="3"/>
        <v>166</v>
      </c>
      <c r="AS15" s="11">
        <f t="shared" si="3"/>
        <v>161</v>
      </c>
      <c r="AT15" s="11">
        <f t="shared" si="3"/>
        <v>147</v>
      </c>
      <c r="AU15" s="11">
        <f t="shared" si="3"/>
        <v>191</v>
      </c>
      <c r="AV15" s="11">
        <f t="shared" si="3"/>
        <v>157</v>
      </c>
      <c r="AW15" s="11">
        <f t="shared" ref="AW15:BB15" si="4">SUM(AW11:AW14)</f>
        <v>139</v>
      </c>
      <c r="AX15" s="11">
        <f t="shared" si="4"/>
        <v>161</v>
      </c>
      <c r="AY15" s="11">
        <f t="shared" si="4"/>
        <v>234</v>
      </c>
      <c r="AZ15" s="11">
        <f t="shared" si="4"/>
        <v>221</v>
      </c>
      <c r="BA15" s="11">
        <f t="shared" si="4"/>
        <v>216</v>
      </c>
      <c r="BB15" s="11">
        <f t="shared" si="4"/>
        <v>201</v>
      </c>
      <c r="BC15" s="8"/>
    </row>
    <row r="16" spans="1:55" ht="13.5" customHeight="1" x14ac:dyDescent="0.2">
      <c r="A16" s="7"/>
      <c r="B16" s="10" t="s">
        <v>71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3"/>
      <c r="AO16" s="2"/>
      <c r="AP16" s="3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8"/>
    </row>
    <row r="17" spans="1:55" ht="13.5" customHeight="1" x14ac:dyDescent="0.2">
      <c r="A17" s="7"/>
      <c r="B17" s="10"/>
      <c r="C17" s="3" t="s">
        <v>10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2"/>
      <c r="AP17" s="3"/>
      <c r="AQ17" s="2">
        <v>1</v>
      </c>
      <c r="AR17" s="2">
        <v>3</v>
      </c>
      <c r="AS17" s="2">
        <v>2</v>
      </c>
      <c r="AT17" s="2">
        <v>1</v>
      </c>
      <c r="AU17" s="2">
        <v>4</v>
      </c>
      <c r="AV17" s="2">
        <v>2</v>
      </c>
      <c r="AW17" s="2">
        <v>0</v>
      </c>
      <c r="AX17" s="2">
        <v>3</v>
      </c>
      <c r="AY17" s="2">
        <v>14</v>
      </c>
      <c r="AZ17" s="2">
        <v>9</v>
      </c>
      <c r="BA17" s="2">
        <v>8</v>
      </c>
      <c r="BB17" s="2">
        <v>6</v>
      </c>
      <c r="BC17" s="8"/>
    </row>
    <row r="18" spans="1:55" ht="13.5" customHeight="1" x14ac:dyDescent="0.2">
      <c r="A18" s="7"/>
      <c r="B18" s="2"/>
      <c r="C18" s="3" t="s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>887-W25</f>
        <v>778</v>
      </c>
      <c r="X18" s="3">
        <f>809-X25</f>
        <v>713</v>
      </c>
      <c r="Y18" s="3">
        <f>737-Y25</f>
        <v>674</v>
      </c>
      <c r="Z18" s="3">
        <f>652-Z25</f>
        <v>576</v>
      </c>
      <c r="AA18" s="3">
        <f>598-AA25</f>
        <v>524</v>
      </c>
      <c r="AB18" s="3">
        <f>563-AB25</f>
        <v>505</v>
      </c>
      <c r="AC18" s="3">
        <f>621-AC25</f>
        <v>571</v>
      </c>
      <c r="AD18" s="3">
        <f>664-AD25</f>
        <v>620</v>
      </c>
      <c r="AE18" s="3">
        <f>591-AE25</f>
        <v>527</v>
      </c>
      <c r="AF18" s="3">
        <f>569-AF25</f>
        <v>519</v>
      </c>
      <c r="AG18" s="3">
        <f>660-AG25</f>
        <v>607</v>
      </c>
      <c r="AH18" s="3">
        <f>584-AH25</f>
        <v>549</v>
      </c>
      <c r="AI18" s="3">
        <f>585-AI25</f>
        <v>533</v>
      </c>
      <c r="AJ18" s="3">
        <f>562-AJ25</f>
        <v>514</v>
      </c>
      <c r="AK18" s="3">
        <f>498-AK25</f>
        <v>446</v>
      </c>
      <c r="AL18" s="3">
        <f>557-AL25</f>
        <v>511</v>
      </c>
      <c r="AM18" s="2">
        <v>469</v>
      </c>
      <c r="AN18" s="3">
        <f>542-AN25</f>
        <v>472</v>
      </c>
      <c r="AO18" s="2">
        <f>493-AO25</f>
        <v>447</v>
      </c>
      <c r="AP18" s="3">
        <f>504-AP25</f>
        <v>457</v>
      </c>
      <c r="AQ18" s="2">
        <f>593-AQ25</f>
        <v>548</v>
      </c>
      <c r="AR18" s="2">
        <f>657-AR25</f>
        <v>609</v>
      </c>
      <c r="AS18" s="2">
        <f>689-AS25</f>
        <v>629</v>
      </c>
      <c r="AT18" s="2">
        <v>700</v>
      </c>
      <c r="AU18" s="2">
        <v>688</v>
      </c>
      <c r="AV18" s="2">
        <v>753</v>
      </c>
      <c r="AW18" s="2">
        <v>779</v>
      </c>
      <c r="AX18" s="2">
        <v>752</v>
      </c>
      <c r="AY18" s="2">
        <v>862</v>
      </c>
      <c r="AZ18" s="2">
        <v>901</v>
      </c>
      <c r="BA18" s="2">
        <v>856</v>
      </c>
      <c r="BB18" s="2">
        <v>985</v>
      </c>
      <c r="BC18" s="8"/>
    </row>
    <row r="19" spans="1:55" ht="13.5" customHeight="1" x14ac:dyDescent="0.2">
      <c r="A19" s="7"/>
      <c r="B19" s="2"/>
      <c r="C19" s="3" t="s">
        <v>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>
        <v>0</v>
      </c>
      <c r="AL19" s="3">
        <v>22</v>
      </c>
      <c r="AM19" s="2">
        <v>20</v>
      </c>
      <c r="AN19" s="3">
        <v>70</v>
      </c>
      <c r="AO19" s="2">
        <v>82</v>
      </c>
      <c r="AP19" s="3">
        <v>69</v>
      </c>
      <c r="AQ19" s="2">
        <v>110</v>
      </c>
      <c r="AR19" s="2">
        <v>128</v>
      </c>
      <c r="AS19" s="2">
        <v>202</v>
      </c>
      <c r="AT19" s="2">
        <v>195</v>
      </c>
      <c r="AU19" s="2">
        <v>183</v>
      </c>
      <c r="AV19" s="2">
        <v>136</v>
      </c>
      <c r="AW19" s="2">
        <v>189</v>
      </c>
      <c r="AX19" s="2">
        <v>269</v>
      </c>
      <c r="AY19" s="2">
        <v>300</v>
      </c>
      <c r="AZ19" s="2">
        <v>308</v>
      </c>
      <c r="BA19" s="2">
        <v>282</v>
      </c>
      <c r="BB19" s="2">
        <v>301</v>
      </c>
      <c r="BC19" s="8"/>
    </row>
    <row r="20" spans="1:55" ht="13.5" hidden="1" customHeight="1" x14ac:dyDescent="0.2">
      <c r="A20" s="7"/>
      <c r="B20" s="2"/>
      <c r="C20" s="3" t="s">
        <v>44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3"/>
      <c r="AO20" s="2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8"/>
    </row>
    <row r="21" spans="1:55" ht="13.5" customHeight="1" x14ac:dyDescent="0.2">
      <c r="A21" s="7"/>
      <c r="B21" s="2"/>
      <c r="C21" s="3" t="s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>219-W28</f>
        <v>166</v>
      </c>
      <c r="X21" s="3">
        <f>240-X28</f>
        <v>182</v>
      </c>
      <c r="Y21" s="3">
        <f>224-Y28</f>
        <v>163</v>
      </c>
      <c r="Z21" s="3">
        <f>246-Z28</f>
        <v>191</v>
      </c>
      <c r="AA21" s="3">
        <f>219-AA28</f>
        <v>160</v>
      </c>
      <c r="AB21" s="3">
        <f>248-AB28</f>
        <v>163</v>
      </c>
      <c r="AC21" s="3">
        <f>243-AC28</f>
        <v>148</v>
      </c>
      <c r="AD21" s="3">
        <f>232-AD28</f>
        <v>133</v>
      </c>
      <c r="AE21" s="3">
        <f>253-AE28</f>
        <v>147</v>
      </c>
      <c r="AF21" s="3">
        <f>240-AF28</f>
        <v>101</v>
      </c>
      <c r="AG21" s="3">
        <f>280-AG28</f>
        <v>117</v>
      </c>
      <c r="AH21" s="3">
        <f>283-AH28</f>
        <v>123</v>
      </c>
      <c r="AI21" s="3">
        <f>247-AI28</f>
        <v>103</v>
      </c>
      <c r="AJ21" s="3">
        <f>249-AJ28</f>
        <v>128</v>
      </c>
      <c r="AK21" s="3">
        <f>302-AK28</f>
        <v>147</v>
      </c>
      <c r="AL21" s="3">
        <f>307-AL28</f>
        <v>184</v>
      </c>
      <c r="AM21" s="2">
        <v>215</v>
      </c>
      <c r="AN21" s="3">
        <f>426-AN28</f>
        <v>308</v>
      </c>
      <c r="AO21" s="2">
        <f>342-AO28</f>
        <v>226</v>
      </c>
      <c r="AP21" s="3">
        <f>300-AP28</f>
        <v>205</v>
      </c>
      <c r="AQ21" s="2">
        <f>279-AQ28</f>
        <v>213</v>
      </c>
      <c r="AR21" s="2">
        <f>344-AR28</f>
        <v>270</v>
      </c>
      <c r="AS21" s="2">
        <f>328-AS28</f>
        <v>254</v>
      </c>
      <c r="AT21" s="2">
        <v>243</v>
      </c>
      <c r="AU21" s="2">
        <v>296</v>
      </c>
      <c r="AV21" s="2">
        <v>316</v>
      </c>
      <c r="AW21" s="2">
        <v>351</v>
      </c>
      <c r="AX21" s="2">
        <v>323</v>
      </c>
      <c r="AY21" s="2">
        <v>397</v>
      </c>
      <c r="AZ21" s="2">
        <v>411</v>
      </c>
      <c r="BA21" s="2">
        <v>383</v>
      </c>
      <c r="BB21" s="2">
        <v>348</v>
      </c>
      <c r="BC21" s="8"/>
    </row>
    <row r="22" spans="1:55" ht="13.5" customHeight="1" x14ac:dyDescent="0.2">
      <c r="A22" s="7"/>
      <c r="B22" s="2"/>
      <c r="C22" s="3" t="s">
        <v>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>29-W29</f>
        <v>26</v>
      </c>
      <c r="X22" s="3">
        <f>29-X29</f>
        <v>28</v>
      </c>
      <c r="Y22" s="3">
        <f>25-Y29</f>
        <v>19</v>
      </c>
      <c r="Z22" s="3">
        <f>33-Z29</f>
        <v>27</v>
      </c>
      <c r="AA22" s="3">
        <f>46-AA29</f>
        <v>34</v>
      </c>
      <c r="AB22" s="3">
        <f>48-AB29</f>
        <v>33</v>
      </c>
      <c r="AC22" s="3">
        <f>40-AC29</f>
        <v>32</v>
      </c>
      <c r="AD22" s="3">
        <f>42-AD29</f>
        <v>25</v>
      </c>
      <c r="AE22" s="3">
        <f>51-AE29</f>
        <v>28</v>
      </c>
      <c r="AF22" s="3">
        <f>47-AF29</f>
        <v>24</v>
      </c>
      <c r="AG22" s="3">
        <f>42-AG29</f>
        <v>30</v>
      </c>
      <c r="AH22" s="3">
        <f>41-AH29</f>
        <v>28</v>
      </c>
      <c r="AI22" s="3">
        <f>31-AI29</f>
        <v>23</v>
      </c>
      <c r="AJ22" s="3">
        <f>26-AJ29</f>
        <v>21</v>
      </c>
      <c r="AK22" s="3">
        <f>31-AK29</f>
        <v>29</v>
      </c>
      <c r="AL22" s="3">
        <f>29-AL29</f>
        <v>25</v>
      </c>
      <c r="AM22" s="2">
        <v>31</v>
      </c>
      <c r="AN22" s="3">
        <f>41-AN29</f>
        <v>34</v>
      </c>
      <c r="AO22" s="2">
        <f>54-AO29</f>
        <v>48</v>
      </c>
      <c r="AP22" s="3">
        <f>52-AP29</f>
        <v>48</v>
      </c>
      <c r="AQ22" s="2">
        <f>45-AQ29</f>
        <v>40</v>
      </c>
      <c r="AR22" s="2">
        <f>48-AR29</f>
        <v>43</v>
      </c>
      <c r="AS22" s="2">
        <f>33-AS29</f>
        <v>31</v>
      </c>
      <c r="AT22" s="2">
        <v>34</v>
      </c>
      <c r="AU22" s="2">
        <v>38</v>
      </c>
      <c r="AV22" s="2">
        <v>42</v>
      </c>
      <c r="AW22" s="2">
        <v>63</v>
      </c>
      <c r="AX22" s="2">
        <v>40</v>
      </c>
      <c r="AY22" s="2">
        <v>66</v>
      </c>
      <c r="AZ22" s="2">
        <v>75</v>
      </c>
      <c r="BA22" s="2">
        <v>58</v>
      </c>
      <c r="BB22" s="2">
        <v>84</v>
      </c>
      <c r="BC22" s="8"/>
    </row>
    <row r="23" spans="1:55" ht="13.5" customHeight="1" x14ac:dyDescent="0.2">
      <c r="A23" s="7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2">
        <f t="shared" ref="W23:AA23" si="5">SUM(W18:W22)</f>
        <v>970</v>
      </c>
      <c r="X23" s="22">
        <f t="shared" si="5"/>
        <v>923</v>
      </c>
      <c r="Y23" s="22">
        <f t="shared" si="5"/>
        <v>856</v>
      </c>
      <c r="Z23" s="22">
        <f t="shared" si="5"/>
        <v>795</v>
      </c>
      <c r="AA23" s="22">
        <f t="shared" si="5"/>
        <v>718</v>
      </c>
      <c r="AB23" s="22">
        <f t="shared" ref="AB23:AP23" si="6">SUM(AB18:AB22)</f>
        <v>701</v>
      </c>
      <c r="AC23" s="22">
        <f t="shared" si="6"/>
        <v>751</v>
      </c>
      <c r="AD23" s="22">
        <f t="shared" si="6"/>
        <v>778</v>
      </c>
      <c r="AE23" s="22">
        <f t="shared" si="6"/>
        <v>702</v>
      </c>
      <c r="AF23" s="22">
        <f t="shared" si="6"/>
        <v>644</v>
      </c>
      <c r="AG23" s="22">
        <f t="shared" si="6"/>
        <v>754</v>
      </c>
      <c r="AH23" s="22">
        <f t="shared" si="6"/>
        <v>700</v>
      </c>
      <c r="AI23" s="22">
        <f t="shared" si="6"/>
        <v>659</v>
      </c>
      <c r="AJ23" s="22">
        <f t="shared" si="6"/>
        <v>663</v>
      </c>
      <c r="AK23" s="22">
        <f t="shared" si="6"/>
        <v>622</v>
      </c>
      <c r="AL23" s="22">
        <f t="shared" si="6"/>
        <v>742</v>
      </c>
      <c r="AM23" s="11">
        <f t="shared" si="6"/>
        <v>735</v>
      </c>
      <c r="AN23" s="22">
        <f t="shared" si="6"/>
        <v>884</v>
      </c>
      <c r="AO23" s="11">
        <f t="shared" si="6"/>
        <v>803</v>
      </c>
      <c r="AP23" s="22">
        <f t="shared" si="6"/>
        <v>779</v>
      </c>
      <c r="AQ23" s="11">
        <f t="shared" ref="AQ23:AW23" si="7">SUM(AQ17:AQ22)</f>
        <v>912</v>
      </c>
      <c r="AR23" s="11">
        <f t="shared" si="7"/>
        <v>1053</v>
      </c>
      <c r="AS23" s="11">
        <f t="shared" si="7"/>
        <v>1118</v>
      </c>
      <c r="AT23" s="11">
        <f t="shared" si="7"/>
        <v>1173</v>
      </c>
      <c r="AU23" s="11">
        <f t="shared" si="7"/>
        <v>1209</v>
      </c>
      <c r="AV23" s="11">
        <f t="shared" si="7"/>
        <v>1249</v>
      </c>
      <c r="AW23" s="11">
        <f t="shared" si="7"/>
        <v>1382</v>
      </c>
      <c r="AX23" s="11">
        <f t="shared" ref="AX23" si="8">SUM(AX17:AX22)</f>
        <v>1387</v>
      </c>
      <c r="AY23" s="11">
        <f t="shared" ref="AY23:AZ23" si="9">SUM(AY17:AY22)</f>
        <v>1639</v>
      </c>
      <c r="AZ23" s="11">
        <f t="shared" si="9"/>
        <v>1704</v>
      </c>
      <c r="BA23" s="11">
        <f t="shared" ref="BA23:BB23" si="10">SUM(BA17:BA22)</f>
        <v>1587</v>
      </c>
      <c r="BB23" s="11">
        <f t="shared" si="10"/>
        <v>1724</v>
      </c>
      <c r="BC23" s="8"/>
    </row>
    <row r="24" spans="1:55" ht="13.5" customHeight="1" x14ac:dyDescent="0.2">
      <c r="A24" s="7"/>
      <c r="B24" s="10" t="s">
        <v>93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2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8"/>
    </row>
    <row r="25" spans="1:55" ht="13.5" customHeight="1" x14ac:dyDescent="0.2">
      <c r="A25" s="7"/>
      <c r="B25" s="2"/>
      <c r="C25" s="3" t="s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109</v>
      </c>
      <c r="X25" s="3">
        <v>96</v>
      </c>
      <c r="Y25" s="3">
        <v>63</v>
      </c>
      <c r="Z25" s="3">
        <v>76</v>
      </c>
      <c r="AA25" s="3">
        <v>74</v>
      </c>
      <c r="AB25" s="3">
        <v>58</v>
      </c>
      <c r="AC25" s="3">
        <v>50</v>
      </c>
      <c r="AD25" s="3">
        <v>44</v>
      </c>
      <c r="AE25" s="3">
        <v>64</v>
      </c>
      <c r="AF25" s="3">
        <v>50</v>
      </c>
      <c r="AG25" s="3">
        <v>53</v>
      </c>
      <c r="AH25" s="3">
        <v>35</v>
      </c>
      <c r="AI25" s="3">
        <v>52</v>
      </c>
      <c r="AJ25" s="3">
        <v>48</v>
      </c>
      <c r="AK25" s="3">
        <v>52</v>
      </c>
      <c r="AL25" s="3">
        <v>46</v>
      </c>
      <c r="AM25" s="3">
        <v>54</v>
      </c>
      <c r="AN25" s="3">
        <v>70</v>
      </c>
      <c r="AO25" s="3">
        <v>46</v>
      </c>
      <c r="AP25" s="3">
        <v>47</v>
      </c>
      <c r="AQ25" s="3">
        <v>45</v>
      </c>
      <c r="AR25" s="3">
        <v>48</v>
      </c>
      <c r="AS25" s="3">
        <v>60</v>
      </c>
      <c r="AT25" s="3">
        <v>44</v>
      </c>
      <c r="AU25" s="3">
        <v>49</v>
      </c>
      <c r="AV25" s="3">
        <v>51</v>
      </c>
      <c r="AW25" s="3">
        <v>25</v>
      </c>
      <c r="AX25" s="3">
        <v>48</v>
      </c>
      <c r="AY25" s="3">
        <v>61</v>
      </c>
      <c r="AZ25" s="3">
        <v>61</v>
      </c>
      <c r="BA25" s="3">
        <v>91</v>
      </c>
      <c r="BB25" s="3">
        <v>73</v>
      </c>
      <c r="BC25" s="8"/>
    </row>
    <row r="26" spans="1:55" ht="13.5" customHeight="1" x14ac:dyDescent="0.2">
      <c r="A26" s="7"/>
      <c r="B26" s="2"/>
      <c r="C26" s="3" t="s">
        <v>9</v>
      </c>
      <c r="AC26" s="3"/>
      <c r="AD26" s="3"/>
      <c r="AE26" s="3"/>
      <c r="AF26" s="3"/>
      <c r="AG26" s="3"/>
      <c r="AH26" s="3"/>
      <c r="AI26" s="3"/>
      <c r="AJ26" s="3"/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3</v>
      </c>
      <c r="AR26" s="3">
        <v>4</v>
      </c>
      <c r="AS26" s="3">
        <v>1</v>
      </c>
      <c r="AT26" s="3">
        <v>51</v>
      </c>
      <c r="AU26" s="3">
        <v>57</v>
      </c>
      <c r="AV26" s="3">
        <v>152</v>
      </c>
      <c r="AW26" s="3">
        <v>210</v>
      </c>
      <c r="AX26" s="3">
        <v>91</v>
      </c>
      <c r="AY26" s="3">
        <v>63</v>
      </c>
      <c r="AZ26" s="3">
        <v>68</v>
      </c>
      <c r="BA26" s="3">
        <v>83</v>
      </c>
      <c r="BB26" s="3">
        <v>137</v>
      </c>
      <c r="BC26" s="8"/>
    </row>
    <row r="27" spans="1:55" ht="13.5" hidden="1" customHeight="1" x14ac:dyDescent="0.2">
      <c r="A27" s="7"/>
      <c r="B27" s="2"/>
      <c r="C27" s="3" t="s">
        <v>44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8"/>
    </row>
    <row r="28" spans="1:55" ht="13.5" customHeight="1" x14ac:dyDescent="0.2">
      <c r="A28" s="7"/>
      <c r="B28" s="2"/>
      <c r="C28" s="3" t="s">
        <v>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v>53</v>
      </c>
      <c r="X28" s="3">
        <v>58</v>
      </c>
      <c r="Y28" s="3">
        <v>61</v>
      </c>
      <c r="Z28" s="3">
        <v>55</v>
      </c>
      <c r="AA28" s="3">
        <v>59</v>
      </c>
      <c r="AB28" s="3">
        <v>85</v>
      </c>
      <c r="AC28" s="3">
        <v>95</v>
      </c>
      <c r="AD28" s="3">
        <v>99</v>
      </c>
      <c r="AE28" s="3">
        <v>106</v>
      </c>
      <c r="AF28" s="3">
        <v>139</v>
      </c>
      <c r="AG28" s="3">
        <v>163</v>
      </c>
      <c r="AH28" s="3">
        <v>160</v>
      </c>
      <c r="AI28" s="3">
        <v>144</v>
      </c>
      <c r="AJ28" s="3">
        <v>121</v>
      </c>
      <c r="AK28" s="3">
        <v>155</v>
      </c>
      <c r="AL28" s="3">
        <v>123</v>
      </c>
      <c r="AM28" s="3">
        <v>146</v>
      </c>
      <c r="AN28" s="3">
        <v>118</v>
      </c>
      <c r="AO28" s="3">
        <v>116</v>
      </c>
      <c r="AP28" s="3">
        <v>95</v>
      </c>
      <c r="AQ28" s="3">
        <v>66</v>
      </c>
      <c r="AR28" s="3">
        <v>74</v>
      </c>
      <c r="AS28" s="3">
        <v>74</v>
      </c>
      <c r="AT28" s="3">
        <v>101</v>
      </c>
      <c r="AU28" s="3">
        <v>105</v>
      </c>
      <c r="AV28" s="3">
        <v>135</v>
      </c>
      <c r="AW28" s="3">
        <v>153</v>
      </c>
      <c r="AX28" s="3">
        <v>131</v>
      </c>
      <c r="AY28" s="3">
        <v>136</v>
      </c>
      <c r="AZ28" s="3">
        <v>147</v>
      </c>
      <c r="BA28" s="3">
        <v>126</v>
      </c>
      <c r="BB28" s="3">
        <v>139</v>
      </c>
      <c r="BC28" s="8"/>
    </row>
    <row r="29" spans="1:55" ht="13.5" customHeight="1" x14ac:dyDescent="0.2">
      <c r="A29" s="7"/>
      <c r="B29" s="2"/>
      <c r="C29" s="3" t="s">
        <v>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3</v>
      </c>
      <c r="X29" s="3">
        <v>1</v>
      </c>
      <c r="Y29" s="3">
        <v>6</v>
      </c>
      <c r="Z29" s="3">
        <v>6</v>
      </c>
      <c r="AA29" s="3">
        <v>12</v>
      </c>
      <c r="AB29" s="3">
        <v>15</v>
      </c>
      <c r="AC29" s="3">
        <v>8</v>
      </c>
      <c r="AD29" s="3">
        <v>17</v>
      </c>
      <c r="AE29" s="3">
        <v>23</v>
      </c>
      <c r="AF29" s="3">
        <v>23</v>
      </c>
      <c r="AG29" s="3">
        <v>12</v>
      </c>
      <c r="AH29" s="3">
        <v>13</v>
      </c>
      <c r="AI29" s="3">
        <v>8</v>
      </c>
      <c r="AJ29" s="3">
        <v>5</v>
      </c>
      <c r="AK29" s="3">
        <v>2</v>
      </c>
      <c r="AL29" s="3">
        <v>4</v>
      </c>
      <c r="AM29" s="3">
        <v>7</v>
      </c>
      <c r="AN29" s="3">
        <v>7</v>
      </c>
      <c r="AO29" s="3">
        <v>6</v>
      </c>
      <c r="AP29" s="3">
        <v>4</v>
      </c>
      <c r="AQ29" s="3">
        <v>5</v>
      </c>
      <c r="AR29" s="3">
        <v>5</v>
      </c>
      <c r="AS29" s="3">
        <v>2</v>
      </c>
      <c r="AT29" s="3">
        <v>3</v>
      </c>
      <c r="AU29" s="3">
        <v>2</v>
      </c>
      <c r="AV29" s="3">
        <v>7</v>
      </c>
      <c r="AW29" s="3">
        <v>11</v>
      </c>
      <c r="AX29" s="3">
        <v>3</v>
      </c>
      <c r="AY29" s="3">
        <v>3</v>
      </c>
      <c r="AZ29" s="3">
        <v>1</v>
      </c>
      <c r="BA29" s="3">
        <v>1</v>
      </c>
      <c r="BB29" s="3">
        <v>1</v>
      </c>
      <c r="BC29" s="8"/>
    </row>
    <row r="30" spans="1:55" ht="13.5" customHeight="1" x14ac:dyDescent="0.2">
      <c r="A30" s="7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2">
        <f t="shared" ref="W30:AA30" si="11">SUM(W25:W29)</f>
        <v>165</v>
      </c>
      <c r="X30" s="22">
        <f t="shared" si="11"/>
        <v>155</v>
      </c>
      <c r="Y30" s="22">
        <f t="shared" si="11"/>
        <v>130</v>
      </c>
      <c r="Z30" s="22">
        <f t="shared" si="11"/>
        <v>137</v>
      </c>
      <c r="AA30" s="22">
        <f t="shared" si="11"/>
        <v>145</v>
      </c>
      <c r="AB30" s="22">
        <f t="shared" ref="AB30:AW30" si="12">SUM(AB25:AB29)</f>
        <v>158</v>
      </c>
      <c r="AC30" s="22">
        <f t="shared" si="12"/>
        <v>153</v>
      </c>
      <c r="AD30" s="22">
        <f t="shared" si="12"/>
        <v>160</v>
      </c>
      <c r="AE30" s="22">
        <f t="shared" si="12"/>
        <v>193</v>
      </c>
      <c r="AF30" s="22">
        <f t="shared" si="12"/>
        <v>212</v>
      </c>
      <c r="AG30" s="22">
        <f t="shared" si="12"/>
        <v>228</v>
      </c>
      <c r="AH30" s="22">
        <f t="shared" si="12"/>
        <v>208</v>
      </c>
      <c r="AI30" s="22">
        <f t="shared" si="12"/>
        <v>204</v>
      </c>
      <c r="AJ30" s="22">
        <f t="shared" si="12"/>
        <v>174</v>
      </c>
      <c r="AK30" s="22">
        <f t="shared" si="12"/>
        <v>209</v>
      </c>
      <c r="AL30" s="22">
        <f t="shared" si="12"/>
        <v>173</v>
      </c>
      <c r="AM30" s="11">
        <f t="shared" si="12"/>
        <v>207</v>
      </c>
      <c r="AN30" s="22">
        <f t="shared" si="12"/>
        <v>195</v>
      </c>
      <c r="AO30" s="11">
        <f t="shared" si="12"/>
        <v>168</v>
      </c>
      <c r="AP30" s="22">
        <f t="shared" si="12"/>
        <v>146</v>
      </c>
      <c r="AQ30" s="11">
        <f t="shared" si="12"/>
        <v>119</v>
      </c>
      <c r="AR30" s="11">
        <f t="shared" si="12"/>
        <v>131</v>
      </c>
      <c r="AS30" s="11">
        <f t="shared" si="12"/>
        <v>137</v>
      </c>
      <c r="AT30" s="11">
        <f t="shared" si="12"/>
        <v>199</v>
      </c>
      <c r="AU30" s="11">
        <f t="shared" si="12"/>
        <v>213</v>
      </c>
      <c r="AV30" s="11">
        <f t="shared" si="12"/>
        <v>345</v>
      </c>
      <c r="AW30" s="11">
        <f t="shared" si="12"/>
        <v>399</v>
      </c>
      <c r="AX30" s="11">
        <f t="shared" ref="AX30" si="13">SUM(AX25:AX29)</f>
        <v>273</v>
      </c>
      <c r="AY30" s="11">
        <f t="shared" ref="AY30:AZ30" si="14">SUM(AY25:AY29)</f>
        <v>263</v>
      </c>
      <c r="AZ30" s="11">
        <f t="shared" si="14"/>
        <v>277</v>
      </c>
      <c r="BA30" s="11">
        <f t="shared" ref="BA30:BB30" si="15">SUM(BA25:BA29)</f>
        <v>301</v>
      </c>
      <c r="BB30" s="11">
        <f t="shared" si="15"/>
        <v>350</v>
      </c>
      <c r="BC30" s="8"/>
    </row>
    <row r="31" spans="1:55" ht="13.5" customHeight="1" x14ac:dyDescent="0.2">
      <c r="A31" s="7"/>
      <c r="B31" s="10" t="s">
        <v>88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2"/>
      <c r="AN31" s="3"/>
      <c r="AO31" s="2"/>
      <c r="AP31" s="3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8"/>
    </row>
    <row r="32" spans="1:55" ht="13.5" customHeight="1" x14ac:dyDescent="0.2">
      <c r="A32" s="7"/>
      <c r="B32" s="10"/>
      <c r="C32" s="3" t="s">
        <v>10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2"/>
      <c r="AP32" s="3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>
        <v>1</v>
      </c>
      <c r="BC32" s="8"/>
    </row>
    <row r="33" spans="1:55" ht="13.5" customHeight="1" x14ac:dyDescent="0.2">
      <c r="A33" s="7"/>
      <c r="B33" s="2"/>
      <c r="C33" s="3" t="s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6</v>
      </c>
      <c r="X33" s="3">
        <v>5</v>
      </c>
      <c r="Y33" s="3">
        <v>4</v>
      </c>
      <c r="Z33" s="3">
        <v>6</v>
      </c>
      <c r="AA33" s="3">
        <v>6</v>
      </c>
      <c r="AB33" s="3">
        <v>9</v>
      </c>
      <c r="AC33" s="3">
        <v>4</v>
      </c>
      <c r="AD33" s="3">
        <v>15</v>
      </c>
      <c r="AE33" s="3">
        <v>8</v>
      </c>
      <c r="AF33" s="3">
        <v>6</v>
      </c>
      <c r="AG33" s="3">
        <v>8</v>
      </c>
      <c r="AH33" s="3">
        <v>5</v>
      </c>
      <c r="AI33" s="3">
        <v>11</v>
      </c>
      <c r="AJ33" s="3">
        <v>6</v>
      </c>
      <c r="AK33" s="3">
        <v>9</v>
      </c>
      <c r="AL33" s="3">
        <v>7</v>
      </c>
      <c r="AM33" s="2">
        <v>11</v>
      </c>
      <c r="AN33" s="3">
        <v>16</v>
      </c>
      <c r="AO33" s="2">
        <v>12</v>
      </c>
      <c r="AP33" s="3">
        <v>8</v>
      </c>
      <c r="AQ33" s="2">
        <v>13</v>
      </c>
      <c r="AR33" s="2">
        <v>6</v>
      </c>
      <c r="AS33" s="2">
        <v>10</v>
      </c>
      <c r="AT33" s="2">
        <v>10</v>
      </c>
      <c r="AU33" s="2">
        <v>6</v>
      </c>
      <c r="AV33" s="2">
        <v>8</v>
      </c>
      <c r="AW33" s="2">
        <v>14</v>
      </c>
      <c r="AX33" s="2">
        <v>12</v>
      </c>
      <c r="AY33" s="2">
        <v>13</v>
      </c>
      <c r="AZ33" s="2">
        <v>5</v>
      </c>
      <c r="BA33" s="2">
        <v>7</v>
      </c>
      <c r="BB33" s="2">
        <v>8</v>
      </c>
      <c r="BC33" s="8"/>
    </row>
    <row r="34" spans="1:55" ht="13.5" customHeight="1" x14ac:dyDescent="0.2">
      <c r="A34" s="7"/>
      <c r="B34" s="2"/>
      <c r="C34" s="3" t="s">
        <v>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2"/>
      <c r="AN34" s="3"/>
      <c r="AO34" s="2"/>
      <c r="AP34" s="3"/>
      <c r="AQ34" s="2"/>
      <c r="AR34" s="2"/>
      <c r="AS34" s="2"/>
      <c r="AT34" s="2"/>
      <c r="AU34" s="2"/>
      <c r="AV34" s="2"/>
      <c r="AW34" s="2">
        <v>0</v>
      </c>
      <c r="AX34" s="2">
        <v>2</v>
      </c>
      <c r="AY34" s="2">
        <v>1</v>
      </c>
      <c r="AZ34" s="2">
        <v>1</v>
      </c>
      <c r="BA34" s="2">
        <v>0</v>
      </c>
      <c r="BB34" s="2">
        <v>2</v>
      </c>
      <c r="BC34" s="8"/>
    </row>
    <row r="35" spans="1:55" ht="13.5" customHeight="1" x14ac:dyDescent="0.2">
      <c r="A35" s="7"/>
      <c r="B35" s="2"/>
      <c r="C35" s="3" t="s">
        <v>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2">
        <v>0</v>
      </c>
      <c r="AP35" s="3">
        <v>1</v>
      </c>
      <c r="AQ35" s="2">
        <v>1</v>
      </c>
      <c r="AR35" s="2">
        <v>4</v>
      </c>
      <c r="AS35" s="2">
        <v>4</v>
      </c>
      <c r="AT35" s="2">
        <v>3</v>
      </c>
      <c r="AU35" s="2">
        <v>1</v>
      </c>
      <c r="AV35" s="2">
        <v>6</v>
      </c>
      <c r="AW35" s="2">
        <v>6</v>
      </c>
      <c r="AX35" s="2">
        <v>6</v>
      </c>
      <c r="AY35" s="2">
        <v>2</v>
      </c>
      <c r="AZ35" s="2">
        <v>5</v>
      </c>
      <c r="BA35" s="2">
        <v>4</v>
      </c>
      <c r="BB35" s="2">
        <v>2</v>
      </c>
      <c r="BC35" s="8"/>
    </row>
    <row r="36" spans="1:55" ht="13.5" customHeight="1" x14ac:dyDescent="0.2">
      <c r="A36" s="7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2">
        <f t="shared" ref="W36:AA36" si="16">SUM(W31:W35)</f>
        <v>6</v>
      </c>
      <c r="X36" s="22">
        <f t="shared" si="16"/>
        <v>5</v>
      </c>
      <c r="Y36" s="22">
        <f t="shared" si="16"/>
        <v>4</v>
      </c>
      <c r="Z36" s="22">
        <f t="shared" si="16"/>
        <v>6</v>
      </c>
      <c r="AA36" s="22">
        <f t="shared" si="16"/>
        <v>6</v>
      </c>
      <c r="AB36" s="22">
        <f t="shared" ref="AB36:AD36" si="17">SUM(AB31:AB35)</f>
        <v>9</v>
      </c>
      <c r="AC36" s="22">
        <f t="shared" si="17"/>
        <v>4</v>
      </c>
      <c r="AD36" s="22">
        <f t="shared" si="17"/>
        <v>15</v>
      </c>
      <c r="AE36" s="22">
        <f t="shared" ref="AE36:AG36" si="18">SUM(AE31:AE35)</f>
        <v>8</v>
      </c>
      <c r="AF36" s="22">
        <f t="shared" si="18"/>
        <v>6</v>
      </c>
      <c r="AG36" s="22">
        <f t="shared" si="18"/>
        <v>8</v>
      </c>
      <c r="AH36" s="22">
        <f>SUM(AH31:AH35)</f>
        <v>5</v>
      </c>
      <c r="AI36" s="22">
        <f>SUM(AI31:AI35)</f>
        <v>11</v>
      </c>
      <c r="AJ36" s="22">
        <f>SUM(AJ31:AJ35)</f>
        <v>6</v>
      </c>
      <c r="AK36" s="22">
        <f>SUM(AK31:AK35)</f>
        <v>9</v>
      </c>
      <c r="AL36" s="22">
        <f t="shared" ref="AL36:AM36" si="19">AL33</f>
        <v>7</v>
      </c>
      <c r="AM36" s="11">
        <f t="shared" si="19"/>
        <v>11</v>
      </c>
      <c r="AN36" s="22">
        <f>AN33</f>
        <v>16</v>
      </c>
      <c r="AO36" s="11">
        <f t="shared" ref="AO36:AV36" si="20">SUM(AO33:AO35)</f>
        <v>12</v>
      </c>
      <c r="AP36" s="22">
        <f t="shared" si="20"/>
        <v>9</v>
      </c>
      <c r="AQ36" s="11">
        <f t="shared" si="20"/>
        <v>14</v>
      </c>
      <c r="AR36" s="11">
        <f t="shared" si="20"/>
        <v>10</v>
      </c>
      <c r="AS36" s="11">
        <f t="shared" si="20"/>
        <v>14</v>
      </c>
      <c r="AT36" s="11">
        <f t="shared" si="20"/>
        <v>13</v>
      </c>
      <c r="AU36" s="11">
        <f t="shared" si="20"/>
        <v>7</v>
      </c>
      <c r="AV36" s="11">
        <f t="shared" si="20"/>
        <v>14</v>
      </c>
      <c r="AW36" s="11">
        <f>SUM(AW33:AW35)</f>
        <v>20</v>
      </c>
      <c r="AX36" s="11">
        <f>SUM(AX33:AX35)</f>
        <v>20</v>
      </c>
      <c r="AY36" s="11">
        <f>SUM(AY33:AY35)</f>
        <v>16</v>
      </c>
      <c r="AZ36" s="11">
        <f>SUM(AZ33:AZ35)</f>
        <v>11</v>
      </c>
      <c r="BA36" s="11">
        <f>SUM(BA33:BA35)</f>
        <v>11</v>
      </c>
      <c r="BB36" s="11">
        <f>SUM(BB32:BB35)</f>
        <v>13</v>
      </c>
      <c r="BC36" s="8"/>
    </row>
    <row r="37" spans="1:55" ht="13.5" customHeight="1" x14ac:dyDescent="0.2">
      <c r="A37" s="7"/>
      <c r="B37" s="10" t="s">
        <v>91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2"/>
      <c r="AN37" s="3"/>
      <c r="AO37" s="2"/>
      <c r="AP37" s="3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8"/>
    </row>
    <row r="38" spans="1:55" ht="13.5" customHeight="1" x14ac:dyDescent="0.2">
      <c r="A38" s="7"/>
      <c r="B38" s="2"/>
      <c r="C38" s="3" t="s"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"/>
      <c r="AN38" s="3"/>
      <c r="AO38" s="2"/>
      <c r="AP38" s="3"/>
      <c r="AQ38" s="2"/>
      <c r="AR38" s="2"/>
      <c r="AS38" s="2"/>
      <c r="AT38" s="2"/>
      <c r="AU38" s="2"/>
      <c r="AV38" s="2"/>
      <c r="AW38" s="2"/>
      <c r="AX38" s="2">
        <v>1</v>
      </c>
      <c r="AY38" s="2">
        <v>1</v>
      </c>
      <c r="AZ38" s="2">
        <v>2</v>
      </c>
      <c r="BA38" s="2">
        <v>10</v>
      </c>
      <c r="BB38" s="2">
        <v>7</v>
      </c>
      <c r="BC38" s="8"/>
    </row>
    <row r="39" spans="1:55" ht="13.5" customHeight="1" x14ac:dyDescent="0.2">
      <c r="A39" s="7"/>
      <c r="B39" s="10" t="s">
        <v>89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"/>
      <c r="AN39" s="3"/>
      <c r="AO39" s="2"/>
      <c r="AP39" s="3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8"/>
    </row>
    <row r="40" spans="1:55" ht="13.5" customHeight="1" x14ac:dyDescent="0.2">
      <c r="A40" s="7"/>
      <c r="B40" s="2"/>
      <c r="C40" s="3" t="s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10</v>
      </c>
      <c r="X40" s="3">
        <v>6</v>
      </c>
      <c r="Y40" s="3">
        <v>8</v>
      </c>
      <c r="Z40" s="3">
        <v>10</v>
      </c>
      <c r="AA40" s="3">
        <v>6</v>
      </c>
      <c r="AB40" s="3">
        <v>9</v>
      </c>
      <c r="AC40" s="3">
        <v>8</v>
      </c>
      <c r="AD40" s="3">
        <v>13</v>
      </c>
      <c r="AE40" s="3">
        <v>15</v>
      </c>
      <c r="AF40" s="3">
        <v>16</v>
      </c>
      <c r="AG40" s="3">
        <v>17</v>
      </c>
      <c r="AH40" s="3">
        <v>13</v>
      </c>
      <c r="AI40" s="3">
        <v>20</v>
      </c>
      <c r="AJ40" s="3">
        <v>21</v>
      </c>
      <c r="AK40" s="3">
        <v>15</v>
      </c>
      <c r="AL40" s="3">
        <v>14</v>
      </c>
      <c r="AM40" s="2">
        <v>19</v>
      </c>
      <c r="AN40" s="3">
        <v>19</v>
      </c>
      <c r="AO40" s="2">
        <v>17</v>
      </c>
      <c r="AP40" s="3">
        <v>23</v>
      </c>
      <c r="AQ40" s="2">
        <v>36</v>
      </c>
      <c r="AR40" s="2">
        <v>26</v>
      </c>
      <c r="AS40" s="2">
        <v>36</v>
      </c>
      <c r="AT40" s="2">
        <v>27</v>
      </c>
      <c r="AU40" s="2">
        <v>36</v>
      </c>
      <c r="AV40" s="2">
        <v>36</v>
      </c>
      <c r="AW40" s="2">
        <v>43</v>
      </c>
      <c r="AX40" s="2">
        <v>40</v>
      </c>
      <c r="AY40" s="2">
        <v>66</v>
      </c>
      <c r="AZ40" s="2">
        <v>50</v>
      </c>
      <c r="BA40" s="2">
        <v>45</v>
      </c>
      <c r="BB40" s="2">
        <v>51</v>
      </c>
      <c r="BC40" s="8"/>
    </row>
    <row r="41" spans="1:55" ht="13.5" customHeight="1" x14ac:dyDescent="0.2">
      <c r="A41" s="7"/>
      <c r="B41" s="2"/>
      <c r="C41" s="3" t="s">
        <v>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"/>
      <c r="AN41" s="3"/>
      <c r="AO41" s="2">
        <v>7</v>
      </c>
      <c r="AP41" s="3">
        <v>6</v>
      </c>
      <c r="AQ41" s="2">
        <v>8</v>
      </c>
      <c r="AR41" s="2">
        <v>7</v>
      </c>
      <c r="AS41" s="2">
        <v>3</v>
      </c>
      <c r="AT41" s="2">
        <v>6</v>
      </c>
      <c r="AU41" s="2">
        <v>7</v>
      </c>
      <c r="AV41" s="2">
        <v>6</v>
      </c>
      <c r="AW41" s="2">
        <v>5</v>
      </c>
      <c r="AX41" s="2">
        <v>7</v>
      </c>
      <c r="AY41" s="2">
        <v>2</v>
      </c>
      <c r="AZ41" s="2">
        <v>4</v>
      </c>
      <c r="BA41" s="2">
        <v>1</v>
      </c>
      <c r="BB41" s="2">
        <v>3</v>
      </c>
      <c r="BC41" s="8"/>
    </row>
    <row r="42" spans="1:55" ht="13.5" customHeight="1" x14ac:dyDescent="0.2">
      <c r="A42" s="7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2">
        <f t="shared" ref="W42:AA42" si="21">W40</f>
        <v>10</v>
      </c>
      <c r="X42" s="22">
        <f t="shared" si="21"/>
        <v>6</v>
      </c>
      <c r="Y42" s="22">
        <f t="shared" si="21"/>
        <v>8</v>
      </c>
      <c r="Z42" s="22">
        <f t="shared" si="21"/>
        <v>10</v>
      </c>
      <c r="AA42" s="22">
        <f t="shared" si="21"/>
        <v>6</v>
      </c>
      <c r="AB42" s="22">
        <f t="shared" ref="AB42:AD42" si="22">AB40</f>
        <v>9</v>
      </c>
      <c r="AC42" s="22">
        <f t="shared" si="22"/>
        <v>8</v>
      </c>
      <c r="AD42" s="22">
        <f t="shared" si="22"/>
        <v>13</v>
      </c>
      <c r="AE42" s="22">
        <f t="shared" ref="AE42:AG42" si="23">AE40</f>
        <v>15</v>
      </c>
      <c r="AF42" s="22">
        <f t="shared" si="23"/>
        <v>16</v>
      </c>
      <c r="AG42" s="22">
        <f t="shared" si="23"/>
        <v>17</v>
      </c>
      <c r="AH42" s="22">
        <f>AH40</f>
        <v>13</v>
      </c>
      <c r="AI42" s="22">
        <f t="shared" ref="AI42:AJ42" si="24">AI40</f>
        <v>20</v>
      </c>
      <c r="AJ42" s="22">
        <f t="shared" si="24"/>
        <v>21</v>
      </c>
      <c r="AK42" s="22">
        <f t="shared" ref="AK42:AM42" si="25">AK40</f>
        <v>15</v>
      </c>
      <c r="AL42" s="22">
        <f t="shared" si="25"/>
        <v>14</v>
      </c>
      <c r="AM42" s="11">
        <f t="shared" si="25"/>
        <v>19</v>
      </c>
      <c r="AN42" s="22">
        <f>AN40</f>
        <v>19</v>
      </c>
      <c r="AO42" s="11">
        <f t="shared" ref="AO42:AW42" si="26">SUM(AO40:AO41)</f>
        <v>24</v>
      </c>
      <c r="AP42" s="22">
        <f t="shared" si="26"/>
        <v>29</v>
      </c>
      <c r="AQ42" s="11">
        <f t="shared" si="26"/>
        <v>44</v>
      </c>
      <c r="AR42" s="11">
        <f t="shared" si="26"/>
        <v>33</v>
      </c>
      <c r="AS42" s="11">
        <f t="shared" si="26"/>
        <v>39</v>
      </c>
      <c r="AT42" s="11">
        <f t="shared" si="26"/>
        <v>33</v>
      </c>
      <c r="AU42" s="11">
        <f t="shared" si="26"/>
        <v>43</v>
      </c>
      <c r="AV42" s="11">
        <f t="shared" si="26"/>
        <v>42</v>
      </c>
      <c r="AW42" s="11">
        <f t="shared" si="26"/>
        <v>48</v>
      </c>
      <c r="AX42" s="11">
        <f t="shared" ref="AX42" si="27">SUM(AX40:AX41)</f>
        <v>47</v>
      </c>
      <c r="AY42" s="11">
        <f t="shared" ref="AY42:AZ42" si="28">SUM(AY40:AY41)</f>
        <v>68</v>
      </c>
      <c r="AZ42" s="11">
        <f t="shared" si="28"/>
        <v>54</v>
      </c>
      <c r="BA42" s="11">
        <f t="shared" ref="BA42:BB42" si="29">SUM(BA40:BA41)</f>
        <v>46</v>
      </c>
      <c r="BB42" s="11">
        <f t="shared" si="29"/>
        <v>54</v>
      </c>
      <c r="BC42" s="8"/>
    </row>
    <row r="43" spans="1:55" ht="13.5" customHeight="1" x14ac:dyDescent="0.2">
      <c r="A43" s="7"/>
      <c r="B43" s="10" t="s">
        <v>85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2"/>
      <c r="AN43" s="3"/>
      <c r="AO43" s="2"/>
      <c r="AP43" s="3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8"/>
    </row>
    <row r="44" spans="1:55" ht="13.5" customHeight="1" x14ac:dyDescent="0.2">
      <c r="A44" s="7"/>
      <c r="B44" s="2"/>
      <c r="C44" s="3" t="s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8</v>
      </c>
      <c r="X44" s="3">
        <v>6</v>
      </c>
      <c r="Y44" s="3">
        <v>14</v>
      </c>
      <c r="Z44" s="3">
        <v>10</v>
      </c>
      <c r="AA44" s="3">
        <v>7</v>
      </c>
      <c r="AB44" s="3">
        <v>11</v>
      </c>
      <c r="AC44" s="3">
        <v>12</v>
      </c>
      <c r="AD44" s="3">
        <v>7</v>
      </c>
      <c r="AE44" s="3">
        <v>13</v>
      </c>
      <c r="AF44" s="3">
        <v>15</v>
      </c>
      <c r="AG44" s="3">
        <v>15</v>
      </c>
      <c r="AH44" s="3">
        <v>11</v>
      </c>
      <c r="AI44" s="3">
        <v>10</v>
      </c>
      <c r="AJ44" s="3">
        <v>15</v>
      </c>
      <c r="AK44" s="3">
        <v>9</v>
      </c>
      <c r="AL44" s="3">
        <v>8</v>
      </c>
      <c r="AM44" s="2">
        <v>12</v>
      </c>
      <c r="AN44" s="3">
        <v>15</v>
      </c>
      <c r="AO44" s="2">
        <v>12</v>
      </c>
      <c r="AP44" s="3">
        <v>17</v>
      </c>
      <c r="AQ44" s="2">
        <v>12</v>
      </c>
      <c r="AR44" s="2">
        <v>19</v>
      </c>
      <c r="AS44" s="2">
        <v>15</v>
      </c>
      <c r="AT44" s="2">
        <v>18</v>
      </c>
      <c r="AU44" s="2">
        <v>12</v>
      </c>
      <c r="AV44" s="2">
        <v>16</v>
      </c>
      <c r="AW44" s="2">
        <v>18</v>
      </c>
      <c r="AX44" s="2">
        <v>13</v>
      </c>
      <c r="AY44" s="2">
        <v>18</v>
      </c>
      <c r="AZ44" s="2">
        <v>12</v>
      </c>
      <c r="BA44" s="2">
        <v>16</v>
      </c>
      <c r="BB44" s="2">
        <v>15</v>
      </c>
      <c r="BC44" s="8"/>
    </row>
    <row r="45" spans="1:55" ht="13.5" customHeight="1" x14ac:dyDescent="0.2">
      <c r="A45" s="7"/>
      <c r="B45" s="2"/>
      <c r="C45" s="3" t="s">
        <v>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2"/>
      <c r="AN45" s="3"/>
      <c r="AO45" s="2"/>
      <c r="AP45" s="3"/>
      <c r="AQ45" s="2">
        <v>1</v>
      </c>
      <c r="AR45" s="2">
        <v>2</v>
      </c>
      <c r="AS45" s="2">
        <v>1</v>
      </c>
      <c r="AT45" s="2">
        <v>2</v>
      </c>
      <c r="AU45" s="2">
        <v>1</v>
      </c>
      <c r="AV45" s="2">
        <v>1</v>
      </c>
      <c r="AW45" s="2">
        <v>1</v>
      </c>
      <c r="AX45" s="2">
        <v>3</v>
      </c>
      <c r="AY45" s="2">
        <v>2</v>
      </c>
      <c r="AZ45" s="2">
        <v>2</v>
      </c>
      <c r="BA45" s="2">
        <v>1</v>
      </c>
      <c r="BB45" s="2">
        <v>1</v>
      </c>
      <c r="BC45" s="8"/>
    </row>
    <row r="46" spans="1:55" ht="13.5" customHeight="1" x14ac:dyDescent="0.2">
      <c r="A46" s="7"/>
      <c r="B46" s="2"/>
      <c r="C46" s="3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9</v>
      </c>
      <c r="X46" s="3">
        <v>8</v>
      </c>
      <c r="Y46" s="3">
        <v>6</v>
      </c>
      <c r="Z46" s="3">
        <v>5</v>
      </c>
      <c r="AA46" s="3">
        <v>7</v>
      </c>
      <c r="AB46" s="3">
        <v>3</v>
      </c>
      <c r="AC46" s="3">
        <v>6</v>
      </c>
      <c r="AD46" s="3">
        <v>14</v>
      </c>
      <c r="AE46" s="3">
        <v>5</v>
      </c>
      <c r="AF46" s="3">
        <v>7</v>
      </c>
      <c r="AG46" s="3">
        <v>5</v>
      </c>
      <c r="AH46" s="3">
        <v>10</v>
      </c>
      <c r="AI46" s="3">
        <v>6</v>
      </c>
      <c r="AJ46" s="3">
        <v>4</v>
      </c>
      <c r="AK46" s="3">
        <v>4</v>
      </c>
      <c r="AL46" s="3">
        <v>4</v>
      </c>
      <c r="AM46" s="2">
        <v>12</v>
      </c>
      <c r="AN46" s="3">
        <v>7</v>
      </c>
      <c r="AO46" s="2">
        <v>4</v>
      </c>
      <c r="AP46" s="3">
        <v>5</v>
      </c>
      <c r="AQ46" s="2">
        <v>5</v>
      </c>
      <c r="AR46" s="2">
        <v>7</v>
      </c>
      <c r="AS46" s="2">
        <v>8</v>
      </c>
      <c r="AT46" s="2">
        <v>2</v>
      </c>
      <c r="AU46" s="2">
        <v>12</v>
      </c>
      <c r="AV46" s="2">
        <v>8</v>
      </c>
      <c r="AW46" s="2">
        <v>8</v>
      </c>
      <c r="AX46" s="2">
        <v>10</v>
      </c>
      <c r="AY46" s="2">
        <v>18</v>
      </c>
      <c r="AZ46" s="2">
        <v>5</v>
      </c>
      <c r="BA46" s="2">
        <v>7</v>
      </c>
      <c r="BB46" s="2">
        <v>11</v>
      </c>
      <c r="BC46" s="8"/>
    </row>
    <row r="47" spans="1:55" ht="13.5" customHeight="1" x14ac:dyDescent="0.2">
      <c r="A47" s="7"/>
      <c r="B47" s="2"/>
      <c r="C47" s="3" t="s">
        <v>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2</v>
      </c>
      <c r="X47" s="3">
        <v>0</v>
      </c>
      <c r="Y47" s="3">
        <v>1</v>
      </c>
      <c r="Z47" s="3">
        <v>2</v>
      </c>
      <c r="AA47" s="3">
        <v>0</v>
      </c>
      <c r="AB47" s="3">
        <v>2</v>
      </c>
      <c r="AC47" s="3">
        <v>1</v>
      </c>
      <c r="AD47" s="3">
        <v>1</v>
      </c>
      <c r="AE47" s="3">
        <v>0</v>
      </c>
      <c r="AF47" s="3">
        <v>0</v>
      </c>
      <c r="AG47" s="3">
        <v>0</v>
      </c>
      <c r="AH47" s="3">
        <v>4</v>
      </c>
      <c r="AI47" s="3">
        <v>2</v>
      </c>
      <c r="AJ47" s="3">
        <v>0</v>
      </c>
      <c r="AK47" s="3">
        <v>2</v>
      </c>
      <c r="AL47" s="3">
        <v>2</v>
      </c>
      <c r="AM47" s="2">
        <v>2</v>
      </c>
      <c r="AN47" s="3">
        <v>1</v>
      </c>
      <c r="AO47" s="2">
        <v>1</v>
      </c>
      <c r="AP47" s="3">
        <v>2</v>
      </c>
      <c r="AQ47" s="2">
        <v>3</v>
      </c>
      <c r="AR47" s="2">
        <v>2</v>
      </c>
      <c r="AS47" s="2">
        <v>3</v>
      </c>
      <c r="AT47" s="2">
        <v>1</v>
      </c>
      <c r="AU47" s="2">
        <v>0</v>
      </c>
      <c r="AV47" s="2">
        <v>4</v>
      </c>
      <c r="AW47" s="2">
        <v>4</v>
      </c>
      <c r="AX47" s="2">
        <v>1</v>
      </c>
      <c r="AY47" s="2">
        <v>5</v>
      </c>
      <c r="AZ47" s="2">
        <v>7</v>
      </c>
      <c r="BA47" s="2">
        <v>2</v>
      </c>
      <c r="BB47" s="2">
        <v>11</v>
      </c>
      <c r="BC47" s="8"/>
    </row>
    <row r="48" spans="1:55" ht="13.5" customHeight="1" x14ac:dyDescent="0.2">
      <c r="A48" s="7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2">
        <f t="shared" ref="W48:AA48" si="30">SUM(W44:W47)</f>
        <v>19</v>
      </c>
      <c r="X48" s="22">
        <f t="shared" si="30"/>
        <v>14</v>
      </c>
      <c r="Y48" s="22">
        <f t="shared" si="30"/>
        <v>21</v>
      </c>
      <c r="Z48" s="22">
        <f t="shared" si="30"/>
        <v>17</v>
      </c>
      <c r="AA48" s="22">
        <f t="shared" si="30"/>
        <v>14</v>
      </c>
      <c r="AB48" s="22">
        <f t="shared" ref="AB48:AD48" si="31">SUM(AB44:AB47)</f>
        <v>16</v>
      </c>
      <c r="AC48" s="22">
        <f t="shared" si="31"/>
        <v>19</v>
      </c>
      <c r="AD48" s="22">
        <f t="shared" si="31"/>
        <v>22</v>
      </c>
      <c r="AE48" s="22">
        <f t="shared" ref="AE48:AG48" si="32">SUM(AE44:AE47)</f>
        <v>18</v>
      </c>
      <c r="AF48" s="22">
        <f t="shared" si="32"/>
        <v>22</v>
      </c>
      <c r="AG48" s="22">
        <f t="shared" si="32"/>
        <v>20</v>
      </c>
      <c r="AH48" s="22">
        <f>SUM(AH44:AH47)</f>
        <v>25</v>
      </c>
      <c r="AI48" s="22">
        <f t="shared" ref="AI48:AJ48" si="33">SUM(AI44:AI47)</f>
        <v>18</v>
      </c>
      <c r="AJ48" s="22">
        <f t="shared" si="33"/>
        <v>19</v>
      </c>
      <c r="AK48" s="22">
        <f t="shared" ref="AK48:AV48" si="34">SUM(AK44:AK47)</f>
        <v>15</v>
      </c>
      <c r="AL48" s="22">
        <f t="shared" si="34"/>
        <v>14</v>
      </c>
      <c r="AM48" s="11">
        <f t="shared" si="34"/>
        <v>26</v>
      </c>
      <c r="AN48" s="22">
        <f t="shared" si="34"/>
        <v>23</v>
      </c>
      <c r="AO48" s="11">
        <f t="shared" si="34"/>
        <v>17</v>
      </c>
      <c r="AP48" s="22">
        <f t="shared" si="34"/>
        <v>24</v>
      </c>
      <c r="AQ48" s="11">
        <f t="shared" si="34"/>
        <v>21</v>
      </c>
      <c r="AR48" s="11">
        <f t="shared" si="34"/>
        <v>30</v>
      </c>
      <c r="AS48" s="11">
        <f t="shared" si="34"/>
        <v>27</v>
      </c>
      <c r="AT48" s="11">
        <f t="shared" si="34"/>
        <v>23</v>
      </c>
      <c r="AU48" s="11">
        <f t="shared" si="34"/>
        <v>25</v>
      </c>
      <c r="AV48" s="11">
        <f t="shared" si="34"/>
        <v>29</v>
      </c>
      <c r="AW48" s="11">
        <f t="shared" ref="AW48:BB48" si="35">SUM(AW44:AW47)</f>
        <v>31</v>
      </c>
      <c r="AX48" s="11">
        <f t="shared" si="35"/>
        <v>27</v>
      </c>
      <c r="AY48" s="11">
        <f t="shared" si="35"/>
        <v>43</v>
      </c>
      <c r="AZ48" s="11">
        <f t="shared" si="35"/>
        <v>26</v>
      </c>
      <c r="BA48" s="11">
        <f t="shared" si="35"/>
        <v>26</v>
      </c>
      <c r="BB48" s="11">
        <f t="shared" si="35"/>
        <v>38</v>
      </c>
      <c r="BC48" s="8"/>
    </row>
    <row r="49" spans="1:55" ht="13.5" customHeight="1" x14ac:dyDescent="0.2">
      <c r="A49" s="7"/>
      <c r="B49" s="10" t="s">
        <v>84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2"/>
      <c r="AN49" s="3"/>
      <c r="AO49" s="2"/>
      <c r="AP49" s="3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8"/>
    </row>
    <row r="50" spans="1:55" ht="13.5" customHeight="1" x14ac:dyDescent="0.2">
      <c r="A50" s="7"/>
      <c r="B50" s="2"/>
      <c r="C50" s="3" t="s">
        <v>9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2"/>
      <c r="AN50" s="3"/>
      <c r="AO50" s="2">
        <v>0</v>
      </c>
      <c r="AP50" s="3">
        <v>0</v>
      </c>
      <c r="AQ50" s="2">
        <v>0</v>
      </c>
      <c r="AR50" s="2">
        <v>0</v>
      </c>
      <c r="AS50" s="2">
        <v>0</v>
      </c>
      <c r="AT50" s="2">
        <v>1</v>
      </c>
      <c r="AU50" s="2">
        <v>0</v>
      </c>
      <c r="AV50" s="2">
        <v>0</v>
      </c>
      <c r="AW50" s="2">
        <v>10</v>
      </c>
      <c r="AX50" s="2"/>
      <c r="AY50" s="2"/>
      <c r="AZ50" s="2"/>
      <c r="BA50" s="2"/>
      <c r="BB50" s="2"/>
      <c r="BC50" s="8"/>
    </row>
    <row r="51" spans="1:55" ht="13.5" customHeight="1" x14ac:dyDescent="0.2">
      <c r="A51" s="7"/>
      <c r="B51" s="10" t="s">
        <v>82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2"/>
      <c r="AN51" s="3"/>
      <c r="AO51" s="2"/>
      <c r="AP51" s="3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8"/>
    </row>
    <row r="52" spans="1:55" ht="13.5" customHeight="1" x14ac:dyDescent="0.2">
      <c r="A52" s="7"/>
      <c r="B52" s="2"/>
      <c r="C52" s="3" t="s"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2</v>
      </c>
      <c r="AE52" s="3">
        <v>1</v>
      </c>
      <c r="AF52" s="3">
        <v>0</v>
      </c>
      <c r="AG52" s="3">
        <v>0</v>
      </c>
      <c r="AH52" s="3">
        <v>0</v>
      </c>
      <c r="AI52" s="3">
        <v>0</v>
      </c>
      <c r="AJ52" s="3">
        <v>1</v>
      </c>
      <c r="AK52" s="3">
        <v>1</v>
      </c>
      <c r="AL52" s="3">
        <v>0</v>
      </c>
      <c r="AM52" s="2">
        <v>2</v>
      </c>
      <c r="AN52" s="3">
        <v>1</v>
      </c>
      <c r="AO52" s="2">
        <v>0</v>
      </c>
      <c r="AP52" s="3">
        <v>0</v>
      </c>
      <c r="AQ52" s="2">
        <v>0</v>
      </c>
      <c r="AR52" s="2">
        <v>1</v>
      </c>
      <c r="AS52" s="2">
        <v>1</v>
      </c>
      <c r="AT52" s="2">
        <v>2</v>
      </c>
      <c r="AU52" s="2">
        <v>1</v>
      </c>
      <c r="AV52" s="2">
        <v>0</v>
      </c>
      <c r="AW52" s="2">
        <v>2</v>
      </c>
      <c r="AX52" s="2">
        <v>2</v>
      </c>
      <c r="AY52" s="2">
        <v>7</v>
      </c>
      <c r="AZ52" s="2">
        <v>4</v>
      </c>
      <c r="BA52" s="2">
        <v>3</v>
      </c>
      <c r="BB52" s="2">
        <v>2</v>
      </c>
      <c r="BC52" s="8"/>
    </row>
    <row r="53" spans="1:55" ht="13.5" customHeight="1" x14ac:dyDescent="0.2">
      <c r="A53" s="7"/>
      <c r="B53" s="10" t="s">
        <v>81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2"/>
      <c r="AN53" s="3"/>
      <c r="AO53" s="2"/>
      <c r="AP53" s="3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8"/>
    </row>
    <row r="54" spans="1:55" ht="13.5" customHeight="1" x14ac:dyDescent="0.2">
      <c r="A54" s="7"/>
      <c r="B54" s="2"/>
      <c r="C54" s="2" t="s"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v>21</v>
      </c>
      <c r="X54" s="3">
        <v>24</v>
      </c>
      <c r="Y54" s="3">
        <v>21</v>
      </c>
      <c r="Z54" s="3">
        <v>17</v>
      </c>
      <c r="AA54" s="3">
        <v>11</v>
      </c>
      <c r="AB54" s="3">
        <v>24</v>
      </c>
      <c r="AC54" s="3">
        <v>36</v>
      </c>
      <c r="AD54" s="3">
        <v>30</v>
      </c>
      <c r="AE54" s="3">
        <v>39</v>
      </c>
      <c r="AF54" s="3">
        <v>33</v>
      </c>
      <c r="AG54" s="3">
        <v>45</v>
      </c>
      <c r="AH54" s="3">
        <v>27</v>
      </c>
      <c r="AI54" s="3">
        <v>43</v>
      </c>
      <c r="AJ54" s="3">
        <v>36</v>
      </c>
      <c r="AK54" s="3">
        <v>41</v>
      </c>
      <c r="AL54" s="3">
        <v>22</v>
      </c>
      <c r="AM54" s="2">
        <v>37</v>
      </c>
      <c r="AN54" s="3">
        <v>27</v>
      </c>
      <c r="AO54" s="2">
        <v>26</v>
      </c>
      <c r="AP54" s="3">
        <v>34</v>
      </c>
      <c r="AQ54" s="2">
        <v>35</v>
      </c>
      <c r="AR54" s="2">
        <v>33</v>
      </c>
      <c r="AS54" s="2">
        <v>31</v>
      </c>
      <c r="AT54" s="2">
        <v>27</v>
      </c>
      <c r="AU54" s="2">
        <v>32</v>
      </c>
      <c r="AV54" s="2">
        <v>52</v>
      </c>
      <c r="AW54" s="2">
        <v>46</v>
      </c>
      <c r="AX54" s="2">
        <v>69</v>
      </c>
      <c r="AY54" s="2">
        <v>52</v>
      </c>
      <c r="AZ54" s="2">
        <v>68</v>
      </c>
      <c r="BA54" s="2">
        <v>48</v>
      </c>
      <c r="BB54" s="2">
        <v>62</v>
      </c>
      <c r="BC54" s="8"/>
    </row>
    <row r="55" spans="1:55" ht="13.5" customHeight="1" x14ac:dyDescent="0.2">
      <c r="A55" s="7"/>
      <c r="B55" s="2"/>
      <c r="C55" s="2" t="s">
        <v>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16</v>
      </c>
      <c r="X55" s="3">
        <v>16</v>
      </c>
      <c r="Y55" s="3">
        <v>12</v>
      </c>
      <c r="Z55" s="3">
        <v>12</v>
      </c>
      <c r="AA55" s="3">
        <v>6</v>
      </c>
      <c r="AB55" s="3">
        <v>10</v>
      </c>
      <c r="AC55" s="3">
        <v>14</v>
      </c>
      <c r="AD55" s="3">
        <v>14</v>
      </c>
      <c r="AE55" s="3">
        <v>17</v>
      </c>
      <c r="AF55" s="3">
        <v>21</v>
      </c>
      <c r="AG55" s="3">
        <v>13</v>
      </c>
      <c r="AH55" s="3">
        <v>9</v>
      </c>
      <c r="AI55" s="3">
        <v>15</v>
      </c>
      <c r="AJ55" s="3">
        <v>19</v>
      </c>
      <c r="AK55" s="3">
        <v>28</v>
      </c>
      <c r="AL55" s="3">
        <v>27</v>
      </c>
      <c r="AM55" s="2">
        <v>19</v>
      </c>
      <c r="AN55" s="3">
        <v>31</v>
      </c>
      <c r="AO55" s="2">
        <v>31</v>
      </c>
      <c r="AP55" s="3">
        <v>29</v>
      </c>
      <c r="AQ55" s="2">
        <v>25</v>
      </c>
      <c r="AR55" s="2">
        <v>9</v>
      </c>
      <c r="AS55" s="2">
        <v>14</v>
      </c>
      <c r="AT55" s="2">
        <v>6</v>
      </c>
      <c r="AU55" s="2">
        <v>10</v>
      </c>
      <c r="AV55" s="2">
        <v>18</v>
      </c>
      <c r="AW55" s="2">
        <v>15</v>
      </c>
      <c r="AX55" s="2">
        <v>24</v>
      </c>
      <c r="AY55" s="2">
        <v>25</v>
      </c>
      <c r="AZ55" s="2">
        <v>27</v>
      </c>
      <c r="BA55" s="2">
        <v>23</v>
      </c>
      <c r="BB55" s="2">
        <v>17</v>
      </c>
      <c r="BC55" s="8"/>
    </row>
    <row r="56" spans="1:55" ht="13.5" customHeight="1" x14ac:dyDescent="0.2">
      <c r="A56" s="7"/>
      <c r="B56" s="2"/>
      <c r="C56" s="2" t="s">
        <v>7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>
        <v>8</v>
      </c>
      <c r="X56" s="3">
        <v>6</v>
      </c>
      <c r="Y56" s="3">
        <v>8</v>
      </c>
      <c r="Z56" s="3">
        <v>14</v>
      </c>
      <c r="AA56" s="3">
        <v>14</v>
      </c>
      <c r="AB56" s="3">
        <v>7</v>
      </c>
      <c r="AC56" s="3">
        <v>10</v>
      </c>
      <c r="AD56" s="3">
        <v>18</v>
      </c>
      <c r="AE56" s="3">
        <v>7</v>
      </c>
      <c r="AF56" s="3">
        <v>17</v>
      </c>
      <c r="AG56" s="3">
        <v>13</v>
      </c>
      <c r="AH56" s="3">
        <v>15</v>
      </c>
      <c r="AI56" s="3">
        <v>11</v>
      </c>
      <c r="AJ56" s="3">
        <v>19</v>
      </c>
      <c r="AK56" s="3">
        <v>9</v>
      </c>
      <c r="AL56" s="3">
        <v>14</v>
      </c>
      <c r="AM56" s="2">
        <v>10</v>
      </c>
      <c r="AN56" s="3">
        <v>19</v>
      </c>
      <c r="AO56" s="2">
        <v>9</v>
      </c>
      <c r="AP56" s="3">
        <v>19</v>
      </c>
      <c r="AQ56" s="2">
        <v>12</v>
      </c>
      <c r="AR56" s="2">
        <v>10</v>
      </c>
      <c r="AS56" s="2">
        <v>13</v>
      </c>
      <c r="AT56" s="2">
        <v>12</v>
      </c>
      <c r="AU56" s="2">
        <v>21</v>
      </c>
      <c r="AV56" s="2">
        <v>16</v>
      </c>
      <c r="AW56" s="2">
        <v>14</v>
      </c>
      <c r="AX56" s="2">
        <v>17</v>
      </c>
      <c r="AY56" s="2">
        <v>15</v>
      </c>
      <c r="AZ56" s="2">
        <v>20</v>
      </c>
      <c r="BA56" s="2">
        <v>21</v>
      </c>
      <c r="BB56" s="2">
        <v>18</v>
      </c>
      <c r="BC56" s="8"/>
    </row>
    <row r="57" spans="1:55" ht="13.5" customHeight="1" x14ac:dyDescent="0.2">
      <c r="A57" s="7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2">
        <f t="shared" ref="W57:AA57" si="36">SUM(W54:W56)</f>
        <v>45</v>
      </c>
      <c r="X57" s="22">
        <f t="shared" si="36"/>
        <v>46</v>
      </c>
      <c r="Y57" s="22">
        <f t="shared" si="36"/>
        <v>41</v>
      </c>
      <c r="Z57" s="22">
        <f t="shared" si="36"/>
        <v>43</v>
      </c>
      <c r="AA57" s="22">
        <f t="shared" si="36"/>
        <v>31</v>
      </c>
      <c r="AB57" s="22">
        <f t="shared" ref="AB57:AD57" si="37">SUM(AB54:AB56)</f>
        <v>41</v>
      </c>
      <c r="AC57" s="22">
        <f t="shared" si="37"/>
        <v>60</v>
      </c>
      <c r="AD57" s="22">
        <f t="shared" si="37"/>
        <v>62</v>
      </c>
      <c r="AE57" s="22">
        <f t="shared" ref="AE57:AG57" si="38">SUM(AE54:AE56)</f>
        <v>63</v>
      </c>
      <c r="AF57" s="22">
        <f t="shared" si="38"/>
        <v>71</v>
      </c>
      <c r="AG57" s="22">
        <f t="shared" si="38"/>
        <v>71</v>
      </c>
      <c r="AH57" s="22">
        <f t="shared" ref="AH57:AJ57" si="39">SUM(AH54:AH56)</f>
        <v>51</v>
      </c>
      <c r="AI57" s="22">
        <f t="shared" si="39"/>
        <v>69</v>
      </c>
      <c r="AJ57" s="22">
        <f t="shared" si="39"/>
        <v>74</v>
      </c>
      <c r="AK57" s="22">
        <f t="shared" ref="AK57:AV57" si="40">SUM(AK54:AK56)</f>
        <v>78</v>
      </c>
      <c r="AL57" s="22">
        <f t="shared" si="40"/>
        <v>63</v>
      </c>
      <c r="AM57" s="11">
        <f t="shared" si="40"/>
        <v>66</v>
      </c>
      <c r="AN57" s="22">
        <f t="shared" si="40"/>
        <v>77</v>
      </c>
      <c r="AO57" s="11">
        <f t="shared" si="40"/>
        <v>66</v>
      </c>
      <c r="AP57" s="22">
        <f t="shared" si="40"/>
        <v>82</v>
      </c>
      <c r="AQ57" s="11">
        <f t="shared" si="40"/>
        <v>72</v>
      </c>
      <c r="AR57" s="11">
        <f t="shared" si="40"/>
        <v>52</v>
      </c>
      <c r="AS57" s="11">
        <f t="shared" si="40"/>
        <v>58</v>
      </c>
      <c r="AT57" s="11">
        <f t="shared" si="40"/>
        <v>45</v>
      </c>
      <c r="AU57" s="11">
        <f t="shared" si="40"/>
        <v>63</v>
      </c>
      <c r="AV57" s="11">
        <f t="shared" si="40"/>
        <v>86</v>
      </c>
      <c r="AW57" s="11">
        <f t="shared" ref="AW57:BB57" si="41">SUM(AW54:AW56)</f>
        <v>75</v>
      </c>
      <c r="AX57" s="11">
        <f t="shared" si="41"/>
        <v>110</v>
      </c>
      <c r="AY57" s="11">
        <f t="shared" si="41"/>
        <v>92</v>
      </c>
      <c r="AZ57" s="11">
        <f t="shared" si="41"/>
        <v>115</v>
      </c>
      <c r="BA57" s="11">
        <f t="shared" si="41"/>
        <v>92</v>
      </c>
      <c r="BB57" s="11">
        <f t="shared" si="41"/>
        <v>97</v>
      </c>
      <c r="BC57" s="8"/>
    </row>
    <row r="58" spans="1:55" ht="13.5" customHeight="1" x14ac:dyDescent="0.2">
      <c r="A58" s="7"/>
      <c r="B58" s="10" t="s">
        <v>80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2"/>
      <c r="AN58" s="3"/>
      <c r="AO58" s="2"/>
      <c r="AP58" s="3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8"/>
    </row>
    <row r="59" spans="1:55" ht="13.5" customHeight="1" x14ac:dyDescent="0.2">
      <c r="A59" s="7"/>
      <c r="B59" s="2"/>
      <c r="C59" s="2" t="s"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>
        <v>8</v>
      </c>
      <c r="X59" s="3">
        <v>7</v>
      </c>
      <c r="Y59" s="3">
        <v>16</v>
      </c>
      <c r="Z59" s="3">
        <v>9</v>
      </c>
      <c r="AA59" s="3">
        <v>16</v>
      </c>
      <c r="AB59" s="3">
        <v>12</v>
      </c>
      <c r="AC59" s="3">
        <v>13</v>
      </c>
      <c r="AD59" s="3">
        <v>12</v>
      </c>
      <c r="AE59" s="3">
        <v>20</v>
      </c>
      <c r="AF59" s="3">
        <v>15</v>
      </c>
      <c r="AG59" s="3">
        <v>25</v>
      </c>
      <c r="AH59" s="3">
        <v>17</v>
      </c>
      <c r="AI59" s="3">
        <v>14</v>
      </c>
      <c r="AJ59" s="3">
        <v>21</v>
      </c>
      <c r="AK59" s="3">
        <v>9</v>
      </c>
      <c r="AL59" s="3">
        <v>22</v>
      </c>
      <c r="AM59" s="2">
        <v>10</v>
      </c>
      <c r="AN59" s="3">
        <v>13</v>
      </c>
      <c r="AO59" s="2">
        <v>22</v>
      </c>
      <c r="AP59" s="3">
        <v>16</v>
      </c>
      <c r="AQ59" s="2">
        <v>23</v>
      </c>
      <c r="AR59" s="2">
        <v>19</v>
      </c>
      <c r="AS59" s="2">
        <v>23</v>
      </c>
      <c r="AT59" s="2">
        <v>28</v>
      </c>
      <c r="AU59" s="2">
        <v>30</v>
      </c>
      <c r="AV59" s="2">
        <v>33</v>
      </c>
      <c r="AW59" s="2">
        <v>41</v>
      </c>
      <c r="AX59" s="2">
        <v>37</v>
      </c>
      <c r="AY59" s="2">
        <v>48</v>
      </c>
      <c r="AZ59" s="2">
        <v>57</v>
      </c>
      <c r="BA59" s="2">
        <v>37</v>
      </c>
      <c r="BB59" s="2">
        <v>14</v>
      </c>
      <c r="BC59" s="8"/>
    </row>
    <row r="60" spans="1:55" ht="13.5" customHeight="1" x14ac:dyDescent="0.2">
      <c r="A60" s="7"/>
      <c r="B60" s="2"/>
      <c r="C60" s="2" t="s">
        <v>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2"/>
      <c r="AN60" s="3"/>
      <c r="AO60" s="2"/>
      <c r="AP60" s="3"/>
      <c r="AQ60" s="2">
        <v>0</v>
      </c>
      <c r="AR60" s="2">
        <v>0</v>
      </c>
      <c r="AS60" s="2">
        <v>2</v>
      </c>
      <c r="AT60" s="2">
        <v>0</v>
      </c>
      <c r="AU60" s="2">
        <v>2</v>
      </c>
      <c r="AV60" s="2">
        <v>0</v>
      </c>
      <c r="AW60" s="2">
        <v>1</v>
      </c>
      <c r="AX60" s="2">
        <v>0</v>
      </c>
      <c r="AY60" s="2">
        <v>0</v>
      </c>
      <c r="AZ60" s="2">
        <v>1</v>
      </c>
      <c r="BA60" s="2">
        <v>7</v>
      </c>
      <c r="BB60" s="2">
        <v>5</v>
      </c>
      <c r="BC60" s="8"/>
    </row>
    <row r="61" spans="1:55" ht="13.5" customHeight="1" x14ac:dyDescent="0.2">
      <c r="A61" s="7"/>
      <c r="B61" s="2"/>
      <c r="C61" s="2" t="s">
        <v>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2"/>
      <c r="AN61" s="3"/>
      <c r="AO61" s="2"/>
      <c r="AP61" s="3"/>
      <c r="AQ61" s="2"/>
      <c r="AR61" s="2"/>
      <c r="AS61" s="2"/>
      <c r="AT61" s="2"/>
      <c r="AU61" s="2"/>
      <c r="AV61" s="2"/>
      <c r="AW61" s="2"/>
      <c r="AX61" s="2">
        <v>0</v>
      </c>
      <c r="AY61" s="2">
        <v>0</v>
      </c>
      <c r="AZ61" s="2">
        <v>1</v>
      </c>
      <c r="BA61" s="2">
        <v>5</v>
      </c>
      <c r="BB61" s="2">
        <v>9</v>
      </c>
      <c r="BC61" s="8"/>
    </row>
    <row r="62" spans="1:55" ht="13.5" customHeight="1" x14ac:dyDescent="0.2">
      <c r="A62" s="7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2">
        <f t="shared" ref="W62:AA62" si="42">W59</f>
        <v>8</v>
      </c>
      <c r="X62" s="22">
        <f t="shared" si="42"/>
        <v>7</v>
      </c>
      <c r="Y62" s="22">
        <f t="shared" si="42"/>
        <v>16</v>
      </c>
      <c r="Z62" s="22">
        <f t="shared" si="42"/>
        <v>9</v>
      </c>
      <c r="AA62" s="22">
        <f t="shared" si="42"/>
        <v>16</v>
      </c>
      <c r="AB62" s="22">
        <f t="shared" ref="AB62:AD62" si="43">AB59</f>
        <v>12</v>
      </c>
      <c r="AC62" s="22">
        <f t="shared" si="43"/>
        <v>13</v>
      </c>
      <c r="AD62" s="22">
        <f t="shared" si="43"/>
        <v>12</v>
      </c>
      <c r="AE62" s="22">
        <f t="shared" ref="AE62:AG62" si="44">AE59</f>
        <v>20</v>
      </c>
      <c r="AF62" s="22">
        <f t="shared" si="44"/>
        <v>15</v>
      </c>
      <c r="AG62" s="22">
        <f t="shared" si="44"/>
        <v>25</v>
      </c>
      <c r="AH62" s="22">
        <f t="shared" ref="AH62:AJ62" si="45">AH59</f>
        <v>17</v>
      </c>
      <c r="AI62" s="22">
        <f t="shared" si="45"/>
        <v>14</v>
      </c>
      <c r="AJ62" s="22">
        <f t="shared" si="45"/>
        <v>21</v>
      </c>
      <c r="AK62" s="22">
        <f t="shared" ref="AK62:AO62" si="46">AK59</f>
        <v>9</v>
      </c>
      <c r="AL62" s="22">
        <f t="shared" si="46"/>
        <v>22</v>
      </c>
      <c r="AM62" s="11">
        <f t="shared" si="46"/>
        <v>10</v>
      </c>
      <c r="AN62" s="22">
        <f t="shared" si="46"/>
        <v>13</v>
      </c>
      <c r="AO62" s="11">
        <f t="shared" si="46"/>
        <v>22</v>
      </c>
      <c r="AP62" s="22">
        <f>AP59</f>
        <v>16</v>
      </c>
      <c r="AQ62" s="11">
        <f t="shared" ref="AQ62:AV62" si="47">SUM(AQ59:AQ60)</f>
        <v>23</v>
      </c>
      <c r="AR62" s="11">
        <f t="shared" si="47"/>
        <v>19</v>
      </c>
      <c r="AS62" s="11">
        <f t="shared" si="47"/>
        <v>25</v>
      </c>
      <c r="AT62" s="11">
        <f t="shared" si="47"/>
        <v>28</v>
      </c>
      <c r="AU62" s="11">
        <f>SUM(AU59:AU60)</f>
        <v>32</v>
      </c>
      <c r="AV62" s="11">
        <f t="shared" si="47"/>
        <v>33</v>
      </c>
      <c r="AW62" s="11">
        <f>SUM(AW59:AW60)</f>
        <v>42</v>
      </c>
      <c r="AX62" s="11">
        <f>SUM(AX59:AX61)</f>
        <v>37</v>
      </c>
      <c r="AY62" s="11">
        <f>SUM(AY59:AY61)</f>
        <v>48</v>
      </c>
      <c r="AZ62" s="11">
        <f>SUM(AZ59:AZ61)</f>
        <v>59</v>
      </c>
      <c r="BA62" s="11">
        <f>SUM(BA59:BA61)</f>
        <v>49</v>
      </c>
      <c r="BB62" s="11">
        <f>SUM(BB59:BB61)</f>
        <v>28</v>
      </c>
      <c r="BC62" s="8"/>
    </row>
    <row r="63" spans="1:55" ht="13.5" customHeight="1" x14ac:dyDescent="0.2">
      <c r="A63" s="7"/>
      <c r="B63" s="10" t="s">
        <v>77</v>
      </c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2"/>
      <c r="AN63" s="3"/>
      <c r="AO63" s="2"/>
      <c r="AP63" s="3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8"/>
    </row>
    <row r="64" spans="1:55" ht="13.5" customHeight="1" x14ac:dyDescent="0.2">
      <c r="A64" s="7"/>
      <c r="B64" s="2"/>
      <c r="C64" s="2" t="s"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f>31-W71</f>
        <v>22</v>
      </c>
      <c r="X64" s="3">
        <f>17-X71</f>
        <v>8</v>
      </c>
      <c r="Y64" s="3">
        <f>24-Y71</f>
        <v>12</v>
      </c>
      <c r="Z64" s="3">
        <f>31-Z71</f>
        <v>21</v>
      </c>
      <c r="AA64" s="3">
        <f>19-AA71</f>
        <v>13</v>
      </c>
      <c r="AB64" s="3">
        <f>26-AB71</f>
        <v>10</v>
      </c>
      <c r="AC64" s="3">
        <f>16-AC71</f>
        <v>5</v>
      </c>
      <c r="AD64" s="3">
        <f>24-AD71</f>
        <v>8</v>
      </c>
      <c r="AE64" s="3">
        <f>17-AE71</f>
        <v>8</v>
      </c>
      <c r="AF64" s="3">
        <f>16-AF71</f>
        <v>1</v>
      </c>
      <c r="AG64" s="3">
        <f>18-AG71</f>
        <v>7</v>
      </c>
      <c r="AH64" s="3">
        <f>23-AH71</f>
        <v>8</v>
      </c>
      <c r="AI64" s="3">
        <f>25-AI71</f>
        <v>4</v>
      </c>
      <c r="AJ64" s="3">
        <f>16-AJ71</f>
        <v>6</v>
      </c>
      <c r="AK64" s="3">
        <f>24-AK71</f>
        <v>15</v>
      </c>
      <c r="AL64" s="3">
        <f>20-AL71</f>
        <v>14</v>
      </c>
      <c r="AM64" s="2">
        <v>17</v>
      </c>
      <c r="AN64" s="3">
        <v>12</v>
      </c>
      <c r="AO64" s="2">
        <v>8</v>
      </c>
      <c r="AP64" s="3">
        <v>11</v>
      </c>
      <c r="AQ64" s="2">
        <v>8</v>
      </c>
      <c r="AR64" s="2">
        <v>15</v>
      </c>
      <c r="AS64" s="2">
        <v>13</v>
      </c>
      <c r="AT64" s="2">
        <v>13</v>
      </c>
      <c r="AU64" s="2">
        <v>14</v>
      </c>
      <c r="AV64" s="2">
        <v>10</v>
      </c>
      <c r="AW64" s="2">
        <v>23</v>
      </c>
      <c r="AX64" s="2">
        <v>18</v>
      </c>
      <c r="AY64" s="2">
        <v>21</v>
      </c>
      <c r="AZ64" s="2">
        <v>32</v>
      </c>
      <c r="BA64" s="2">
        <v>35</v>
      </c>
      <c r="BB64" s="2">
        <v>37</v>
      </c>
      <c r="BC64" s="8"/>
    </row>
    <row r="65" spans="1:55" ht="13.5" customHeight="1" x14ac:dyDescent="0.2">
      <c r="A65" s="7"/>
      <c r="B65" s="10" t="s">
        <v>74</v>
      </c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2"/>
      <c r="AN65" s="3"/>
      <c r="AO65" s="2"/>
      <c r="AP65" s="3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8"/>
    </row>
    <row r="66" spans="1:55" ht="13.5" customHeight="1" x14ac:dyDescent="0.2">
      <c r="A66" s="7"/>
      <c r="B66" s="2"/>
      <c r="C66" s="2" t="s"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>
        <v>0</v>
      </c>
      <c r="AM66" s="2">
        <v>1</v>
      </c>
      <c r="AN66" s="3">
        <v>13</v>
      </c>
      <c r="AO66" s="2">
        <v>32</v>
      </c>
      <c r="AP66" s="3">
        <v>34</v>
      </c>
      <c r="AQ66" s="2">
        <v>24</v>
      </c>
      <c r="AR66" s="2">
        <v>39</v>
      </c>
      <c r="AS66" s="2">
        <v>28</v>
      </c>
      <c r="AT66" s="2">
        <v>36</v>
      </c>
      <c r="AU66" s="2">
        <v>34</v>
      </c>
      <c r="AV66" s="2">
        <v>29</v>
      </c>
      <c r="AW66" s="2">
        <v>25</v>
      </c>
      <c r="AX66" s="2">
        <v>34</v>
      </c>
      <c r="AY66" s="2">
        <v>25</v>
      </c>
      <c r="AZ66" s="2">
        <v>43</v>
      </c>
      <c r="BA66" s="2">
        <v>33</v>
      </c>
      <c r="BB66" s="2">
        <v>29</v>
      </c>
      <c r="BC66" s="8"/>
    </row>
    <row r="67" spans="1:55" ht="13.5" customHeight="1" x14ac:dyDescent="0.2">
      <c r="A67" s="7"/>
      <c r="B67" s="2"/>
      <c r="C67" s="2" t="s">
        <v>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2"/>
      <c r="AN67" s="3"/>
      <c r="AO67" s="2"/>
      <c r="AP67" s="3"/>
      <c r="AQ67" s="2"/>
      <c r="AR67" s="2"/>
      <c r="AS67" s="2"/>
      <c r="AT67" s="2"/>
      <c r="AU67" s="2"/>
      <c r="AV67" s="2"/>
      <c r="AW67" s="2"/>
      <c r="AX67" s="2">
        <v>17</v>
      </c>
      <c r="AY67" s="2">
        <v>16</v>
      </c>
      <c r="AZ67" s="2">
        <v>25</v>
      </c>
      <c r="BA67" s="2">
        <v>36</v>
      </c>
      <c r="BB67" s="2">
        <v>52</v>
      </c>
      <c r="BC67" s="8"/>
    </row>
    <row r="68" spans="1:55" ht="13.5" customHeight="1" x14ac:dyDescent="0.2">
      <c r="A68" s="7"/>
      <c r="B68" s="2"/>
      <c r="C68" s="2" t="s">
        <v>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2"/>
      <c r="AP68" s="3"/>
      <c r="AQ68" s="2">
        <v>0</v>
      </c>
      <c r="AR68" s="2">
        <v>8</v>
      </c>
      <c r="AS68" s="2">
        <v>12</v>
      </c>
      <c r="AT68" s="2">
        <v>6</v>
      </c>
      <c r="AU68" s="2">
        <v>22</v>
      </c>
      <c r="AV68" s="2">
        <v>29</v>
      </c>
      <c r="AW68" s="2">
        <v>15</v>
      </c>
      <c r="AX68" s="2">
        <v>16</v>
      </c>
      <c r="AY68" s="2">
        <v>10</v>
      </c>
      <c r="AZ68" s="2">
        <v>28</v>
      </c>
      <c r="BA68" s="2">
        <v>20</v>
      </c>
      <c r="BB68" s="2">
        <v>26</v>
      </c>
      <c r="BC68" s="8"/>
    </row>
    <row r="69" spans="1:55" ht="13.5" customHeight="1" x14ac:dyDescent="0.2">
      <c r="A69" s="7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22">
        <f t="shared" ref="AL69:AO69" si="48">AL66</f>
        <v>0</v>
      </c>
      <c r="AM69" s="11">
        <f t="shared" si="48"/>
        <v>1</v>
      </c>
      <c r="AN69" s="22">
        <f t="shared" si="48"/>
        <v>13</v>
      </c>
      <c r="AO69" s="11">
        <f t="shared" si="48"/>
        <v>32</v>
      </c>
      <c r="AP69" s="22">
        <f>AP66</f>
        <v>34</v>
      </c>
      <c r="AQ69" s="11">
        <f t="shared" ref="AQ69:AV69" si="49">SUM(AQ66:AQ68)</f>
        <v>24</v>
      </c>
      <c r="AR69" s="11">
        <f t="shared" si="49"/>
        <v>47</v>
      </c>
      <c r="AS69" s="11">
        <f t="shared" si="49"/>
        <v>40</v>
      </c>
      <c r="AT69" s="11">
        <f t="shared" si="49"/>
        <v>42</v>
      </c>
      <c r="AU69" s="11">
        <f t="shared" si="49"/>
        <v>56</v>
      </c>
      <c r="AV69" s="11">
        <f t="shared" si="49"/>
        <v>58</v>
      </c>
      <c r="AW69" s="11">
        <f t="shared" ref="AW69:BB69" si="50">SUM(AW66:AW68)</f>
        <v>40</v>
      </c>
      <c r="AX69" s="11">
        <f t="shared" si="50"/>
        <v>67</v>
      </c>
      <c r="AY69" s="11">
        <f t="shared" si="50"/>
        <v>51</v>
      </c>
      <c r="AZ69" s="11">
        <f t="shared" si="50"/>
        <v>96</v>
      </c>
      <c r="BA69" s="11">
        <f t="shared" si="50"/>
        <v>89</v>
      </c>
      <c r="BB69" s="11">
        <f t="shared" si="50"/>
        <v>107</v>
      </c>
      <c r="BC69" s="8"/>
    </row>
    <row r="70" spans="1:55" ht="13.5" customHeight="1" x14ac:dyDescent="0.2">
      <c r="A70" s="7"/>
      <c r="B70" s="10" t="s">
        <v>73</v>
      </c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2"/>
      <c r="AP70" s="3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8"/>
    </row>
    <row r="71" spans="1:55" ht="13.5" customHeight="1" x14ac:dyDescent="0.2">
      <c r="A71" s="7"/>
      <c r="B71" s="2"/>
      <c r="C71" s="2" t="s"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>
        <v>9</v>
      </c>
      <c r="X71" s="3">
        <v>9</v>
      </c>
      <c r="Y71" s="3">
        <v>12</v>
      </c>
      <c r="Z71" s="3">
        <v>10</v>
      </c>
      <c r="AA71" s="3">
        <v>6</v>
      </c>
      <c r="AB71" s="3">
        <v>16</v>
      </c>
      <c r="AC71" s="3">
        <v>11</v>
      </c>
      <c r="AD71" s="3">
        <v>16</v>
      </c>
      <c r="AE71" s="3">
        <v>9</v>
      </c>
      <c r="AF71" s="3">
        <v>15</v>
      </c>
      <c r="AG71" s="3">
        <v>11</v>
      </c>
      <c r="AH71" s="3">
        <v>15</v>
      </c>
      <c r="AI71" s="3">
        <v>21</v>
      </c>
      <c r="AJ71" s="3">
        <v>10</v>
      </c>
      <c r="AK71" s="3">
        <v>9</v>
      </c>
      <c r="AL71" s="3">
        <v>6</v>
      </c>
      <c r="AM71" s="2">
        <v>16</v>
      </c>
      <c r="AN71" s="3">
        <v>15</v>
      </c>
      <c r="AO71" s="2">
        <v>22</v>
      </c>
      <c r="AP71" s="3">
        <v>17</v>
      </c>
      <c r="AQ71" s="2">
        <v>17</v>
      </c>
      <c r="AR71" s="2">
        <v>13</v>
      </c>
      <c r="AS71" s="2">
        <v>15</v>
      </c>
      <c r="AT71" s="2">
        <v>19</v>
      </c>
      <c r="AU71" s="2">
        <v>11</v>
      </c>
      <c r="AV71" s="2">
        <v>12</v>
      </c>
      <c r="AW71" s="2">
        <v>16</v>
      </c>
      <c r="AX71" s="2">
        <v>16</v>
      </c>
      <c r="AY71" s="2">
        <v>12</v>
      </c>
      <c r="AZ71" s="2">
        <v>10</v>
      </c>
      <c r="BA71" s="2">
        <v>8</v>
      </c>
      <c r="BB71" s="2">
        <v>4</v>
      </c>
      <c r="BC71" s="8"/>
    </row>
    <row r="72" spans="1:55" ht="13.5" customHeight="1" x14ac:dyDescent="0.2">
      <c r="A72" s="7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2"/>
      <c r="AN72" s="3"/>
      <c r="AO72" s="2"/>
      <c r="AP72" s="3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8"/>
    </row>
    <row r="73" spans="1:55" ht="13.5" customHeight="1" x14ac:dyDescent="0.2">
      <c r="A73" s="7"/>
      <c r="B73" s="24" t="s">
        <v>29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8"/>
    </row>
    <row r="74" spans="1:55" ht="13.5" customHeight="1" x14ac:dyDescent="0.2">
      <c r="A74" s="7"/>
      <c r="B74" s="10" t="s">
        <v>72</v>
      </c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2"/>
      <c r="AN74" s="3"/>
      <c r="AO74" s="2"/>
      <c r="AP74" s="3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8"/>
    </row>
    <row r="75" spans="1:55" ht="13.5" customHeight="1" x14ac:dyDescent="0.2">
      <c r="A75" s="7"/>
      <c r="B75" s="10"/>
      <c r="C75" s="2" t="s">
        <v>10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2"/>
      <c r="AN75" s="3"/>
      <c r="AO75" s="2"/>
      <c r="AP75" s="3"/>
      <c r="AQ75" s="2">
        <f t="shared" ref="AQ75:AW75" si="51">AQ17</f>
        <v>1</v>
      </c>
      <c r="AR75" s="2">
        <f t="shared" si="51"/>
        <v>3</v>
      </c>
      <c r="AS75" s="2">
        <f t="shared" si="51"/>
        <v>2</v>
      </c>
      <c r="AT75" s="2">
        <f t="shared" si="51"/>
        <v>1</v>
      </c>
      <c r="AU75" s="2">
        <f t="shared" si="51"/>
        <v>4</v>
      </c>
      <c r="AV75" s="2">
        <f t="shared" si="51"/>
        <v>2</v>
      </c>
      <c r="AW75" s="2">
        <f t="shared" si="51"/>
        <v>0</v>
      </c>
      <c r="AX75" s="2">
        <f t="shared" ref="AX75" si="52">AX17</f>
        <v>3</v>
      </c>
      <c r="AY75" s="2">
        <f t="shared" ref="AY75:AZ75" si="53">AY17</f>
        <v>14</v>
      </c>
      <c r="AZ75" s="2">
        <f t="shared" si="53"/>
        <v>9</v>
      </c>
      <c r="BA75" s="2">
        <f t="shared" ref="BA75" si="54">BA17</f>
        <v>8</v>
      </c>
      <c r="BB75" s="2">
        <f>BB17+BB32</f>
        <v>7</v>
      </c>
      <c r="BC75" s="8"/>
    </row>
    <row r="76" spans="1:55" ht="13.5" customHeight="1" x14ac:dyDescent="0.2">
      <c r="A76" s="7"/>
      <c r="B76" s="2"/>
      <c r="C76" s="2" t="s">
        <v>0</v>
      </c>
      <c r="D76" s="3">
        <v>657</v>
      </c>
      <c r="E76" s="3">
        <v>749</v>
      </c>
      <c r="F76" s="3">
        <v>893</v>
      </c>
      <c r="G76" s="3">
        <v>947</v>
      </c>
      <c r="H76" s="3">
        <v>894</v>
      </c>
      <c r="I76" s="3">
        <v>879</v>
      </c>
      <c r="J76" s="3">
        <v>888</v>
      </c>
      <c r="K76" s="3">
        <v>762</v>
      </c>
      <c r="L76" s="3">
        <v>747</v>
      </c>
      <c r="M76" s="3">
        <v>702</v>
      </c>
      <c r="N76" s="3">
        <v>755</v>
      </c>
      <c r="O76" s="3">
        <v>801</v>
      </c>
      <c r="P76" s="3">
        <v>910</v>
      </c>
      <c r="Q76" s="3">
        <v>871</v>
      </c>
      <c r="R76" s="3">
        <v>1027</v>
      </c>
      <c r="S76" s="3">
        <v>1101</v>
      </c>
      <c r="T76" s="3">
        <v>1254</v>
      </c>
      <c r="U76" s="3">
        <v>1350</v>
      </c>
      <c r="V76" s="3">
        <v>1251</v>
      </c>
      <c r="W76" s="3">
        <f t="shared" ref="W76:AW76" si="55">W11+W18+W25+W33+W40+W44+W52+W54+W59+W64+W66+W71</f>
        <v>1094</v>
      </c>
      <c r="X76" s="3">
        <f t="shared" si="55"/>
        <v>950</v>
      </c>
      <c r="Y76" s="3">
        <f t="shared" si="55"/>
        <v>892</v>
      </c>
      <c r="Z76" s="3">
        <f t="shared" si="55"/>
        <v>792</v>
      </c>
      <c r="AA76" s="3">
        <f t="shared" si="55"/>
        <v>702</v>
      </c>
      <c r="AB76" s="3">
        <f t="shared" si="55"/>
        <v>697</v>
      </c>
      <c r="AC76" s="3">
        <f t="shared" si="55"/>
        <v>756</v>
      </c>
      <c r="AD76" s="3">
        <f t="shared" si="55"/>
        <v>808</v>
      </c>
      <c r="AE76" s="3">
        <f t="shared" si="55"/>
        <v>739</v>
      </c>
      <c r="AF76" s="3">
        <f t="shared" si="55"/>
        <v>717</v>
      </c>
      <c r="AG76" s="3">
        <f t="shared" si="55"/>
        <v>834</v>
      </c>
      <c r="AH76" s="3">
        <f t="shared" si="55"/>
        <v>743</v>
      </c>
      <c r="AI76" s="3">
        <f t="shared" si="55"/>
        <v>779</v>
      </c>
      <c r="AJ76" s="3">
        <f t="shared" si="55"/>
        <v>743</v>
      </c>
      <c r="AK76" s="3">
        <f t="shared" si="55"/>
        <v>685</v>
      </c>
      <c r="AL76" s="3">
        <f t="shared" si="55"/>
        <v>742</v>
      </c>
      <c r="AM76" s="3">
        <f t="shared" si="55"/>
        <v>743</v>
      </c>
      <c r="AN76" s="3">
        <f t="shared" si="55"/>
        <v>756</v>
      </c>
      <c r="AO76" s="3">
        <f t="shared" si="55"/>
        <v>731</v>
      </c>
      <c r="AP76" s="3">
        <f t="shared" si="55"/>
        <v>744</v>
      </c>
      <c r="AQ76" s="2">
        <f t="shared" si="55"/>
        <v>834</v>
      </c>
      <c r="AR76" s="2">
        <f t="shared" si="55"/>
        <v>910</v>
      </c>
      <c r="AS76" s="2">
        <f t="shared" si="55"/>
        <v>920</v>
      </c>
      <c r="AT76" s="2">
        <f t="shared" si="55"/>
        <v>997</v>
      </c>
      <c r="AU76" s="2">
        <f t="shared" si="55"/>
        <v>997</v>
      </c>
      <c r="AV76" s="2">
        <f t="shared" si="55"/>
        <v>1077</v>
      </c>
      <c r="AW76" s="2">
        <f t="shared" si="55"/>
        <v>1118</v>
      </c>
      <c r="AX76" s="2">
        <f>AX11+AX18+AX25+AX33+AX38+AX40+AX44+AX52+AX54+AX59+AX64+AX66+AX71</f>
        <v>1141</v>
      </c>
      <c r="AY76" s="2">
        <f>AY11+AY18+AY25+AY33+AY38+AY40+AY44+AY52+AY54+AY59+AY64+AY66+AY71</f>
        <v>1307</v>
      </c>
      <c r="AZ76" s="2">
        <f>AZ11+AZ18+AZ25+AZ33+AZ38+AZ40+AZ44+AZ52+AZ54+AZ59+AZ64+AZ66+AZ71</f>
        <v>1378</v>
      </c>
      <c r="BA76" s="2">
        <f>BA11+BA18+BA25+BA33+BA38+BA40+BA44+BA52+BA54+BA59+BA64+BA66+BA71</f>
        <v>1320</v>
      </c>
      <c r="BB76" s="2">
        <f>BB11+BB18+BB25+BB33+BB38+BB40+BB44+BB52+BB54+BB59+BB64+BB66+BB71</f>
        <v>1416</v>
      </c>
      <c r="BC76" s="8"/>
    </row>
    <row r="77" spans="1:55" ht="13.5" customHeight="1" x14ac:dyDescent="0.2">
      <c r="A77" s="7"/>
      <c r="B77" s="2"/>
      <c r="C77" s="2" t="s">
        <v>9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>
        <f>AK19+AK26</f>
        <v>0</v>
      </c>
      <c r="AL77" s="3">
        <f>AL19+AL26</f>
        <v>22</v>
      </c>
      <c r="AM77" s="3">
        <f>AM12+AM19+AM26</f>
        <v>20</v>
      </c>
      <c r="AN77" s="3">
        <f>AN12+AN19+AN26</f>
        <v>70</v>
      </c>
      <c r="AO77" s="3">
        <f>AO12+AO19+AO26+AO50</f>
        <v>83</v>
      </c>
      <c r="AP77" s="3">
        <f>AP12+AP19+AP26+AP50</f>
        <v>75</v>
      </c>
      <c r="AQ77" s="2">
        <f t="shared" ref="AQ77:AV77" si="56">AQ12+AQ19+AQ26+AQ45+AQ50+AQ60</f>
        <v>127</v>
      </c>
      <c r="AR77" s="2">
        <f t="shared" si="56"/>
        <v>164</v>
      </c>
      <c r="AS77" s="2">
        <f t="shared" si="56"/>
        <v>250</v>
      </c>
      <c r="AT77" s="2">
        <f t="shared" si="56"/>
        <v>278</v>
      </c>
      <c r="AU77" s="2">
        <f t="shared" si="56"/>
        <v>282</v>
      </c>
      <c r="AV77" s="2">
        <f t="shared" si="56"/>
        <v>319</v>
      </c>
      <c r="AW77" s="2">
        <f>AW12+AW19+AW26+AW34+AW45+AW50+AW60</f>
        <v>435</v>
      </c>
      <c r="AX77" s="2">
        <f>AX12+AX19+AX26+AX34+AX45+AX60+AX67</f>
        <v>401</v>
      </c>
      <c r="AY77" s="2">
        <f>AY12+AY19+AY26+AY34+AY45+AY60+AY67</f>
        <v>404</v>
      </c>
      <c r="AZ77" s="2">
        <f>AZ12+AZ19+AZ26+AZ34+AZ45+AZ60+AZ67</f>
        <v>427</v>
      </c>
      <c r="BA77" s="2">
        <f>BA12+BA19+BA26+BA34+BA45+BA60+BA67</f>
        <v>432</v>
      </c>
      <c r="BB77" s="2">
        <f>BB12+BB19+BB26+BB34+BB45+BB60+BB67</f>
        <v>510</v>
      </c>
      <c r="BC77" s="8"/>
    </row>
    <row r="78" spans="1:55" ht="13.5" hidden="1" customHeight="1" x14ac:dyDescent="0.2">
      <c r="A78" s="7"/>
      <c r="B78" s="2"/>
      <c r="C78" s="3" t="s">
        <v>44</v>
      </c>
      <c r="D78" s="3"/>
      <c r="E78" s="3"/>
      <c r="F78" s="3"/>
      <c r="G78" s="3"/>
      <c r="H78" s="3"/>
      <c r="I78" s="3"/>
      <c r="J78" s="3"/>
      <c r="K78" s="3">
        <v>3</v>
      </c>
      <c r="L78" s="3">
        <v>5</v>
      </c>
      <c r="M78" s="3">
        <v>7</v>
      </c>
      <c r="N78" s="3">
        <v>5</v>
      </c>
      <c r="O78" s="3">
        <v>3</v>
      </c>
      <c r="P78" s="3">
        <v>6</v>
      </c>
      <c r="Q78" s="3">
        <v>2</v>
      </c>
      <c r="R78" s="3">
        <v>2</v>
      </c>
      <c r="S78" s="3">
        <v>1</v>
      </c>
      <c r="T78" s="3">
        <v>3</v>
      </c>
      <c r="U78" s="3">
        <v>5</v>
      </c>
      <c r="V78" s="3">
        <v>3</v>
      </c>
      <c r="W78" s="3">
        <f t="shared" ref="W78:AB78" si="57">W20+W27</f>
        <v>0</v>
      </c>
      <c r="X78" s="3">
        <f t="shared" si="57"/>
        <v>0</v>
      </c>
      <c r="Y78" s="3">
        <f t="shared" si="57"/>
        <v>0</v>
      </c>
      <c r="Z78" s="3">
        <f t="shared" si="57"/>
        <v>1</v>
      </c>
      <c r="AA78" s="3">
        <f t="shared" si="57"/>
        <v>0</v>
      </c>
      <c r="AB78" s="3">
        <f t="shared" si="57"/>
        <v>0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8"/>
    </row>
    <row r="79" spans="1:55" ht="13.5" customHeight="1" x14ac:dyDescent="0.2">
      <c r="A79" s="7"/>
      <c r="B79" s="2"/>
      <c r="C79" s="2" t="s">
        <v>5</v>
      </c>
      <c r="D79" s="3">
        <v>247</v>
      </c>
      <c r="E79" s="3">
        <v>222</v>
      </c>
      <c r="F79" s="3">
        <v>301</v>
      </c>
      <c r="G79" s="3">
        <v>466</v>
      </c>
      <c r="H79" s="3">
        <v>425</v>
      </c>
      <c r="I79" s="3">
        <v>335</v>
      </c>
      <c r="J79" s="3">
        <v>336</v>
      </c>
      <c r="K79" s="3">
        <v>274</v>
      </c>
      <c r="L79" s="3">
        <v>265</v>
      </c>
      <c r="M79" s="3">
        <v>239</v>
      </c>
      <c r="N79" s="3">
        <v>209</v>
      </c>
      <c r="O79" s="3">
        <v>177</v>
      </c>
      <c r="P79" s="3">
        <v>187</v>
      </c>
      <c r="Q79" s="3">
        <v>199</v>
      </c>
      <c r="R79" s="3">
        <v>180</v>
      </c>
      <c r="S79" s="3">
        <v>269</v>
      </c>
      <c r="T79" s="3">
        <v>256</v>
      </c>
      <c r="U79" s="3">
        <v>306</v>
      </c>
      <c r="V79" s="3">
        <v>286</v>
      </c>
      <c r="W79" s="3">
        <f t="shared" ref="W79:AN79" si="58">W13+W21+W28+W46+W55</f>
        <v>291</v>
      </c>
      <c r="X79" s="3">
        <f t="shared" si="58"/>
        <v>299</v>
      </c>
      <c r="Y79" s="3">
        <f t="shared" si="58"/>
        <v>271</v>
      </c>
      <c r="Z79" s="3">
        <f t="shared" si="58"/>
        <v>295</v>
      </c>
      <c r="AA79" s="3">
        <f t="shared" si="58"/>
        <v>271</v>
      </c>
      <c r="AB79" s="3">
        <f t="shared" si="58"/>
        <v>298</v>
      </c>
      <c r="AC79" s="3">
        <f t="shared" si="58"/>
        <v>298</v>
      </c>
      <c r="AD79" s="3">
        <f t="shared" si="58"/>
        <v>305</v>
      </c>
      <c r="AE79" s="3">
        <f t="shared" si="58"/>
        <v>317</v>
      </c>
      <c r="AF79" s="3">
        <f t="shared" si="58"/>
        <v>304</v>
      </c>
      <c r="AG79" s="3">
        <f t="shared" si="58"/>
        <v>332</v>
      </c>
      <c r="AH79" s="3">
        <f t="shared" si="58"/>
        <v>338</v>
      </c>
      <c r="AI79" s="3">
        <f t="shared" si="58"/>
        <v>291</v>
      </c>
      <c r="AJ79" s="3">
        <f t="shared" si="58"/>
        <v>317</v>
      </c>
      <c r="AK79" s="3">
        <f t="shared" si="58"/>
        <v>366</v>
      </c>
      <c r="AL79" s="3">
        <f t="shared" si="58"/>
        <v>366</v>
      </c>
      <c r="AM79" s="3">
        <f t="shared" si="58"/>
        <v>414</v>
      </c>
      <c r="AN79" s="3">
        <f t="shared" si="58"/>
        <v>502</v>
      </c>
      <c r="AO79" s="3">
        <f>AO13+AO21+AO28+AO35+AO41+AO46+AO55</f>
        <v>440</v>
      </c>
      <c r="AP79" s="3">
        <f>AP13+AP21+AP28+AP35+AP41+AP46+AP55</f>
        <v>392</v>
      </c>
      <c r="AQ79" s="2">
        <f t="shared" ref="AQ79:AW79" si="59">AQ13+AQ21+AQ28+AQ35+AQ41+AQ46+AQ55+AQ68</f>
        <v>356</v>
      </c>
      <c r="AR79" s="2">
        <f t="shared" si="59"/>
        <v>430</v>
      </c>
      <c r="AS79" s="2">
        <f t="shared" si="59"/>
        <v>426</v>
      </c>
      <c r="AT79" s="2">
        <f t="shared" si="59"/>
        <v>411</v>
      </c>
      <c r="AU79" s="2">
        <f t="shared" si="59"/>
        <v>517</v>
      </c>
      <c r="AV79" s="2">
        <f t="shared" si="59"/>
        <v>567</v>
      </c>
      <c r="AW79" s="2">
        <f t="shared" si="59"/>
        <v>579</v>
      </c>
      <c r="AX79" s="2">
        <f>AX13+AX21+AX28+AX35+AX41+AX46+AX55+AX61+AX68</f>
        <v>551</v>
      </c>
      <c r="AY79" s="2">
        <f>AY13+AY21+AY28+AY35+AY41+AY46+AY55+AY61+AY68</f>
        <v>675</v>
      </c>
      <c r="AZ79" s="2">
        <f>AZ13+AZ21+AZ28+AZ35+AZ41+AZ46+AZ55+AZ61+AZ68</f>
        <v>688</v>
      </c>
      <c r="BA79" s="2">
        <f>BA13+BA21+BA28+BA35+BA41+BA46+BA55+BA61+BA68</f>
        <v>625</v>
      </c>
      <c r="BB79" s="2">
        <f>BB13+BB21+BB28+BB35+BB41+BB46+BB55+BB61+BB68</f>
        <v>613</v>
      </c>
      <c r="BC79" s="8"/>
    </row>
    <row r="80" spans="1:55" ht="13.5" customHeight="1" x14ac:dyDescent="0.2">
      <c r="A80" s="7"/>
      <c r="B80" s="2"/>
      <c r="C80" s="2" t="s">
        <v>7</v>
      </c>
      <c r="D80" s="3">
        <v>19</v>
      </c>
      <c r="E80" s="3">
        <v>28</v>
      </c>
      <c r="F80" s="3">
        <v>49</v>
      </c>
      <c r="G80" s="3">
        <v>43</v>
      </c>
      <c r="H80" s="3">
        <v>58</v>
      </c>
      <c r="I80" s="3">
        <v>55</v>
      </c>
      <c r="J80" s="3">
        <v>39</v>
      </c>
      <c r="K80" s="3">
        <v>42</v>
      </c>
      <c r="L80" s="3">
        <v>27</v>
      </c>
      <c r="M80" s="3">
        <v>46</v>
      </c>
      <c r="N80" s="3">
        <v>31</v>
      </c>
      <c r="O80" s="3">
        <v>30</v>
      </c>
      <c r="P80" s="3">
        <v>22</v>
      </c>
      <c r="Q80" s="3">
        <v>27</v>
      </c>
      <c r="R80" s="3">
        <v>16</v>
      </c>
      <c r="S80" s="3">
        <v>22</v>
      </c>
      <c r="T80" s="3">
        <v>22</v>
      </c>
      <c r="U80" s="3">
        <v>25</v>
      </c>
      <c r="V80" s="3">
        <v>36</v>
      </c>
      <c r="W80" s="3">
        <f t="shared" ref="W80:AN80" si="60">W14+W22+W29+W47+W56</f>
        <v>44</v>
      </c>
      <c r="X80" s="3">
        <f t="shared" si="60"/>
        <v>37</v>
      </c>
      <c r="Y80" s="3">
        <f t="shared" si="60"/>
        <v>39</v>
      </c>
      <c r="Z80" s="3">
        <f t="shared" si="60"/>
        <v>52</v>
      </c>
      <c r="AA80" s="3">
        <f t="shared" si="60"/>
        <v>63</v>
      </c>
      <c r="AB80" s="3">
        <f t="shared" si="60"/>
        <v>59</v>
      </c>
      <c r="AC80" s="3">
        <f t="shared" si="60"/>
        <v>58</v>
      </c>
      <c r="AD80" s="3">
        <f t="shared" si="60"/>
        <v>66</v>
      </c>
      <c r="AE80" s="3">
        <f t="shared" si="60"/>
        <v>60</v>
      </c>
      <c r="AF80" s="3">
        <f t="shared" si="60"/>
        <v>65</v>
      </c>
      <c r="AG80" s="3">
        <f t="shared" si="60"/>
        <v>59</v>
      </c>
      <c r="AH80" s="3">
        <f t="shared" si="60"/>
        <v>61</v>
      </c>
      <c r="AI80" s="3">
        <f t="shared" si="60"/>
        <v>44</v>
      </c>
      <c r="AJ80" s="3">
        <f t="shared" si="60"/>
        <v>46</v>
      </c>
      <c r="AK80" s="3">
        <f t="shared" si="60"/>
        <v>42</v>
      </c>
      <c r="AL80" s="3">
        <f t="shared" si="60"/>
        <v>45</v>
      </c>
      <c r="AM80" s="3">
        <f t="shared" si="60"/>
        <v>51</v>
      </c>
      <c r="AN80" s="3">
        <f t="shared" si="60"/>
        <v>61</v>
      </c>
      <c r="AO80" s="3">
        <f t="shared" ref="AO80:AW80" si="61">AO14+AO22+AO29+AO47+AO56</f>
        <v>66</v>
      </c>
      <c r="AP80" s="3">
        <f t="shared" si="61"/>
        <v>74</v>
      </c>
      <c r="AQ80" s="2">
        <f t="shared" si="61"/>
        <v>63</v>
      </c>
      <c r="AR80" s="2">
        <f t="shared" si="61"/>
        <v>63</v>
      </c>
      <c r="AS80" s="2">
        <f t="shared" si="61"/>
        <v>50</v>
      </c>
      <c r="AT80" s="2">
        <f t="shared" si="61"/>
        <v>51</v>
      </c>
      <c r="AU80" s="2">
        <f t="shared" si="61"/>
        <v>65</v>
      </c>
      <c r="AV80" s="2">
        <f t="shared" si="61"/>
        <v>70</v>
      </c>
      <c r="AW80" s="2">
        <f t="shared" si="61"/>
        <v>95</v>
      </c>
      <c r="AX80" s="2">
        <f t="shared" ref="AX80" si="62">AX14+AX22+AX29+AX47+AX56</f>
        <v>70</v>
      </c>
      <c r="AY80" s="2">
        <f t="shared" ref="AY80:AZ80" si="63">AY14+AY22+AY29+AY47+AY56</f>
        <v>95</v>
      </c>
      <c r="AZ80" s="2">
        <f t="shared" si="63"/>
        <v>109</v>
      </c>
      <c r="BA80" s="2">
        <f t="shared" ref="BA80:BB80" si="64">BA14+BA22+BA29+BA47+BA56</f>
        <v>88</v>
      </c>
      <c r="BB80" s="2">
        <f t="shared" si="64"/>
        <v>116</v>
      </c>
      <c r="BC80" s="8"/>
    </row>
    <row r="81" spans="1:55" ht="13.5" customHeight="1" x14ac:dyDescent="0.2">
      <c r="A81" s="7"/>
      <c r="B81" s="2"/>
      <c r="C81" s="2"/>
      <c r="D81" s="22">
        <f t="shared" ref="D81:M81" si="65">SUM(D76:D80)</f>
        <v>923</v>
      </c>
      <c r="E81" s="22">
        <f t="shared" si="65"/>
        <v>999</v>
      </c>
      <c r="F81" s="22">
        <f t="shared" si="65"/>
        <v>1243</v>
      </c>
      <c r="G81" s="22">
        <f t="shared" si="65"/>
        <v>1456</v>
      </c>
      <c r="H81" s="22">
        <f t="shared" si="65"/>
        <v>1377</v>
      </c>
      <c r="I81" s="22">
        <f t="shared" si="65"/>
        <v>1269</v>
      </c>
      <c r="J81" s="22">
        <f t="shared" si="65"/>
        <v>1263</v>
      </c>
      <c r="K81" s="22">
        <f t="shared" si="65"/>
        <v>1081</v>
      </c>
      <c r="L81" s="22">
        <f t="shared" si="65"/>
        <v>1044</v>
      </c>
      <c r="M81" s="22">
        <f t="shared" si="65"/>
        <v>994</v>
      </c>
      <c r="N81" s="22">
        <f t="shared" ref="N81:V81" si="66">SUM(N76:N80)</f>
        <v>1000</v>
      </c>
      <c r="O81" s="22">
        <f t="shared" si="66"/>
        <v>1011</v>
      </c>
      <c r="P81" s="22">
        <f t="shared" si="66"/>
        <v>1125</v>
      </c>
      <c r="Q81" s="22">
        <f t="shared" si="66"/>
        <v>1099</v>
      </c>
      <c r="R81" s="22">
        <f t="shared" si="66"/>
        <v>1225</v>
      </c>
      <c r="S81" s="22">
        <f t="shared" si="66"/>
        <v>1393</v>
      </c>
      <c r="T81" s="22">
        <f t="shared" si="66"/>
        <v>1535</v>
      </c>
      <c r="U81" s="22">
        <f t="shared" si="66"/>
        <v>1686</v>
      </c>
      <c r="V81" s="22">
        <f t="shared" si="66"/>
        <v>1576</v>
      </c>
      <c r="W81" s="22">
        <f t="shared" ref="W81:AA81" si="67">SUM(W76:W80)</f>
        <v>1429</v>
      </c>
      <c r="X81" s="22">
        <f t="shared" si="67"/>
        <v>1286</v>
      </c>
      <c r="Y81" s="22">
        <f t="shared" si="67"/>
        <v>1202</v>
      </c>
      <c r="Z81" s="22">
        <f t="shared" si="67"/>
        <v>1140</v>
      </c>
      <c r="AA81" s="22">
        <f t="shared" si="67"/>
        <v>1036</v>
      </c>
      <c r="AB81" s="22">
        <f t="shared" ref="AB81:AP81" si="68">SUM(AB76:AB80)</f>
        <v>1054</v>
      </c>
      <c r="AC81" s="22">
        <f t="shared" si="68"/>
        <v>1112</v>
      </c>
      <c r="AD81" s="22">
        <f t="shared" si="68"/>
        <v>1179</v>
      </c>
      <c r="AE81" s="22">
        <f t="shared" si="68"/>
        <v>1116</v>
      </c>
      <c r="AF81" s="22">
        <f t="shared" si="68"/>
        <v>1086</v>
      </c>
      <c r="AG81" s="22">
        <f t="shared" si="68"/>
        <v>1225</v>
      </c>
      <c r="AH81" s="22">
        <f t="shared" si="68"/>
        <v>1142</v>
      </c>
      <c r="AI81" s="22">
        <f t="shared" si="68"/>
        <v>1114</v>
      </c>
      <c r="AJ81" s="22">
        <f t="shared" si="68"/>
        <v>1106</v>
      </c>
      <c r="AK81" s="22">
        <f t="shared" si="68"/>
        <v>1093</v>
      </c>
      <c r="AL81" s="22">
        <f t="shared" si="68"/>
        <v>1175</v>
      </c>
      <c r="AM81" s="22">
        <f t="shared" si="68"/>
        <v>1228</v>
      </c>
      <c r="AN81" s="22">
        <f t="shared" si="68"/>
        <v>1389</v>
      </c>
      <c r="AO81" s="22">
        <f t="shared" si="68"/>
        <v>1320</v>
      </c>
      <c r="AP81" s="22">
        <f t="shared" si="68"/>
        <v>1285</v>
      </c>
      <c r="AQ81" s="11">
        <f t="shared" ref="AQ81:AW81" si="69">SUM(AQ75:AQ80)</f>
        <v>1381</v>
      </c>
      <c r="AR81" s="11">
        <f t="shared" si="69"/>
        <v>1570</v>
      </c>
      <c r="AS81" s="11">
        <f t="shared" si="69"/>
        <v>1648</v>
      </c>
      <c r="AT81" s="11">
        <f t="shared" si="69"/>
        <v>1738</v>
      </c>
      <c r="AU81" s="11">
        <f t="shared" si="69"/>
        <v>1865</v>
      </c>
      <c r="AV81" s="11">
        <f t="shared" si="69"/>
        <v>2035</v>
      </c>
      <c r="AW81" s="11">
        <f t="shared" si="69"/>
        <v>2227</v>
      </c>
      <c r="AX81" s="11">
        <f t="shared" ref="AX81" si="70">SUM(AX75:AX80)</f>
        <v>2166</v>
      </c>
      <c r="AY81" s="11">
        <f t="shared" ref="AY81:AZ81" si="71">SUM(AY75:AY80)</f>
        <v>2495</v>
      </c>
      <c r="AZ81" s="11">
        <f t="shared" si="71"/>
        <v>2611</v>
      </c>
      <c r="BA81" s="11">
        <f t="shared" ref="BA81:BB81" si="72">SUM(BA75:BA80)</f>
        <v>2473</v>
      </c>
      <c r="BB81" s="11">
        <f t="shared" si="72"/>
        <v>2662</v>
      </c>
      <c r="BC81" s="8"/>
    </row>
    <row r="82" spans="1:55" ht="13.5" customHeight="1" x14ac:dyDescent="0.2">
      <c r="A82" s="7"/>
      <c r="B82" s="10" t="s">
        <v>33</v>
      </c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2"/>
      <c r="AN82" s="3"/>
      <c r="AO82" s="2"/>
      <c r="AP82" s="3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8"/>
    </row>
    <row r="83" spans="1:55" ht="13.5" customHeight="1" x14ac:dyDescent="0.2">
      <c r="A83" s="7"/>
      <c r="B83" s="10"/>
      <c r="C83" s="2" t="s">
        <v>10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2"/>
      <c r="AN83" s="2"/>
      <c r="AO83" s="2"/>
      <c r="AP83" s="2"/>
      <c r="AQ83" s="2">
        <f t="shared" ref="AQ83:AW83" si="73">AQ17</f>
        <v>1</v>
      </c>
      <c r="AR83" s="2">
        <f t="shared" si="73"/>
        <v>3</v>
      </c>
      <c r="AS83" s="2">
        <f t="shared" si="73"/>
        <v>2</v>
      </c>
      <c r="AT83" s="2">
        <f t="shared" si="73"/>
        <v>1</v>
      </c>
      <c r="AU83" s="2">
        <f t="shared" si="73"/>
        <v>4</v>
      </c>
      <c r="AV83" s="2">
        <f t="shared" si="73"/>
        <v>2</v>
      </c>
      <c r="AW83" s="2">
        <f t="shared" si="73"/>
        <v>0</v>
      </c>
      <c r="AX83" s="2">
        <f t="shared" ref="AX83" si="74">AX17</f>
        <v>3</v>
      </c>
      <c r="AY83" s="2">
        <f t="shared" ref="AY83:AZ83" si="75">AY17</f>
        <v>14</v>
      </c>
      <c r="AZ83" s="2">
        <f t="shared" si="75"/>
        <v>9</v>
      </c>
      <c r="BA83" s="2">
        <f t="shared" ref="BA83:BB83" si="76">BA17</f>
        <v>8</v>
      </c>
      <c r="BB83" s="2">
        <f t="shared" si="76"/>
        <v>6</v>
      </c>
      <c r="BC83" s="8"/>
    </row>
    <row r="84" spans="1:55" ht="13.5" customHeight="1" x14ac:dyDescent="0.2">
      <c r="A84" s="7"/>
      <c r="B84" s="2"/>
      <c r="C84" s="2" t="s"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>
        <f t="shared" ref="W84:AW84" si="77">W11+W18+W25+W40+W44+W54</f>
        <v>1049</v>
      </c>
      <c r="X84" s="2">
        <f t="shared" si="77"/>
        <v>921</v>
      </c>
      <c r="Y84" s="2">
        <f t="shared" si="77"/>
        <v>848</v>
      </c>
      <c r="Z84" s="2">
        <f t="shared" si="77"/>
        <v>746</v>
      </c>
      <c r="AA84" s="2">
        <f t="shared" si="77"/>
        <v>661</v>
      </c>
      <c r="AB84" s="2">
        <f t="shared" si="77"/>
        <v>650</v>
      </c>
      <c r="AC84" s="2">
        <f t="shared" si="77"/>
        <v>723</v>
      </c>
      <c r="AD84" s="2">
        <f t="shared" si="77"/>
        <v>755</v>
      </c>
      <c r="AE84" s="2">
        <f t="shared" si="77"/>
        <v>693</v>
      </c>
      <c r="AF84" s="2">
        <f t="shared" si="77"/>
        <v>680</v>
      </c>
      <c r="AG84" s="2">
        <f t="shared" si="77"/>
        <v>783</v>
      </c>
      <c r="AH84" s="2">
        <f t="shared" si="77"/>
        <v>698</v>
      </c>
      <c r="AI84" s="2">
        <f t="shared" si="77"/>
        <v>729</v>
      </c>
      <c r="AJ84" s="2">
        <f t="shared" si="77"/>
        <v>699</v>
      </c>
      <c r="AK84" s="2">
        <f t="shared" si="77"/>
        <v>642</v>
      </c>
      <c r="AL84" s="2">
        <f t="shared" si="77"/>
        <v>693</v>
      </c>
      <c r="AM84" s="2">
        <f t="shared" si="77"/>
        <v>686</v>
      </c>
      <c r="AN84" s="2">
        <f t="shared" si="77"/>
        <v>686</v>
      </c>
      <c r="AO84" s="2">
        <f t="shared" si="77"/>
        <v>635</v>
      </c>
      <c r="AP84" s="2">
        <f t="shared" si="77"/>
        <v>658</v>
      </c>
      <c r="AQ84" s="2">
        <f t="shared" si="77"/>
        <v>749</v>
      </c>
      <c r="AR84" s="2">
        <f t="shared" si="77"/>
        <v>817</v>
      </c>
      <c r="AS84" s="2">
        <f t="shared" si="77"/>
        <v>830</v>
      </c>
      <c r="AT84" s="2">
        <f t="shared" si="77"/>
        <v>889</v>
      </c>
      <c r="AU84" s="2">
        <f t="shared" si="77"/>
        <v>901</v>
      </c>
      <c r="AV84" s="2">
        <f t="shared" si="77"/>
        <v>985</v>
      </c>
      <c r="AW84" s="2">
        <f t="shared" si="77"/>
        <v>997</v>
      </c>
      <c r="AX84" s="2">
        <f t="shared" ref="AX84" si="78">AX11+AX18+AX25+AX40+AX44+AX54</f>
        <v>1021</v>
      </c>
      <c r="AY84" s="2">
        <f t="shared" ref="AY84:AZ84" si="79">AY11+AY18+AY25+AY40+AY44+AY54</f>
        <v>1180</v>
      </c>
      <c r="AZ84" s="2">
        <f t="shared" si="79"/>
        <v>1225</v>
      </c>
      <c r="BA84" s="2">
        <f t="shared" ref="BA84:BB84" si="80">BA11+BA18+BA25+BA40+BA44+BA54</f>
        <v>1187</v>
      </c>
      <c r="BB84" s="2">
        <f t="shared" si="80"/>
        <v>1315</v>
      </c>
      <c r="BC84" s="8"/>
    </row>
    <row r="85" spans="1:55" ht="13.5" customHeight="1" x14ac:dyDescent="0.2">
      <c r="A85" s="7"/>
      <c r="B85" s="2"/>
      <c r="C85" s="2" t="s">
        <v>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>
        <f>AK19+AK26</f>
        <v>0</v>
      </c>
      <c r="AL85" s="2">
        <f>AL19+AL26</f>
        <v>22</v>
      </c>
      <c r="AM85" s="2">
        <f>AM12+AM19+AM26</f>
        <v>20</v>
      </c>
      <c r="AN85" s="2">
        <f>AN12+AN19+AN26</f>
        <v>70</v>
      </c>
      <c r="AO85" s="2">
        <f>AO12+AO19+AO26</f>
        <v>83</v>
      </c>
      <c r="AP85" s="2">
        <f>AP12+AP19+AP26</f>
        <v>75</v>
      </c>
      <c r="AQ85" s="2">
        <f t="shared" ref="AQ85:AW85" si="81">AQ12+AQ19+AQ26+AQ45</f>
        <v>127</v>
      </c>
      <c r="AR85" s="2">
        <f t="shared" si="81"/>
        <v>164</v>
      </c>
      <c r="AS85" s="2">
        <f t="shared" si="81"/>
        <v>248</v>
      </c>
      <c r="AT85" s="2">
        <f t="shared" si="81"/>
        <v>277</v>
      </c>
      <c r="AU85" s="2">
        <f t="shared" si="81"/>
        <v>280</v>
      </c>
      <c r="AV85" s="2">
        <f t="shared" si="81"/>
        <v>319</v>
      </c>
      <c r="AW85" s="2">
        <f t="shared" si="81"/>
        <v>424</v>
      </c>
      <c r="AX85" s="2">
        <f t="shared" ref="AX85" si="82">AX12+AX19+AX26+AX45</f>
        <v>382</v>
      </c>
      <c r="AY85" s="2">
        <f t="shared" ref="AY85:AZ85" si="83">AY12+AY19+AY26+AY45</f>
        <v>387</v>
      </c>
      <c r="AZ85" s="2">
        <f t="shared" si="83"/>
        <v>400</v>
      </c>
      <c r="BA85" s="2">
        <f t="shared" ref="BA85:BB85" si="84">BA12+BA19+BA26+BA45</f>
        <v>389</v>
      </c>
      <c r="BB85" s="2">
        <f t="shared" si="84"/>
        <v>451</v>
      </c>
      <c r="BC85" s="8"/>
    </row>
    <row r="86" spans="1:55" ht="13.5" hidden="1" customHeight="1" x14ac:dyDescent="0.2">
      <c r="A86" s="7"/>
      <c r="B86" s="2"/>
      <c r="C86" s="3" t="s">
        <v>44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f t="shared" ref="W86:AB86" si="85">W20+W27</f>
        <v>0</v>
      </c>
      <c r="X86" s="2">
        <f t="shared" si="85"/>
        <v>0</v>
      </c>
      <c r="Y86" s="2">
        <f t="shared" si="85"/>
        <v>0</v>
      </c>
      <c r="Z86" s="2">
        <f t="shared" si="85"/>
        <v>1</v>
      </c>
      <c r="AA86" s="2">
        <f t="shared" si="85"/>
        <v>0</v>
      </c>
      <c r="AB86" s="2">
        <f t="shared" si="85"/>
        <v>0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8"/>
    </row>
    <row r="87" spans="1:55" ht="13.5" customHeight="1" x14ac:dyDescent="0.2">
      <c r="A87" s="7"/>
      <c r="B87" s="2"/>
      <c r="C87" s="2" t="s">
        <v>5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f t="shared" ref="W87:AN87" si="86">W13+W21+W28+W46+W55</f>
        <v>291</v>
      </c>
      <c r="X87" s="2">
        <f t="shared" si="86"/>
        <v>299</v>
      </c>
      <c r="Y87" s="2">
        <f t="shared" si="86"/>
        <v>271</v>
      </c>
      <c r="Z87" s="2">
        <f t="shared" si="86"/>
        <v>295</v>
      </c>
      <c r="AA87" s="2">
        <f t="shared" si="86"/>
        <v>271</v>
      </c>
      <c r="AB87" s="2">
        <f t="shared" si="86"/>
        <v>298</v>
      </c>
      <c r="AC87" s="2">
        <f t="shared" si="86"/>
        <v>298</v>
      </c>
      <c r="AD87" s="2">
        <f t="shared" si="86"/>
        <v>305</v>
      </c>
      <c r="AE87" s="2">
        <f t="shared" si="86"/>
        <v>317</v>
      </c>
      <c r="AF87" s="2">
        <f t="shared" si="86"/>
        <v>304</v>
      </c>
      <c r="AG87" s="2">
        <f t="shared" si="86"/>
        <v>332</v>
      </c>
      <c r="AH87" s="2">
        <f t="shared" si="86"/>
        <v>338</v>
      </c>
      <c r="AI87" s="2">
        <f t="shared" si="86"/>
        <v>291</v>
      </c>
      <c r="AJ87" s="2">
        <f t="shared" si="86"/>
        <v>317</v>
      </c>
      <c r="AK87" s="2">
        <f t="shared" si="86"/>
        <v>366</v>
      </c>
      <c r="AL87" s="2">
        <f t="shared" si="86"/>
        <v>366</v>
      </c>
      <c r="AM87" s="2">
        <f t="shared" si="86"/>
        <v>414</v>
      </c>
      <c r="AN87" s="2">
        <f t="shared" si="86"/>
        <v>502</v>
      </c>
      <c r="AO87" s="2">
        <f t="shared" ref="AO87:AW87" si="87">AO13+AO21+AO28+AO41+AO46+AO55</f>
        <v>440</v>
      </c>
      <c r="AP87" s="2">
        <f t="shared" si="87"/>
        <v>391</v>
      </c>
      <c r="AQ87" s="2">
        <f t="shared" si="87"/>
        <v>355</v>
      </c>
      <c r="AR87" s="2">
        <f t="shared" si="87"/>
        <v>418</v>
      </c>
      <c r="AS87" s="2">
        <f t="shared" si="87"/>
        <v>410</v>
      </c>
      <c r="AT87" s="2">
        <f t="shared" si="87"/>
        <v>402</v>
      </c>
      <c r="AU87" s="2">
        <f t="shared" si="87"/>
        <v>494</v>
      </c>
      <c r="AV87" s="2">
        <f t="shared" si="87"/>
        <v>532</v>
      </c>
      <c r="AW87" s="2">
        <f t="shared" si="87"/>
        <v>558</v>
      </c>
      <c r="AX87" s="2">
        <f t="shared" ref="AX87" si="88">AX13+AX21+AX28+AX41+AX46+AX55</f>
        <v>529</v>
      </c>
      <c r="AY87" s="2">
        <f t="shared" ref="AY87:AZ87" si="89">AY13+AY21+AY28+AY41+AY46+AY55</f>
        <v>663</v>
      </c>
      <c r="AZ87" s="2">
        <f t="shared" si="89"/>
        <v>654</v>
      </c>
      <c r="BA87" s="2">
        <f t="shared" ref="BA87:BB87" si="90">BA13+BA21+BA28+BA41+BA46+BA55</f>
        <v>596</v>
      </c>
      <c r="BB87" s="2">
        <f t="shared" si="90"/>
        <v>576</v>
      </c>
      <c r="BC87" s="8"/>
    </row>
    <row r="88" spans="1:55" ht="13.5" customHeight="1" x14ac:dyDescent="0.2">
      <c r="A88" s="7"/>
      <c r="B88" s="2"/>
      <c r="C88" s="2" t="s">
        <v>7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>
        <f t="shared" ref="W88:AA88" si="91">W14+W22+W29+W47+W56</f>
        <v>44</v>
      </c>
      <c r="X88" s="2">
        <f t="shared" si="91"/>
        <v>37</v>
      </c>
      <c r="Y88" s="2">
        <f t="shared" si="91"/>
        <v>39</v>
      </c>
      <c r="Z88" s="2">
        <f t="shared" si="91"/>
        <v>52</v>
      </c>
      <c r="AA88" s="2">
        <f t="shared" si="91"/>
        <v>63</v>
      </c>
      <c r="AB88" s="2">
        <f t="shared" ref="AB88:AW88" si="92">AB14+AB22+AB29+AB47+AB56</f>
        <v>59</v>
      </c>
      <c r="AC88" s="2">
        <f t="shared" si="92"/>
        <v>58</v>
      </c>
      <c r="AD88" s="2">
        <f t="shared" si="92"/>
        <v>66</v>
      </c>
      <c r="AE88" s="2">
        <f t="shared" si="92"/>
        <v>60</v>
      </c>
      <c r="AF88" s="2">
        <f t="shared" si="92"/>
        <v>65</v>
      </c>
      <c r="AG88" s="2">
        <f t="shared" si="92"/>
        <v>59</v>
      </c>
      <c r="AH88" s="2">
        <f t="shared" si="92"/>
        <v>61</v>
      </c>
      <c r="AI88" s="2">
        <f t="shared" si="92"/>
        <v>44</v>
      </c>
      <c r="AJ88" s="2">
        <f t="shared" si="92"/>
        <v>46</v>
      </c>
      <c r="AK88" s="2">
        <f t="shared" si="92"/>
        <v>42</v>
      </c>
      <c r="AL88" s="2">
        <f t="shared" si="92"/>
        <v>45</v>
      </c>
      <c r="AM88" s="2">
        <f t="shared" si="92"/>
        <v>51</v>
      </c>
      <c r="AN88" s="2">
        <f t="shared" si="92"/>
        <v>61</v>
      </c>
      <c r="AO88" s="2">
        <f t="shared" si="92"/>
        <v>66</v>
      </c>
      <c r="AP88" s="2">
        <f t="shared" si="92"/>
        <v>74</v>
      </c>
      <c r="AQ88" s="2">
        <f t="shared" si="92"/>
        <v>63</v>
      </c>
      <c r="AR88" s="2">
        <f t="shared" si="92"/>
        <v>63</v>
      </c>
      <c r="AS88" s="2">
        <f t="shared" si="92"/>
        <v>50</v>
      </c>
      <c r="AT88" s="2">
        <f t="shared" si="92"/>
        <v>51</v>
      </c>
      <c r="AU88" s="2">
        <f t="shared" si="92"/>
        <v>65</v>
      </c>
      <c r="AV88" s="2">
        <f t="shared" si="92"/>
        <v>70</v>
      </c>
      <c r="AW88" s="2">
        <f t="shared" si="92"/>
        <v>95</v>
      </c>
      <c r="AX88" s="2">
        <f t="shared" ref="AX88" si="93">AX14+AX22+AX29+AX47+AX56</f>
        <v>70</v>
      </c>
      <c r="AY88" s="2">
        <f t="shared" ref="AY88:AZ88" si="94">AY14+AY22+AY29+AY47+AY56</f>
        <v>95</v>
      </c>
      <c r="AZ88" s="2">
        <f t="shared" si="94"/>
        <v>109</v>
      </c>
      <c r="BA88" s="2">
        <f t="shared" ref="BA88:BB88" si="95">BA14+BA22+BA29+BA47+BA56</f>
        <v>88</v>
      </c>
      <c r="BB88" s="2">
        <f t="shared" si="95"/>
        <v>116</v>
      </c>
      <c r="BC88" s="8"/>
    </row>
    <row r="89" spans="1:55" ht="13.5" customHeight="1" x14ac:dyDescent="0.2">
      <c r="A89" s="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1">
        <f t="shared" ref="W89:AA89" si="96">SUM(W84:W88)</f>
        <v>1384</v>
      </c>
      <c r="X89" s="11">
        <f t="shared" si="96"/>
        <v>1257</v>
      </c>
      <c r="Y89" s="11">
        <f t="shared" si="96"/>
        <v>1158</v>
      </c>
      <c r="Z89" s="11">
        <f t="shared" si="96"/>
        <v>1094</v>
      </c>
      <c r="AA89" s="11">
        <f t="shared" si="96"/>
        <v>995</v>
      </c>
      <c r="AB89" s="11">
        <f t="shared" ref="AB89:AP89" si="97">SUM(AB84:AB88)</f>
        <v>1007</v>
      </c>
      <c r="AC89" s="11">
        <f t="shared" si="97"/>
        <v>1079</v>
      </c>
      <c r="AD89" s="11">
        <f t="shared" si="97"/>
        <v>1126</v>
      </c>
      <c r="AE89" s="11">
        <f t="shared" si="97"/>
        <v>1070</v>
      </c>
      <c r="AF89" s="11">
        <f t="shared" si="97"/>
        <v>1049</v>
      </c>
      <c r="AG89" s="11">
        <f t="shared" si="97"/>
        <v>1174</v>
      </c>
      <c r="AH89" s="11">
        <f t="shared" si="97"/>
        <v>1097</v>
      </c>
      <c r="AI89" s="11">
        <f t="shared" si="97"/>
        <v>1064</v>
      </c>
      <c r="AJ89" s="11">
        <f t="shared" si="97"/>
        <v>1062</v>
      </c>
      <c r="AK89" s="11">
        <f t="shared" si="97"/>
        <v>1050</v>
      </c>
      <c r="AL89" s="11">
        <f t="shared" si="97"/>
        <v>1126</v>
      </c>
      <c r="AM89" s="11">
        <f t="shared" si="97"/>
        <v>1171</v>
      </c>
      <c r="AN89" s="11">
        <f t="shared" si="97"/>
        <v>1319</v>
      </c>
      <c r="AO89" s="11">
        <f t="shared" si="97"/>
        <v>1224</v>
      </c>
      <c r="AP89" s="11">
        <f t="shared" si="97"/>
        <v>1198</v>
      </c>
      <c r="AQ89" s="11">
        <f t="shared" ref="AQ89:AW89" si="98">SUM(AQ83:AQ88)</f>
        <v>1295</v>
      </c>
      <c r="AR89" s="11">
        <f t="shared" si="98"/>
        <v>1465</v>
      </c>
      <c r="AS89" s="11">
        <f t="shared" si="98"/>
        <v>1540</v>
      </c>
      <c r="AT89" s="11">
        <f t="shared" si="98"/>
        <v>1620</v>
      </c>
      <c r="AU89" s="11">
        <f t="shared" si="98"/>
        <v>1744</v>
      </c>
      <c r="AV89" s="11">
        <f t="shared" si="98"/>
        <v>1908</v>
      </c>
      <c r="AW89" s="11">
        <f t="shared" si="98"/>
        <v>2074</v>
      </c>
      <c r="AX89" s="11">
        <f t="shared" ref="AX89" si="99">SUM(AX83:AX88)</f>
        <v>2005</v>
      </c>
      <c r="AY89" s="11">
        <f t="shared" ref="AY89:AZ89" si="100">SUM(AY83:AY88)</f>
        <v>2339</v>
      </c>
      <c r="AZ89" s="11">
        <f t="shared" si="100"/>
        <v>2397</v>
      </c>
      <c r="BA89" s="11">
        <f t="shared" ref="BA89:BB89" si="101">SUM(BA83:BA88)</f>
        <v>2268</v>
      </c>
      <c r="BB89" s="11">
        <f t="shared" si="101"/>
        <v>2464</v>
      </c>
      <c r="BC89" s="8"/>
    </row>
    <row r="90" spans="1:55" ht="13.5" customHeight="1" x14ac:dyDescent="0.2">
      <c r="A90" s="7"/>
      <c r="B90" s="4"/>
      <c r="C90" s="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4"/>
      <c r="AN90" s="23"/>
      <c r="AO90" s="4"/>
      <c r="AP90" s="23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8"/>
    </row>
    <row r="91" spans="1:55" ht="13.5" customHeight="1" x14ac:dyDescent="0.2">
      <c r="A91" s="7"/>
      <c r="B91" s="40" t="s">
        <v>115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8"/>
    </row>
    <row r="92" spans="1:55" ht="13.5" customHeight="1" x14ac:dyDescent="0.2">
      <c r="A92" s="7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8"/>
    </row>
    <row r="93" spans="1:55" ht="13.5" customHeight="1" x14ac:dyDescent="0.2">
      <c r="A93" s="7"/>
      <c r="B93" s="43" t="s">
        <v>116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</row>
    <row r="94" spans="1:55" ht="13.5" customHeight="1" x14ac:dyDescent="0.2">
      <c r="A94" s="7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2"/>
      <c r="AP94" s="3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8"/>
    </row>
    <row r="95" spans="1:55" ht="13.5" customHeight="1" x14ac:dyDescent="0.2">
      <c r="A95" s="7"/>
      <c r="B95" s="2" t="s">
        <v>103</v>
      </c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"/>
      <c r="AN95" s="3"/>
      <c r="AO95" s="2"/>
      <c r="AP95" s="3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8"/>
    </row>
    <row r="96" spans="1:55" ht="13.5" customHeight="1" x14ac:dyDescent="0.2">
      <c r="A96" s="7"/>
      <c r="B96" s="2" t="s">
        <v>100</v>
      </c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2"/>
      <c r="AN96" s="3"/>
      <c r="AO96" s="2"/>
      <c r="AP96" s="3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8"/>
    </row>
    <row r="97" spans="1:55" ht="13.5" customHeight="1" x14ac:dyDescent="0.2">
      <c r="A97" s="7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2"/>
      <c r="AN97" s="3"/>
      <c r="AO97" s="2"/>
      <c r="AP97" s="3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8"/>
    </row>
    <row r="98" spans="1:55" ht="13.5" customHeight="1" x14ac:dyDescent="0.2">
      <c r="A98" s="7"/>
      <c r="B98" s="3" t="s">
        <v>104</v>
      </c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2"/>
      <c r="AN98" s="3"/>
      <c r="AO98" s="2"/>
      <c r="AP98" s="3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8"/>
    </row>
    <row r="99" spans="1:55" ht="13.5" customHeight="1" x14ac:dyDescent="0.2">
      <c r="A99" s="7"/>
      <c r="B99" s="2" t="s">
        <v>94</v>
      </c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2"/>
      <c r="AN99" s="3"/>
      <c r="AO99" s="2"/>
      <c r="AP99" s="3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8"/>
    </row>
    <row r="100" spans="1:55" ht="13.5" customHeight="1" x14ac:dyDescent="0.2">
      <c r="A100" s="7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2"/>
      <c r="AP100" s="3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8"/>
    </row>
    <row r="101" spans="1:55" ht="13.5" customHeight="1" x14ac:dyDescent="0.2">
      <c r="A101" s="12"/>
      <c r="B101" s="38" t="s">
        <v>31</v>
      </c>
      <c r="C101" s="3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31"/>
      <c r="AY101" s="16"/>
      <c r="AZ101" s="16"/>
      <c r="BA101" s="16"/>
      <c r="BB101" s="16" t="s">
        <v>117</v>
      </c>
      <c r="BC101" s="13"/>
    </row>
  </sheetData>
  <mergeCells count="4">
    <mergeCell ref="A2:BC2"/>
    <mergeCell ref="B101:C101"/>
    <mergeCell ref="B91:BB92"/>
    <mergeCell ref="B93:BB93"/>
  </mergeCells>
  <hyperlinks>
    <hyperlink ref="B101:C101" r:id="rId1" display="Source: IPEDS C, Completions Survey"/>
    <hyperlink ref="B93" r:id="rId2"/>
    <hyperlink ref="B93:BB93" r:id="rId3" display="https://dhe.mo.gov/documents/performancefunding2018.pdf"/>
  </hyperlinks>
  <printOptions horizontalCentered="1"/>
  <pageMargins left="0.7" right="0.45" top="0.5" bottom="0.25" header="0.3" footer="0.3"/>
  <pageSetup orientation="portrait" r:id="rId4"/>
  <rowBreaks count="1" manualBreakCount="1">
    <brk id="57" max="16383" man="1"/>
  </rowBreaks>
  <ignoredErrors>
    <ignoredError sqref="AJ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48"/>
  <sheetViews>
    <sheetView zoomScaleNormal="100" workbookViewId="0">
      <pane ySplit="7" topLeftCell="A8" activePane="bottomLeft" state="frozen"/>
      <selection pane="bottomLeft"/>
    </sheetView>
  </sheetViews>
  <sheetFormatPr defaultRowHeight="13.5" customHeight="1" x14ac:dyDescent="0.2"/>
  <cols>
    <col min="1" max="2" width="2.7109375" style="1" customWidth="1"/>
    <col min="3" max="3" width="25.7109375" style="1" customWidth="1"/>
    <col min="4" max="39" width="7.7109375" style="1" hidden="1" customWidth="1"/>
    <col min="40" max="40" width="7.7109375" style="20" hidden="1" customWidth="1"/>
    <col min="41" max="41" width="7.7109375" style="1" hidden="1" customWidth="1"/>
    <col min="42" max="42" width="7.7109375" style="20" hidden="1" customWidth="1"/>
    <col min="43" max="48" width="7.7109375" style="1" hidden="1" customWidth="1"/>
    <col min="49" max="54" width="7.7109375" style="1" customWidth="1"/>
    <col min="55" max="55" width="2.7109375" style="1" customWidth="1"/>
    <col min="56" max="16384" width="9.140625" style="1"/>
  </cols>
  <sheetData>
    <row r="2" spans="1:55" ht="15" customHeight="1" x14ac:dyDescent="0.25">
      <c r="A2" s="35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7"/>
    </row>
    <row r="3" spans="1:55" ht="13.5" customHeight="1" x14ac:dyDescent="0.2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8"/>
    </row>
    <row r="4" spans="1:55" ht="15" customHeight="1" x14ac:dyDescent="0.25">
      <c r="A4" s="7"/>
      <c r="B4" s="9" t="s">
        <v>109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2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8"/>
    </row>
    <row r="5" spans="1:55" ht="15" customHeight="1" x14ac:dyDescent="0.25">
      <c r="A5" s="7"/>
      <c r="B5" s="9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"/>
      <c r="AO5" s="2"/>
      <c r="AP5" s="3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8"/>
    </row>
    <row r="6" spans="1:55" ht="13.5" customHeight="1" x14ac:dyDescent="0.2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  <c r="AO6" s="2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8"/>
    </row>
    <row r="7" spans="1:55" ht="13.5" customHeight="1" thickBot="1" x14ac:dyDescent="0.25">
      <c r="A7" s="7"/>
      <c r="B7" s="5"/>
      <c r="C7" s="5"/>
      <c r="D7" s="6" t="s">
        <v>63</v>
      </c>
      <c r="E7" s="6" t="s">
        <v>62</v>
      </c>
      <c r="F7" s="6" t="s">
        <v>61</v>
      </c>
      <c r="G7" s="6" t="s">
        <v>60</v>
      </c>
      <c r="H7" s="6" t="s">
        <v>59</v>
      </c>
      <c r="I7" s="6" t="s">
        <v>58</v>
      </c>
      <c r="J7" s="6" t="s">
        <v>57</v>
      </c>
      <c r="K7" s="6" t="s">
        <v>56</v>
      </c>
      <c r="L7" s="6" t="s">
        <v>55</v>
      </c>
      <c r="M7" s="6" t="s">
        <v>54</v>
      </c>
      <c r="N7" s="6" t="s">
        <v>53</v>
      </c>
      <c r="O7" s="6" t="s">
        <v>52</v>
      </c>
      <c r="P7" s="6" t="s">
        <v>51</v>
      </c>
      <c r="Q7" s="6" t="s">
        <v>50</v>
      </c>
      <c r="R7" s="6" t="s">
        <v>49</v>
      </c>
      <c r="S7" s="6" t="s">
        <v>48</v>
      </c>
      <c r="T7" s="6" t="s">
        <v>47</v>
      </c>
      <c r="U7" s="6" t="s">
        <v>46</v>
      </c>
      <c r="V7" s="6" t="s">
        <v>45</v>
      </c>
      <c r="W7" s="6" t="s">
        <v>42</v>
      </c>
      <c r="X7" s="6" t="s">
        <v>43</v>
      </c>
      <c r="Y7" s="6" t="s">
        <v>39</v>
      </c>
      <c r="Z7" s="6" t="s">
        <v>40</v>
      </c>
      <c r="AA7" s="6" t="s">
        <v>41</v>
      </c>
      <c r="AB7" s="6" t="s">
        <v>38</v>
      </c>
      <c r="AC7" s="6" t="s">
        <v>37</v>
      </c>
      <c r="AD7" s="6" t="s">
        <v>36</v>
      </c>
      <c r="AE7" s="6" t="s">
        <v>35</v>
      </c>
      <c r="AF7" s="6" t="s">
        <v>34</v>
      </c>
      <c r="AG7" s="6" t="s">
        <v>22</v>
      </c>
      <c r="AH7" s="6" t="s">
        <v>21</v>
      </c>
      <c r="AI7" s="6" t="s">
        <v>20</v>
      </c>
      <c r="AJ7" s="6" t="s">
        <v>19</v>
      </c>
      <c r="AK7" s="6" t="s">
        <v>18</v>
      </c>
      <c r="AL7" s="6" t="s">
        <v>17</v>
      </c>
      <c r="AM7" s="6" t="s">
        <v>16</v>
      </c>
      <c r="AN7" s="21" t="s">
        <v>15</v>
      </c>
      <c r="AO7" s="6" t="s">
        <v>14</v>
      </c>
      <c r="AP7" s="21" t="s">
        <v>13</v>
      </c>
      <c r="AQ7" s="6" t="s">
        <v>12</v>
      </c>
      <c r="AR7" s="6" t="s">
        <v>8</v>
      </c>
      <c r="AS7" s="6" t="s">
        <v>6</v>
      </c>
      <c r="AT7" s="6" t="s">
        <v>3</v>
      </c>
      <c r="AU7" s="6" t="s">
        <v>1</v>
      </c>
      <c r="AV7" s="6" t="s">
        <v>2</v>
      </c>
      <c r="AW7" s="6" t="s">
        <v>4</v>
      </c>
      <c r="AX7" s="6" t="s">
        <v>108</v>
      </c>
      <c r="AY7" s="6" t="s">
        <v>110</v>
      </c>
      <c r="AZ7" s="21" t="s">
        <v>112</v>
      </c>
      <c r="BA7" s="21" t="s">
        <v>113</v>
      </c>
      <c r="BB7" s="21" t="s">
        <v>114</v>
      </c>
      <c r="BC7" s="8"/>
    </row>
    <row r="8" spans="1:55" ht="13.5" customHeight="1" thickTop="1" x14ac:dyDescent="0.2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"/>
      <c r="AO8" s="2"/>
      <c r="AP8" s="3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8"/>
    </row>
    <row r="9" spans="1:55" ht="13.5" customHeight="1" x14ac:dyDescent="0.2">
      <c r="A9" s="7"/>
      <c r="B9" s="26" t="s">
        <v>30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8"/>
    </row>
    <row r="10" spans="1:55" ht="13.5" customHeight="1" x14ac:dyDescent="0.2">
      <c r="A10" s="7"/>
      <c r="B10" s="10" t="s">
        <v>67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/>
      <c r="AO10" s="2"/>
      <c r="AP10" s="3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8"/>
    </row>
    <row r="11" spans="1:55" ht="13.5" customHeight="1" x14ac:dyDescent="0.2">
      <c r="A11" s="7"/>
      <c r="B11" s="10"/>
      <c r="C11" s="3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/>
      <c r="AO11" s="2"/>
      <c r="AP11" s="3"/>
      <c r="AQ11" s="2"/>
      <c r="AR11" s="2"/>
      <c r="AS11" s="2"/>
      <c r="AT11" s="2"/>
      <c r="AU11" s="2"/>
      <c r="AV11" s="2"/>
      <c r="AW11" s="2">
        <v>0</v>
      </c>
      <c r="AX11" s="2">
        <v>13</v>
      </c>
      <c r="AY11" s="2">
        <v>19</v>
      </c>
      <c r="AZ11" s="2">
        <v>18</v>
      </c>
      <c r="BA11" s="2">
        <v>8</v>
      </c>
      <c r="BB11" s="2">
        <v>6</v>
      </c>
      <c r="BC11" s="8"/>
    </row>
    <row r="12" spans="1:55" ht="13.5" customHeight="1" x14ac:dyDescent="0.2">
      <c r="A12" s="7"/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v>3</v>
      </c>
      <c r="AH12" s="3">
        <v>0</v>
      </c>
      <c r="AI12" s="3">
        <v>2</v>
      </c>
      <c r="AJ12" s="2">
        <v>7</v>
      </c>
      <c r="AK12" s="2">
        <v>6</v>
      </c>
      <c r="AL12" s="2">
        <v>4</v>
      </c>
      <c r="AM12" s="2">
        <v>1</v>
      </c>
      <c r="AN12" s="3">
        <v>1</v>
      </c>
      <c r="AO12" s="2">
        <v>0</v>
      </c>
      <c r="AP12" s="3">
        <v>0</v>
      </c>
      <c r="AQ12" s="2">
        <v>2</v>
      </c>
      <c r="AR12" s="2">
        <v>2</v>
      </c>
      <c r="AS12" s="2">
        <v>2</v>
      </c>
      <c r="AT12" s="2">
        <v>3</v>
      </c>
      <c r="AU12" s="2">
        <v>1</v>
      </c>
      <c r="AV12" s="2">
        <v>2</v>
      </c>
      <c r="AW12" s="2">
        <v>4</v>
      </c>
      <c r="AX12" s="2">
        <v>5</v>
      </c>
      <c r="AY12" s="2">
        <v>2</v>
      </c>
      <c r="AZ12" s="2">
        <v>4</v>
      </c>
      <c r="BA12" s="2">
        <v>2</v>
      </c>
      <c r="BB12" s="2">
        <v>4</v>
      </c>
      <c r="BC12" s="8"/>
    </row>
    <row r="13" spans="1:55" ht="13.5" hidden="1" customHeight="1" x14ac:dyDescent="0.2">
      <c r="A13" s="7"/>
      <c r="B13" s="2"/>
      <c r="C13" s="2" t="s">
        <v>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9">
        <f>3-AG12</f>
        <v>0</v>
      </c>
      <c r="AH13" s="19">
        <f>0-AH12</f>
        <v>0</v>
      </c>
      <c r="AI13" s="19">
        <f>2-AI12</f>
        <v>0</v>
      </c>
      <c r="AJ13" s="2"/>
      <c r="AK13" s="2"/>
      <c r="AL13" s="2"/>
      <c r="AM13" s="2"/>
      <c r="AN13" s="3"/>
      <c r="AO13" s="2"/>
      <c r="AP13" s="3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8"/>
    </row>
    <row r="14" spans="1:55" ht="13.5" customHeight="1" x14ac:dyDescent="0.2">
      <c r="A14" s="7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1">
        <f t="shared" ref="AG14:AW14" si="0">SUM(AG11:AG13)</f>
        <v>3</v>
      </c>
      <c r="AH14" s="11">
        <f t="shared" si="0"/>
        <v>0</v>
      </c>
      <c r="AI14" s="11">
        <f t="shared" si="0"/>
        <v>2</v>
      </c>
      <c r="AJ14" s="11">
        <f t="shared" si="0"/>
        <v>7</v>
      </c>
      <c r="AK14" s="11">
        <f t="shared" si="0"/>
        <v>6</v>
      </c>
      <c r="AL14" s="11">
        <f t="shared" si="0"/>
        <v>4</v>
      </c>
      <c r="AM14" s="11">
        <f t="shared" si="0"/>
        <v>1</v>
      </c>
      <c r="AN14" s="11">
        <f t="shared" si="0"/>
        <v>1</v>
      </c>
      <c r="AO14" s="11">
        <f t="shared" si="0"/>
        <v>0</v>
      </c>
      <c r="AP14" s="11">
        <f t="shared" si="0"/>
        <v>0</v>
      </c>
      <c r="AQ14" s="11">
        <f t="shared" si="0"/>
        <v>2</v>
      </c>
      <c r="AR14" s="11">
        <f t="shared" si="0"/>
        <v>2</v>
      </c>
      <c r="AS14" s="11">
        <f t="shared" si="0"/>
        <v>2</v>
      </c>
      <c r="AT14" s="11">
        <f t="shared" si="0"/>
        <v>3</v>
      </c>
      <c r="AU14" s="11">
        <f t="shared" si="0"/>
        <v>1</v>
      </c>
      <c r="AV14" s="11">
        <f t="shared" si="0"/>
        <v>2</v>
      </c>
      <c r="AW14" s="11">
        <f t="shared" si="0"/>
        <v>4</v>
      </c>
      <c r="AX14" s="11">
        <f>SUM(AX11:AX13)</f>
        <v>18</v>
      </c>
      <c r="AY14" s="11">
        <f>SUM(AY11:AY13)</f>
        <v>21</v>
      </c>
      <c r="AZ14" s="11">
        <f>SUM(AZ11:AZ13)</f>
        <v>22</v>
      </c>
      <c r="BA14" s="11">
        <f>SUM(BA11:BA13)</f>
        <v>10</v>
      </c>
      <c r="BB14" s="11">
        <f>SUM(BB11:BB13)</f>
        <v>10</v>
      </c>
      <c r="BC14" s="8"/>
    </row>
    <row r="15" spans="1:55" ht="13.5" customHeight="1" x14ac:dyDescent="0.2">
      <c r="A15" s="7"/>
      <c r="B15" s="10" t="s">
        <v>68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"/>
      <c r="AO15" s="2"/>
      <c r="AP15" s="3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8"/>
    </row>
    <row r="16" spans="1:55" ht="13.5" customHeight="1" x14ac:dyDescent="0.2">
      <c r="A16" s="7"/>
      <c r="B16" s="10"/>
      <c r="C16" s="3" t="s">
        <v>10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/>
      <c r="AO16" s="2"/>
      <c r="AP16" s="3"/>
      <c r="AQ16" s="2"/>
      <c r="AR16" s="2"/>
      <c r="AS16" s="2"/>
      <c r="AT16" s="2"/>
      <c r="AU16" s="2"/>
      <c r="AV16" s="2"/>
      <c r="AW16" s="2">
        <v>0</v>
      </c>
      <c r="AX16" s="2">
        <v>0</v>
      </c>
      <c r="AY16" s="2">
        <v>1</v>
      </c>
      <c r="AZ16" s="2">
        <v>0</v>
      </c>
      <c r="BA16" s="2">
        <v>0</v>
      </c>
      <c r="BB16" s="2">
        <v>5</v>
      </c>
      <c r="BC16" s="8"/>
    </row>
    <row r="17" spans="1:55" ht="13.5" customHeight="1" x14ac:dyDescent="0.2">
      <c r="A17" s="7"/>
      <c r="B17" s="2"/>
      <c r="C17" s="2" t="s"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"/>
      <c r="AB17" s="2">
        <v>91</v>
      </c>
      <c r="AC17" s="2">
        <v>89</v>
      </c>
      <c r="AD17" s="2">
        <v>93</v>
      </c>
      <c r="AE17" s="2">
        <v>91</v>
      </c>
      <c r="AF17" s="2">
        <v>97</v>
      </c>
      <c r="AG17" s="2">
        <v>122</v>
      </c>
      <c r="AH17" s="2">
        <v>102</v>
      </c>
      <c r="AI17" s="2">
        <v>103</v>
      </c>
      <c r="AJ17" s="2">
        <v>99</v>
      </c>
      <c r="AK17" s="2">
        <v>118</v>
      </c>
      <c r="AL17" s="2">
        <v>139</v>
      </c>
      <c r="AM17" s="2">
        <v>136</v>
      </c>
      <c r="AN17" s="3">
        <v>123</v>
      </c>
      <c r="AO17" s="2">
        <v>148</v>
      </c>
      <c r="AP17" s="3">
        <v>141</v>
      </c>
      <c r="AQ17" s="2">
        <v>141</v>
      </c>
      <c r="AR17" s="2">
        <v>128</v>
      </c>
      <c r="AS17" s="2">
        <v>115</v>
      </c>
      <c r="AT17" s="2">
        <v>133</v>
      </c>
      <c r="AU17" s="2">
        <v>132</v>
      </c>
      <c r="AV17" s="2">
        <v>123</v>
      </c>
      <c r="AW17" s="2">
        <v>141</v>
      </c>
      <c r="AX17" s="2">
        <v>135</v>
      </c>
      <c r="AY17" s="2">
        <v>154</v>
      </c>
      <c r="AZ17" s="2">
        <v>150</v>
      </c>
      <c r="BA17" s="2">
        <v>111</v>
      </c>
      <c r="BB17" s="2">
        <v>121</v>
      </c>
      <c r="BC17" s="8"/>
    </row>
    <row r="18" spans="1:55" ht="13.5" customHeight="1" x14ac:dyDescent="0.2">
      <c r="A18" s="7"/>
      <c r="B18" s="2"/>
      <c r="C18" s="2" t="s">
        <v>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3"/>
      <c r="AO18" s="2"/>
      <c r="AP18" s="3"/>
      <c r="AQ18" s="2"/>
      <c r="AR18" s="2"/>
      <c r="AS18" s="2"/>
      <c r="AT18" s="2"/>
      <c r="AU18" s="2"/>
      <c r="AV18" s="2"/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1</v>
      </c>
      <c r="BC18" s="8"/>
    </row>
    <row r="19" spans="1:55" ht="13.5" customHeight="1" x14ac:dyDescent="0.2">
      <c r="A19" s="7"/>
      <c r="B19" s="2"/>
      <c r="C19" s="2" t="s">
        <v>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2">
        <v>0</v>
      </c>
      <c r="AL19" s="2">
        <v>0</v>
      </c>
      <c r="AM19" s="2">
        <v>2</v>
      </c>
      <c r="AN19" s="3">
        <v>2</v>
      </c>
      <c r="AO19" s="2">
        <v>7</v>
      </c>
      <c r="AP19" s="3">
        <v>15</v>
      </c>
      <c r="AQ19" s="2">
        <v>14</v>
      </c>
      <c r="AR19" s="2">
        <v>16</v>
      </c>
      <c r="AS19" s="2">
        <v>8</v>
      </c>
      <c r="AT19" s="2">
        <v>13</v>
      </c>
      <c r="AU19" s="2">
        <v>6</v>
      </c>
      <c r="AV19" s="2">
        <v>17</v>
      </c>
      <c r="AW19" s="2">
        <v>4</v>
      </c>
      <c r="AX19" s="2">
        <v>8</v>
      </c>
      <c r="AY19" s="2">
        <v>7</v>
      </c>
      <c r="AZ19" s="2">
        <v>2</v>
      </c>
      <c r="BA19" s="2">
        <v>7</v>
      </c>
      <c r="BB19" s="2">
        <v>6</v>
      </c>
      <c r="BC19" s="8"/>
    </row>
    <row r="20" spans="1:55" ht="13.5" customHeight="1" x14ac:dyDescent="0.2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>
        <f t="shared" ref="AB20:AD20" si="1">AB17</f>
        <v>91</v>
      </c>
      <c r="AC20" s="11">
        <f t="shared" si="1"/>
        <v>89</v>
      </c>
      <c r="AD20" s="11">
        <f t="shared" si="1"/>
        <v>93</v>
      </c>
      <c r="AE20" s="11">
        <f t="shared" ref="AE20:AG20" si="2">AE17</f>
        <v>91</v>
      </c>
      <c r="AF20" s="11">
        <f t="shared" si="2"/>
        <v>97</v>
      </c>
      <c r="AG20" s="11">
        <f t="shared" si="2"/>
        <v>122</v>
      </c>
      <c r="AH20" s="11">
        <f t="shared" ref="AH20" si="3">AH17</f>
        <v>102</v>
      </c>
      <c r="AI20" s="11">
        <f>AI17</f>
        <v>103</v>
      </c>
      <c r="AJ20" s="11">
        <f>AJ17</f>
        <v>99</v>
      </c>
      <c r="AK20" s="11">
        <f t="shared" ref="AK20:AU20" si="4">SUM(AK17:AK19)</f>
        <v>118</v>
      </c>
      <c r="AL20" s="11">
        <f t="shared" si="4"/>
        <v>139</v>
      </c>
      <c r="AM20" s="11">
        <f t="shared" si="4"/>
        <v>138</v>
      </c>
      <c r="AN20" s="22">
        <f t="shared" si="4"/>
        <v>125</v>
      </c>
      <c r="AO20" s="11">
        <f t="shared" si="4"/>
        <v>155</v>
      </c>
      <c r="AP20" s="22">
        <f t="shared" si="4"/>
        <v>156</v>
      </c>
      <c r="AQ20" s="11">
        <f t="shared" si="4"/>
        <v>155</v>
      </c>
      <c r="AR20" s="11">
        <f t="shared" si="4"/>
        <v>144</v>
      </c>
      <c r="AS20" s="11">
        <f t="shared" si="4"/>
        <v>123</v>
      </c>
      <c r="AT20" s="11">
        <f>SUM(AT17:AT19)</f>
        <v>146</v>
      </c>
      <c r="AU20" s="11">
        <f t="shared" si="4"/>
        <v>138</v>
      </c>
      <c r="AV20" s="11">
        <f>SUM(AV17:AV19)</f>
        <v>140</v>
      </c>
      <c r="AW20" s="11">
        <f>SUM(AW16:AW19)</f>
        <v>145</v>
      </c>
      <c r="AX20" s="11">
        <f t="shared" ref="AX20" si="5">SUM(AX16:AX19)</f>
        <v>143</v>
      </c>
      <c r="AY20" s="11">
        <f>SUM(AY16:AY19)</f>
        <v>162</v>
      </c>
      <c r="AZ20" s="11">
        <f>SUM(AZ16:AZ19)</f>
        <v>152</v>
      </c>
      <c r="BA20" s="11">
        <f>SUM(BA16:BA19)</f>
        <v>118</v>
      </c>
      <c r="BB20" s="11">
        <f>SUM(BB16:BB19)</f>
        <v>133</v>
      </c>
      <c r="BC20" s="8"/>
    </row>
    <row r="21" spans="1:55" ht="13.5" customHeight="1" x14ac:dyDescent="0.2">
      <c r="A21" s="7"/>
      <c r="B21" s="10" t="s">
        <v>69</v>
      </c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"/>
      <c r="AO21" s="2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8"/>
    </row>
    <row r="22" spans="1:55" ht="13.5" customHeight="1" x14ac:dyDescent="0.2">
      <c r="A22" s="7"/>
      <c r="B22" s="10"/>
      <c r="C22" s="3" t="s">
        <v>10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"/>
      <c r="AO22" s="2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3">
        <v>0</v>
      </c>
      <c r="BA22" s="2">
        <v>2</v>
      </c>
      <c r="BB22" s="2">
        <v>8</v>
      </c>
      <c r="BC22" s="8"/>
    </row>
    <row r="23" spans="1:55" ht="13.5" customHeight="1" x14ac:dyDescent="0.2">
      <c r="A23" s="7"/>
      <c r="B23" s="2"/>
      <c r="C23" s="3" t="s"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35</v>
      </c>
      <c r="X23" s="2">
        <v>40</v>
      </c>
      <c r="Y23" s="2">
        <v>28</v>
      </c>
      <c r="Z23" s="2">
        <v>37</v>
      </c>
      <c r="AA23" s="2">
        <v>34</v>
      </c>
      <c r="AB23" s="2">
        <v>19</v>
      </c>
      <c r="AC23" s="2">
        <v>23</v>
      </c>
      <c r="AD23" s="2">
        <v>30</v>
      </c>
      <c r="AE23" s="2">
        <v>20</v>
      </c>
      <c r="AF23" s="2">
        <v>27</v>
      </c>
      <c r="AG23" s="2">
        <v>24</v>
      </c>
      <c r="AH23" s="2">
        <v>24</v>
      </c>
      <c r="AI23" s="2">
        <v>19</v>
      </c>
      <c r="AJ23" s="2">
        <v>29</v>
      </c>
      <c r="AK23" s="2">
        <v>35</v>
      </c>
      <c r="AL23" s="2">
        <v>40</v>
      </c>
      <c r="AM23" s="2">
        <v>55</v>
      </c>
      <c r="AN23" s="3">
        <v>51</v>
      </c>
      <c r="AO23" s="2">
        <v>47</v>
      </c>
      <c r="AP23" s="3">
        <v>34</v>
      </c>
      <c r="AQ23" s="2">
        <v>24</v>
      </c>
      <c r="AR23" s="2">
        <v>24</v>
      </c>
      <c r="AS23" s="2">
        <v>20</v>
      </c>
      <c r="AT23" s="2">
        <v>16</v>
      </c>
      <c r="AU23" s="2">
        <v>15</v>
      </c>
      <c r="AV23" s="2">
        <v>15</v>
      </c>
      <c r="AW23" s="2">
        <v>21</v>
      </c>
      <c r="AX23" s="2">
        <v>22</v>
      </c>
      <c r="AY23" s="2">
        <v>33</v>
      </c>
      <c r="AZ23" s="3">
        <v>35</v>
      </c>
      <c r="BA23" s="2">
        <v>60</v>
      </c>
      <c r="BB23" s="2">
        <v>66</v>
      </c>
      <c r="BC23" s="8"/>
    </row>
    <row r="24" spans="1:55" ht="13.5" customHeight="1" x14ac:dyDescent="0.2">
      <c r="A24" s="7"/>
      <c r="B24" s="2"/>
      <c r="C24" s="3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"/>
      <c r="AO24" s="2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3">
        <v>0</v>
      </c>
      <c r="BA24" s="2">
        <v>8</v>
      </c>
      <c r="BB24" s="2">
        <v>10</v>
      </c>
      <c r="BC24" s="8"/>
    </row>
    <row r="25" spans="1:55" ht="13.5" customHeight="1" x14ac:dyDescent="0.2">
      <c r="A25" s="7"/>
      <c r="B25" s="2"/>
      <c r="C25" s="3" t="s">
        <v>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2">
        <v>1</v>
      </c>
      <c r="AK25" s="2">
        <v>8</v>
      </c>
      <c r="AL25" s="2">
        <v>22</v>
      </c>
      <c r="AM25" s="2">
        <v>27</v>
      </c>
      <c r="AN25" s="3">
        <v>37</v>
      </c>
      <c r="AO25" s="2">
        <v>20</v>
      </c>
      <c r="AP25" s="3">
        <v>28</v>
      </c>
      <c r="AQ25" s="2">
        <v>25</v>
      </c>
      <c r="AR25" s="2">
        <v>17</v>
      </c>
      <c r="AS25" s="2">
        <v>25</v>
      </c>
      <c r="AT25" s="2">
        <v>18</v>
      </c>
      <c r="AU25" s="2">
        <v>11</v>
      </c>
      <c r="AV25" s="2">
        <v>13</v>
      </c>
      <c r="AW25" s="2">
        <v>10</v>
      </c>
      <c r="AX25" s="2">
        <v>10</v>
      </c>
      <c r="AY25" s="2">
        <v>14</v>
      </c>
      <c r="AZ25" s="2">
        <v>7</v>
      </c>
      <c r="BA25" s="2">
        <v>28</v>
      </c>
      <c r="BB25" s="2">
        <v>28</v>
      </c>
      <c r="BC25" s="8"/>
    </row>
    <row r="26" spans="1:55" ht="13.5" customHeight="1" x14ac:dyDescent="0.2">
      <c r="A26" s="7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1">
        <f t="shared" ref="W26:AA26" si="6">W23</f>
        <v>35</v>
      </c>
      <c r="X26" s="11">
        <f t="shared" si="6"/>
        <v>40</v>
      </c>
      <c r="Y26" s="11">
        <f t="shared" si="6"/>
        <v>28</v>
      </c>
      <c r="Z26" s="11">
        <f t="shared" si="6"/>
        <v>37</v>
      </c>
      <c r="AA26" s="11">
        <f t="shared" si="6"/>
        <v>34</v>
      </c>
      <c r="AB26" s="11">
        <f t="shared" ref="AB26:AD26" si="7">AB23</f>
        <v>19</v>
      </c>
      <c r="AC26" s="11">
        <f t="shared" si="7"/>
        <v>23</v>
      </c>
      <c r="AD26" s="11">
        <f t="shared" si="7"/>
        <v>30</v>
      </c>
      <c r="AE26" s="11">
        <f t="shared" ref="AE26:AG26" si="8">AE23</f>
        <v>20</v>
      </c>
      <c r="AF26" s="11">
        <f t="shared" si="8"/>
        <v>27</v>
      </c>
      <c r="AG26" s="11">
        <f t="shared" si="8"/>
        <v>24</v>
      </c>
      <c r="AH26" s="11">
        <f>AH23</f>
        <v>24</v>
      </c>
      <c r="AI26" s="11">
        <f>AI23</f>
        <v>19</v>
      </c>
      <c r="AJ26" s="11">
        <f t="shared" ref="AJ26" si="9">SUM(AJ23:AJ25)</f>
        <v>30</v>
      </c>
      <c r="AK26" s="11">
        <f t="shared" ref="AK26:AV26" si="10">SUM(AK23:AK25)</f>
        <v>43</v>
      </c>
      <c r="AL26" s="11">
        <f t="shared" si="10"/>
        <v>62</v>
      </c>
      <c r="AM26" s="11">
        <f t="shared" si="10"/>
        <v>82</v>
      </c>
      <c r="AN26" s="22">
        <f t="shared" si="10"/>
        <v>88</v>
      </c>
      <c r="AO26" s="11">
        <f t="shared" si="10"/>
        <v>67</v>
      </c>
      <c r="AP26" s="22">
        <f t="shared" si="10"/>
        <v>62</v>
      </c>
      <c r="AQ26" s="11">
        <f t="shared" si="10"/>
        <v>49</v>
      </c>
      <c r="AR26" s="11">
        <f t="shared" si="10"/>
        <v>41</v>
      </c>
      <c r="AS26" s="11">
        <f t="shared" si="10"/>
        <v>45</v>
      </c>
      <c r="AT26" s="11">
        <f t="shared" si="10"/>
        <v>34</v>
      </c>
      <c r="AU26" s="11">
        <f t="shared" si="10"/>
        <v>26</v>
      </c>
      <c r="AV26" s="11">
        <f t="shared" si="10"/>
        <v>28</v>
      </c>
      <c r="AW26" s="11">
        <f>SUM(AW23:AW25)</f>
        <v>31</v>
      </c>
      <c r="AX26" s="11">
        <f>SUM(AX23:AX25)</f>
        <v>32</v>
      </c>
      <c r="AY26" s="11">
        <f>SUM(AY23:AY25)</f>
        <v>47</v>
      </c>
      <c r="AZ26" s="11">
        <f>SUM(AZ22:AZ25)</f>
        <v>42</v>
      </c>
      <c r="BA26" s="11">
        <f>SUM(BA22:BA25)</f>
        <v>98</v>
      </c>
      <c r="BB26" s="11">
        <f>SUM(BB22:BB25)</f>
        <v>112</v>
      </c>
      <c r="BC26" s="8"/>
    </row>
    <row r="27" spans="1:55" ht="13.5" customHeight="1" x14ac:dyDescent="0.2">
      <c r="A27" s="7"/>
      <c r="B27" s="10" t="s">
        <v>70</v>
      </c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3"/>
      <c r="AO27" s="2"/>
      <c r="AP27" s="3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8"/>
    </row>
    <row r="28" spans="1:55" ht="13.5" customHeight="1" x14ac:dyDescent="0.2">
      <c r="A28" s="7"/>
      <c r="B28" s="2"/>
      <c r="C28" s="3" t="s"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149</v>
      </c>
      <c r="X28" s="2">
        <v>205</v>
      </c>
      <c r="Y28" s="2">
        <v>232</v>
      </c>
      <c r="Z28" s="2">
        <v>232</v>
      </c>
      <c r="AA28" s="2">
        <v>299</v>
      </c>
      <c r="AB28" s="2">
        <v>303</v>
      </c>
      <c r="AC28" s="2">
        <v>336</v>
      </c>
      <c r="AD28" s="2">
        <v>355</v>
      </c>
      <c r="AE28" s="2">
        <v>349</v>
      </c>
      <c r="AF28" s="2">
        <v>310</v>
      </c>
      <c r="AG28" s="2">
        <v>354</v>
      </c>
      <c r="AH28" s="2">
        <v>343</v>
      </c>
      <c r="AI28" s="2">
        <v>312</v>
      </c>
      <c r="AJ28" s="2">
        <v>303</v>
      </c>
      <c r="AK28" s="2">
        <v>332</v>
      </c>
      <c r="AL28" s="2">
        <v>309</v>
      </c>
      <c r="AM28" s="2">
        <v>281</v>
      </c>
      <c r="AN28" s="3">
        <v>292</v>
      </c>
      <c r="AO28" s="2">
        <v>285</v>
      </c>
      <c r="AP28" s="3">
        <v>256</v>
      </c>
      <c r="AQ28" s="2">
        <v>266</v>
      </c>
      <c r="AR28" s="2">
        <v>239</v>
      </c>
      <c r="AS28" s="2">
        <v>281</v>
      </c>
      <c r="AT28" s="2">
        <v>230</v>
      </c>
      <c r="AU28" s="2">
        <v>260</v>
      </c>
      <c r="AV28" s="2">
        <v>223</v>
      </c>
      <c r="AW28" s="2">
        <v>235</v>
      </c>
      <c r="AX28" s="2">
        <v>216</v>
      </c>
      <c r="AY28" s="2">
        <v>200</v>
      </c>
      <c r="AZ28" s="2">
        <v>189</v>
      </c>
      <c r="BA28" s="2">
        <v>216</v>
      </c>
      <c r="BB28" s="2">
        <v>145</v>
      </c>
      <c r="BC28" s="8"/>
    </row>
    <row r="29" spans="1:55" ht="13.5" customHeight="1" x14ac:dyDescent="0.2">
      <c r="A29" s="7"/>
      <c r="B29" s="2"/>
      <c r="C29" s="3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"/>
      <c r="AN29" s="3">
        <v>5</v>
      </c>
      <c r="AO29" s="2">
        <v>6</v>
      </c>
      <c r="AP29" s="3">
        <v>9</v>
      </c>
      <c r="AQ29" s="2">
        <v>1</v>
      </c>
      <c r="AR29" s="2">
        <v>1</v>
      </c>
      <c r="AS29" s="2">
        <v>3</v>
      </c>
      <c r="AT29" s="2">
        <v>5</v>
      </c>
      <c r="AU29" s="2">
        <v>9</v>
      </c>
      <c r="AV29" s="2">
        <v>21</v>
      </c>
      <c r="AW29" s="2">
        <v>21</v>
      </c>
      <c r="AX29" s="2">
        <v>25</v>
      </c>
      <c r="AY29" s="2">
        <v>23</v>
      </c>
      <c r="AZ29" s="2">
        <v>36</v>
      </c>
      <c r="BA29" s="2">
        <v>38</v>
      </c>
      <c r="BB29" s="2">
        <v>33</v>
      </c>
      <c r="BC29" s="8"/>
    </row>
    <row r="30" spans="1:55" ht="13.5" customHeight="1" x14ac:dyDescent="0.2">
      <c r="A30" s="7"/>
      <c r="B30" s="2"/>
      <c r="C30" s="3" t="s">
        <v>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206</v>
      </c>
      <c r="X30" s="2">
        <v>201</v>
      </c>
      <c r="Y30" s="2">
        <v>264</v>
      </c>
      <c r="Z30" s="2">
        <v>225</v>
      </c>
      <c r="AA30" s="2">
        <v>271</v>
      </c>
      <c r="AB30" s="2">
        <v>290</v>
      </c>
      <c r="AC30" s="2">
        <v>258</v>
      </c>
      <c r="AD30" s="2">
        <v>324</v>
      </c>
      <c r="AE30" s="2">
        <v>292</v>
      </c>
      <c r="AF30" s="2">
        <v>337</v>
      </c>
      <c r="AG30" s="2">
        <v>350</v>
      </c>
      <c r="AH30" s="2">
        <v>304</v>
      </c>
      <c r="AI30" s="2">
        <v>293</v>
      </c>
      <c r="AJ30" s="2">
        <v>238</v>
      </c>
      <c r="AK30" s="2">
        <v>253</v>
      </c>
      <c r="AL30" s="2">
        <v>236</v>
      </c>
      <c r="AM30" s="2">
        <v>253</v>
      </c>
      <c r="AN30" s="3">
        <v>272</v>
      </c>
      <c r="AO30" s="2">
        <v>340</v>
      </c>
      <c r="AP30" s="3">
        <v>307</v>
      </c>
      <c r="AQ30" s="2">
        <v>262</v>
      </c>
      <c r="AR30" s="2">
        <v>265</v>
      </c>
      <c r="AS30" s="2">
        <v>268</v>
      </c>
      <c r="AT30" s="2">
        <v>296</v>
      </c>
      <c r="AU30" s="2">
        <v>351</v>
      </c>
      <c r="AV30" s="2">
        <v>312</v>
      </c>
      <c r="AW30" s="2">
        <v>336</v>
      </c>
      <c r="AX30" s="2">
        <v>358</v>
      </c>
      <c r="AY30" s="2">
        <v>299</v>
      </c>
      <c r="AZ30" s="2">
        <v>315</v>
      </c>
      <c r="BA30" s="2">
        <v>273</v>
      </c>
      <c r="BB30" s="2">
        <v>262</v>
      </c>
      <c r="BC30" s="8"/>
    </row>
    <row r="31" spans="1:55" ht="13.5" customHeight="1" x14ac:dyDescent="0.2">
      <c r="A31" s="7"/>
      <c r="B31" s="2"/>
      <c r="C31" s="3" t="s">
        <v>11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"/>
      <c r="AO31" s="2">
        <v>3</v>
      </c>
      <c r="AP31" s="3">
        <v>27</v>
      </c>
      <c r="AQ31" s="2">
        <v>29</v>
      </c>
      <c r="AR31" s="2">
        <v>22</v>
      </c>
      <c r="AS31" s="2">
        <v>25</v>
      </c>
      <c r="AT31" s="2">
        <v>22</v>
      </c>
      <c r="AU31" s="2">
        <v>16</v>
      </c>
      <c r="AV31" s="2">
        <v>13</v>
      </c>
      <c r="AW31" s="2">
        <v>20</v>
      </c>
      <c r="AX31" s="2">
        <v>4</v>
      </c>
      <c r="AY31" s="2">
        <v>7</v>
      </c>
      <c r="AZ31" s="2">
        <v>8</v>
      </c>
      <c r="BA31" s="2">
        <v>4</v>
      </c>
      <c r="BB31" s="2">
        <v>2</v>
      </c>
      <c r="BC31" s="8"/>
    </row>
    <row r="32" spans="1:55" ht="13.5" customHeight="1" x14ac:dyDescent="0.2">
      <c r="A32" s="7"/>
      <c r="B32" s="2"/>
      <c r="C32" s="3" t="s">
        <v>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5</v>
      </c>
      <c r="X32" s="2">
        <v>6</v>
      </c>
      <c r="Y32" s="2">
        <v>8</v>
      </c>
      <c r="Z32" s="2">
        <v>9</v>
      </c>
      <c r="AA32" s="2">
        <v>14</v>
      </c>
      <c r="AB32" s="2">
        <v>7</v>
      </c>
      <c r="AC32" s="2">
        <v>5</v>
      </c>
      <c r="AD32" s="2">
        <v>8</v>
      </c>
      <c r="AE32" s="2">
        <v>6</v>
      </c>
      <c r="AF32" s="2">
        <v>10</v>
      </c>
      <c r="AG32" s="2">
        <v>7</v>
      </c>
      <c r="AH32" s="2">
        <v>9</v>
      </c>
      <c r="AI32" s="2">
        <v>6</v>
      </c>
      <c r="AJ32" s="2">
        <v>6</v>
      </c>
      <c r="AK32" s="2">
        <v>8</v>
      </c>
      <c r="AL32" s="2">
        <v>13</v>
      </c>
      <c r="AM32" s="2">
        <v>20</v>
      </c>
      <c r="AN32" s="3">
        <v>15</v>
      </c>
      <c r="AO32" s="2">
        <v>21</v>
      </c>
      <c r="AP32" s="3">
        <v>24</v>
      </c>
      <c r="AQ32" s="2">
        <v>18</v>
      </c>
      <c r="AR32" s="2">
        <v>27</v>
      </c>
      <c r="AS32" s="2">
        <v>27</v>
      </c>
      <c r="AT32" s="2">
        <v>24</v>
      </c>
      <c r="AU32" s="2">
        <v>21</v>
      </c>
      <c r="AV32" s="2">
        <v>33</v>
      </c>
      <c r="AW32" s="2">
        <v>24</v>
      </c>
      <c r="AX32" s="2">
        <v>21</v>
      </c>
      <c r="AY32" s="2">
        <v>34</v>
      </c>
      <c r="AZ32" s="2">
        <v>38</v>
      </c>
      <c r="BA32" s="2">
        <v>62</v>
      </c>
      <c r="BB32" s="2">
        <v>42</v>
      </c>
      <c r="BC32" s="8"/>
    </row>
    <row r="33" spans="1:55" ht="13.5" customHeight="1" x14ac:dyDescent="0.2">
      <c r="A33" s="7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1">
        <f t="shared" ref="W33:AA33" si="11">SUM(W28:W32)</f>
        <v>360</v>
      </c>
      <c r="X33" s="11">
        <f t="shared" si="11"/>
        <v>412</v>
      </c>
      <c r="Y33" s="11">
        <f t="shared" si="11"/>
        <v>504</v>
      </c>
      <c r="Z33" s="11">
        <f t="shared" si="11"/>
        <v>466</v>
      </c>
      <c r="AA33" s="11">
        <f t="shared" si="11"/>
        <v>584</v>
      </c>
      <c r="AB33" s="11">
        <f t="shared" ref="AB33:AD33" si="12">SUM(AB28:AB32)</f>
        <v>600</v>
      </c>
      <c r="AC33" s="11">
        <f t="shared" si="12"/>
        <v>599</v>
      </c>
      <c r="AD33" s="11">
        <f t="shared" si="12"/>
        <v>687</v>
      </c>
      <c r="AE33" s="11">
        <f t="shared" ref="AE33:AG33" si="13">SUM(AE28:AE32)</f>
        <v>647</v>
      </c>
      <c r="AF33" s="11">
        <f t="shared" si="13"/>
        <v>657</v>
      </c>
      <c r="AG33" s="11">
        <f t="shared" si="13"/>
        <v>711</v>
      </c>
      <c r="AH33" s="11">
        <f t="shared" ref="AH33:AJ33" si="14">SUM(AH28:AH32)</f>
        <v>656</v>
      </c>
      <c r="AI33" s="11">
        <f t="shared" si="14"/>
        <v>611</v>
      </c>
      <c r="AJ33" s="11">
        <f t="shared" si="14"/>
        <v>547</v>
      </c>
      <c r="AK33" s="11">
        <f t="shared" ref="AK33:AV33" si="15">SUM(AK28:AK32)</f>
        <v>593</v>
      </c>
      <c r="AL33" s="11">
        <f t="shared" si="15"/>
        <v>558</v>
      </c>
      <c r="AM33" s="11">
        <f t="shared" si="15"/>
        <v>554</v>
      </c>
      <c r="AN33" s="22">
        <f t="shared" si="15"/>
        <v>584</v>
      </c>
      <c r="AO33" s="11">
        <f t="shared" si="15"/>
        <v>655</v>
      </c>
      <c r="AP33" s="22">
        <f t="shared" si="15"/>
        <v>623</v>
      </c>
      <c r="AQ33" s="11">
        <f t="shared" si="15"/>
        <v>576</v>
      </c>
      <c r="AR33" s="11">
        <f t="shared" si="15"/>
        <v>554</v>
      </c>
      <c r="AS33" s="11">
        <f t="shared" si="15"/>
        <v>604</v>
      </c>
      <c r="AT33" s="11">
        <f t="shared" si="15"/>
        <v>577</v>
      </c>
      <c r="AU33" s="11">
        <f t="shared" si="15"/>
        <v>657</v>
      </c>
      <c r="AV33" s="11">
        <f t="shared" si="15"/>
        <v>602</v>
      </c>
      <c r="AW33" s="11">
        <f t="shared" ref="AW33:BB33" si="16">SUM(AW28:AW32)</f>
        <v>636</v>
      </c>
      <c r="AX33" s="11">
        <f t="shared" si="16"/>
        <v>624</v>
      </c>
      <c r="AY33" s="11">
        <f t="shared" si="16"/>
        <v>563</v>
      </c>
      <c r="AZ33" s="11">
        <f t="shared" si="16"/>
        <v>586</v>
      </c>
      <c r="BA33" s="11">
        <f t="shared" si="16"/>
        <v>593</v>
      </c>
      <c r="BB33" s="11">
        <f t="shared" si="16"/>
        <v>484</v>
      </c>
      <c r="BC33" s="8"/>
    </row>
    <row r="34" spans="1:55" ht="13.5" customHeight="1" x14ac:dyDescent="0.2">
      <c r="A34" s="7"/>
      <c r="B34" s="10" t="s">
        <v>71</v>
      </c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3"/>
      <c r="AO34" s="2"/>
      <c r="AP34" s="3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8"/>
    </row>
    <row r="35" spans="1:55" ht="13.5" customHeight="1" x14ac:dyDescent="0.2">
      <c r="A35" s="7"/>
      <c r="B35" s="2"/>
      <c r="C35" s="3" t="s"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2">
        <v>1</v>
      </c>
      <c r="AF35" s="2">
        <v>2</v>
      </c>
      <c r="AG35" s="2">
        <v>6</v>
      </c>
      <c r="AH35" s="2">
        <v>14</v>
      </c>
      <c r="AI35" s="2">
        <v>17</v>
      </c>
      <c r="AJ35" s="2">
        <v>17</v>
      </c>
      <c r="AK35" s="2">
        <v>33</v>
      </c>
      <c r="AL35" s="2">
        <v>29</v>
      </c>
      <c r="AM35" s="2">
        <v>26</v>
      </c>
      <c r="AN35" s="3">
        <v>42</v>
      </c>
      <c r="AO35" s="2">
        <v>42</v>
      </c>
      <c r="AP35" s="3">
        <v>33</v>
      </c>
      <c r="AQ35" s="2">
        <v>48</v>
      </c>
      <c r="AR35" s="2">
        <v>46</v>
      </c>
      <c r="AS35" s="2">
        <v>52</v>
      </c>
      <c r="AT35" s="2">
        <v>56</v>
      </c>
      <c r="AU35" s="2">
        <v>58</v>
      </c>
      <c r="AV35" s="2">
        <v>58</v>
      </c>
      <c r="AW35" s="2">
        <v>58</v>
      </c>
      <c r="AX35" s="2">
        <v>51</v>
      </c>
      <c r="AY35" s="2">
        <v>88</v>
      </c>
      <c r="AZ35" s="2">
        <v>97</v>
      </c>
      <c r="BA35" s="2">
        <v>83</v>
      </c>
      <c r="BB35" s="2">
        <v>59</v>
      </c>
      <c r="BC35" s="8"/>
    </row>
    <row r="36" spans="1:55" ht="13.5" customHeight="1" x14ac:dyDescent="0.2">
      <c r="A36" s="7"/>
      <c r="B36" s="10" t="s">
        <v>92</v>
      </c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3"/>
      <c r="AO36" s="2"/>
      <c r="AP36" s="3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8"/>
    </row>
    <row r="37" spans="1:55" ht="13.5" customHeight="1" x14ac:dyDescent="0.2">
      <c r="A37" s="7"/>
      <c r="B37" s="2"/>
      <c r="C37" s="3" t="s"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7</v>
      </c>
      <c r="X37" s="2">
        <v>15</v>
      </c>
      <c r="Y37" s="2">
        <v>16</v>
      </c>
      <c r="Z37" s="2">
        <v>23</v>
      </c>
      <c r="AA37" s="2">
        <v>13</v>
      </c>
      <c r="AB37" s="2">
        <v>13</v>
      </c>
      <c r="AC37" s="2">
        <v>11</v>
      </c>
      <c r="AD37" s="2">
        <v>26</v>
      </c>
      <c r="AE37" s="2">
        <v>21</v>
      </c>
      <c r="AF37" s="2">
        <v>9</v>
      </c>
      <c r="AG37" s="2">
        <v>22</v>
      </c>
      <c r="AH37" s="2">
        <v>14</v>
      </c>
      <c r="AI37" s="2">
        <v>16</v>
      </c>
      <c r="AJ37" s="2">
        <v>16</v>
      </c>
      <c r="AK37" s="2">
        <v>18</v>
      </c>
      <c r="AL37" s="2">
        <v>15</v>
      </c>
      <c r="AM37" s="2">
        <v>25</v>
      </c>
      <c r="AN37" s="3">
        <v>21</v>
      </c>
      <c r="AO37" s="2">
        <v>24</v>
      </c>
      <c r="AP37" s="3">
        <v>13</v>
      </c>
      <c r="AQ37" s="2">
        <v>22</v>
      </c>
      <c r="AR37" s="2">
        <v>17</v>
      </c>
      <c r="AS37" s="2">
        <v>14</v>
      </c>
      <c r="AT37" s="2">
        <v>16</v>
      </c>
      <c r="AU37" s="2">
        <v>26</v>
      </c>
      <c r="AV37" s="2">
        <v>17</v>
      </c>
      <c r="AW37" s="2">
        <v>21</v>
      </c>
      <c r="AX37" s="2">
        <v>20</v>
      </c>
      <c r="AY37" s="2">
        <v>32</v>
      </c>
      <c r="AZ37" s="2">
        <v>17</v>
      </c>
      <c r="BA37" s="2">
        <v>14</v>
      </c>
      <c r="BB37" s="2">
        <v>24</v>
      </c>
      <c r="BC37" s="8"/>
    </row>
    <row r="38" spans="1:55" ht="13.5" customHeight="1" x14ac:dyDescent="0.2">
      <c r="A38" s="7"/>
      <c r="B38" s="10" t="s">
        <v>88</v>
      </c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3"/>
      <c r="AO38" s="2"/>
      <c r="AP38" s="3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8"/>
    </row>
    <row r="39" spans="1:55" ht="13.5" customHeight="1" x14ac:dyDescent="0.2">
      <c r="A39" s="7"/>
      <c r="B39" s="10"/>
      <c r="C39" s="3" t="s">
        <v>10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3"/>
      <c r="AO39" s="2"/>
      <c r="AP39" s="3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v>1</v>
      </c>
      <c r="BC39" s="8"/>
    </row>
    <row r="40" spans="1:55" ht="13.5" customHeight="1" x14ac:dyDescent="0.2">
      <c r="A40" s="7"/>
      <c r="B40" s="2"/>
      <c r="C40" s="3" t="s"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v>74</v>
      </c>
      <c r="X40" s="2">
        <v>103</v>
      </c>
      <c r="Y40" s="2">
        <v>102</v>
      </c>
      <c r="Z40" s="2">
        <v>104</v>
      </c>
      <c r="AA40" s="2">
        <v>128</v>
      </c>
      <c r="AB40" s="2">
        <v>34</v>
      </c>
      <c r="AC40" s="2">
        <v>49</v>
      </c>
      <c r="AD40" s="2">
        <v>41</v>
      </c>
      <c r="AE40" s="2">
        <v>38</v>
      </c>
      <c r="AF40" s="2">
        <v>34</v>
      </c>
      <c r="AG40" s="2">
        <v>40</v>
      </c>
      <c r="AH40" s="2">
        <v>52</v>
      </c>
      <c r="AI40" s="2">
        <v>52</v>
      </c>
      <c r="AJ40" s="2">
        <v>32</v>
      </c>
      <c r="AK40" s="2">
        <v>45</v>
      </c>
      <c r="AL40" s="2">
        <v>54</v>
      </c>
      <c r="AM40" s="2">
        <v>51</v>
      </c>
      <c r="AN40" s="3">
        <v>47</v>
      </c>
      <c r="AO40" s="2">
        <v>45</v>
      </c>
      <c r="AP40" s="3">
        <v>47</v>
      </c>
      <c r="AQ40" s="2">
        <v>49</v>
      </c>
      <c r="AR40" s="2">
        <v>60</v>
      </c>
      <c r="AS40" s="2">
        <v>51</v>
      </c>
      <c r="AT40" s="2">
        <v>43</v>
      </c>
      <c r="AU40" s="2">
        <v>39</v>
      </c>
      <c r="AV40" s="2">
        <v>36</v>
      </c>
      <c r="AW40" s="2">
        <v>44</v>
      </c>
      <c r="AX40" s="2">
        <v>44</v>
      </c>
      <c r="AY40" s="2">
        <v>43</v>
      </c>
      <c r="AZ40" s="2">
        <v>42</v>
      </c>
      <c r="BA40" s="2">
        <v>25</v>
      </c>
      <c r="BB40" s="2">
        <v>27</v>
      </c>
      <c r="BC40" s="8"/>
    </row>
    <row r="41" spans="1:55" ht="13.5" customHeight="1" x14ac:dyDescent="0.2">
      <c r="A41" s="7"/>
      <c r="B41" s="2"/>
      <c r="C41" s="3" t="s">
        <v>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3"/>
      <c r="AM41" s="2">
        <v>0</v>
      </c>
      <c r="AN41" s="3">
        <v>1</v>
      </c>
      <c r="AO41" s="2">
        <v>1</v>
      </c>
      <c r="AP41" s="3">
        <v>2</v>
      </c>
      <c r="AQ41" s="2">
        <v>5</v>
      </c>
      <c r="AR41" s="2">
        <v>1</v>
      </c>
      <c r="AS41" s="2">
        <v>4</v>
      </c>
      <c r="AT41" s="2">
        <v>5</v>
      </c>
      <c r="AU41" s="2">
        <v>3</v>
      </c>
      <c r="AV41" s="2">
        <v>9</v>
      </c>
      <c r="AW41" s="2">
        <v>4</v>
      </c>
      <c r="AX41" s="2">
        <v>2</v>
      </c>
      <c r="AY41" s="2">
        <v>4</v>
      </c>
      <c r="AZ41" s="2">
        <v>2</v>
      </c>
      <c r="BA41" s="2">
        <v>4</v>
      </c>
      <c r="BB41" s="2">
        <v>1</v>
      </c>
      <c r="BC41" s="8"/>
    </row>
    <row r="42" spans="1:55" ht="13.5" customHeight="1" x14ac:dyDescent="0.2">
      <c r="A42" s="7"/>
      <c r="B42" s="2"/>
      <c r="C42" s="3" t="s">
        <v>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4</v>
      </c>
      <c r="X42" s="2">
        <v>10</v>
      </c>
      <c r="Y42" s="2">
        <v>6</v>
      </c>
      <c r="Z42" s="2">
        <v>10</v>
      </c>
      <c r="AA42" s="2">
        <v>7</v>
      </c>
      <c r="AB42" s="2">
        <v>10</v>
      </c>
      <c r="AC42" s="2">
        <v>19</v>
      </c>
      <c r="AD42" s="2">
        <v>12</v>
      </c>
      <c r="AE42" s="2">
        <v>14</v>
      </c>
      <c r="AF42" s="2">
        <v>12</v>
      </c>
      <c r="AG42" s="2">
        <v>7</v>
      </c>
      <c r="AH42" s="2">
        <v>13</v>
      </c>
      <c r="AI42" s="2">
        <v>18</v>
      </c>
      <c r="AJ42" s="2">
        <v>14</v>
      </c>
      <c r="AK42" s="2">
        <v>19</v>
      </c>
      <c r="AL42" s="2">
        <v>17</v>
      </c>
      <c r="AM42" s="2">
        <v>20</v>
      </c>
      <c r="AN42" s="3">
        <v>20</v>
      </c>
      <c r="AO42" s="2">
        <v>23</v>
      </c>
      <c r="AP42" s="3">
        <v>21</v>
      </c>
      <c r="AQ42" s="2">
        <v>24</v>
      </c>
      <c r="AR42" s="2">
        <v>33</v>
      </c>
      <c r="AS42" s="2">
        <v>23</v>
      </c>
      <c r="AT42" s="2">
        <v>40</v>
      </c>
      <c r="AU42" s="2">
        <v>35</v>
      </c>
      <c r="AV42" s="2">
        <v>39</v>
      </c>
      <c r="AW42" s="2">
        <v>29</v>
      </c>
      <c r="AX42" s="2">
        <v>32</v>
      </c>
      <c r="AY42" s="2">
        <v>33</v>
      </c>
      <c r="AZ42" s="2">
        <v>24</v>
      </c>
      <c r="BA42" s="2">
        <v>21</v>
      </c>
      <c r="BB42" s="2">
        <v>29</v>
      </c>
      <c r="BC42" s="8"/>
    </row>
    <row r="43" spans="1:55" ht="13.5" customHeight="1" x14ac:dyDescent="0.2">
      <c r="A43" s="7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>
        <f t="shared" ref="W43:AA43" si="17">SUM(W40:W42)</f>
        <v>78</v>
      </c>
      <c r="X43" s="11">
        <f t="shared" si="17"/>
        <v>113</v>
      </c>
      <c r="Y43" s="11">
        <f t="shared" si="17"/>
        <v>108</v>
      </c>
      <c r="Z43" s="11">
        <f t="shared" si="17"/>
        <v>114</v>
      </c>
      <c r="AA43" s="11">
        <f t="shared" si="17"/>
        <v>135</v>
      </c>
      <c r="AB43" s="11">
        <f t="shared" ref="AB43:AD43" si="18">SUM(AB40:AB42)</f>
        <v>44</v>
      </c>
      <c r="AC43" s="11">
        <f t="shared" si="18"/>
        <v>68</v>
      </c>
      <c r="AD43" s="11">
        <f t="shared" si="18"/>
        <v>53</v>
      </c>
      <c r="AE43" s="11">
        <f t="shared" ref="AE43:AG43" si="19">SUM(AE40:AE42)</f>
        <v>52</v>
      </c>
      <c r="AF43" s="11">
        <f t="shared" si="19"/>
        <v>46</v>
      </c>
      <c r="AG43" s="11">
        <f t="shared" si="19"/>
        <v>47</v>
      </c>
      <c r="AH43" s="11">
        <f t="shared" ref="AH43:AJ43" si="20">SUM(AH40:AH42)</f>
        <v>65</v>
      </c>
      <c r="AI43" s="11">
        <f t="shared" si="20"/>
        <v>70</v>
      </c>
      <c r="AJ43" s="11">
        <f t="shared" si="20"/>
        <v>46</v>
      </c>
      <c r="AK43" s="11">
        <f t="shared" ref="AK43:AV43" si="21">SUM(AK40:AK42)</f>
        <v>64</v>
      </c>
      <c r="AL43" s="11">
        <f t="shared" si="21"/>
        <v>71</v>
      </c>
      <c r="AM43" s="11">
        <f t="shared" si="21"/>
        <v>71</v>
      </c>
      <c r="AN43" s="22">
        <f t="shared" si="21"/>
        <v>68</v>
      </c>
      <c r="AO43" s="11">
        <f t="shared" si="21"/>
        <v>69</v>
      </c>
      <c r="AP43" s="22">
        <f t="shared" si="21"/>
        <v>70</v>
      </c>
      <c r="AQ43" s="11">
        <f t="shared" si="21"/>
        <v>78</v>
      </c>
      <c r="AR43" s="11">
        <f t="shared" si="21"/>
        <v>94</v>
      </c>
      <c r="AS43" s="11">
        <f t="shared" si="21"/>
        <v>78</v>
      </c>
      <c r="AT43" s="11">
        <f t="shared" si="21"/>
        <v>88</v>
      </c>
      <c r="AU43" s="11">
        <f t="shared" si="21"/>
        <v>77</v>
      </c>
      <c r="AV43" s="11">
        <f t="shared" si="21"/>
        <v>84</v>
      </c>
      <c r="AW43" s="11">
        <f t="shared" ref="AW43:BA43" si="22">SUM(AW40:AW42)</f>
        <v>77</v>
      </c>
      <c r="AX43" s="11">
        <f t="shared" si="22"/>
        <v>78</v>
      </c>
      <c r="AY43" s="11">
        <f t="shared" si="22"/>
        <v>80</v>
      </c>
      <c r="AZ43" s="11">
        <f t="shared" si="22"/>
        <v>68</v>
      </c>
      <c r="BA43" s="11">
        <f t="shared" si="22"/>
        <v>50</v>
      </c>
      <c r="BB43" s="11">
        <f>SUM(BB39:BB42)</f>
        <v>58</v>
      </c>
      <c r="BC43" s="8"/>
    </row>
    <row r="44" spans="1:55" ht="13.5" customHeight="1" x14ac:dyDescent="0.2">
      <c r="A44" s="7"/>
      <c r="B44" s="10" t="s">
        <v>91</v>
      </c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3"/>
      <c r="AO44" s="2"/>
      <c r="AP44" s="3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8"/>
    </row>
    <row r="45" spans="1:55" ht="13.5" customHeight="1" x14ac:dyDescent="0.2">
      <c r="A45" s="7"/>
      <c r="B45" s="2"/>
      <c r="C45" s="3" t="s"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51</v>
      </c>
      <c r="X45" s="2">
        <v>39</v>
      </c>
      <c r="Y45" s="2">
        <v>51</v>
      </c>
      <c r="Z45" s="2">
        <v>35</v>
      </c>
      <c r="AA45" s="2">
        <v>65</v>
      </c>
      <c r="AB45" s="2">
        <v>66</v>
      </c>
      <c r="AC45" s="2">
        <v>77</v>
      </c>
      <c r="AD45" s="2">
        <v>73</v>
      </c>
      <c r="AE45" s="2">
        <v>79</v>
      </c>
      <c r="AF45" s="2">
        <v>74</v>
      </c>
      <c r="AG45" s="2">
        <v>88</v>
      </c>
      <c r="AH45" s="2">
        <v>95</v>
      </c>
      <c r="AI45" s="2">
        <v>77</v>
      </c>
      <c r="AJ45" s="2">
        <v>80</v>
      </c>
      <c r="AK45" s="2">
        <v>82</v>
      </c>
      <c r="AL45" s="2">
        <v>69</v>
      </c>
      <c r="AM45" s="2">
        <v>38</v>
      </c>
      <c r="AN45" s="3">
        <v>48</v>
      </c>
      <c r="AO45" s="2">
        <v>43</v>
      </c>
      <c r="AP45" s="3">
        <v>64</v>
      </c>
      <c r="AQ45" s="2">
        <v>87</v>
      </c>
      <c r="AR45" s="2">
        <v>81</v>
      </c>
      <c r="AS45" s="2">
        <v>102</v>
      </c>
      <c r="AT45" s="2">
        <v>84</v>
      </c>
      <c r="AU45" s="2">
        <v>107</v>
      </c>
      <c r="AV45" s="2">
        <v>93</v>
      </c>
      <c r="AW45" s="2">
        <v>102</v>
      </c>
      <c r="AX45" s="2">
        <v>96</v>
      </c>
      <c r="AY45" s="2">
        <v>112</v>
      </c>
      <c r="AZ45" s="2">
        <v>129</v>
      </c>
      <c r="BA45" s="2">
        <v>105</v>
      </c>
      <c r="BB45" s="2">
        <v>101</v>
      </c>
      <c r="BC45" s="8"/>
    </row>
    <row r="46" spans="1:55" ht="13.5" customHeight="1" x14ac:dyDescent="0.2">
      <c r="A46" s="7"/>
      <c r="B46" s="10" t="s">
        <v>89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3"/>
      <c r="AO46" s="2"/>
      <c r="AP46" s="3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8"/>
    </row>
    <row r="47" spans="1:55" ht="13.5" customHeight="1" x14ac:dyDescent="0.2">
      <c r="A47" s="7"/>
      <c r="B47" s="10"/>
      <c r="C47" s="3" t="s">
        <v>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3"/>
      <c r="AO47" s="2"/>
      <c r="AP47" s="3"/>
      <c r="AQ47" s="2"/>
      <c r="AR47" s="2"/>
      <c r="AS47" s="2"/>
      <c r="AT47" s="2"/>
      <c r="AU47" s="2"/>
      <c r="AV47" s="2"/>
      <c r="AW47" s="2">
        <v>2</v>
      </c>
      <c r="AX47" s="2">
        <v>5</v>
      </c>
      <c r="AY47" s="2">
        <v>3</v>
      </c>
      <c r="AZ47" s="2">
        <v>4</v>
      </c>
      <c r="BA47" s="2">
        <v>10</v>
      </c>
      <c r="BB47" s="2">
        <v>7</v>
      </c>
      <c r="BC47" s="8"/>
    </row>
    <row r="48" spans="1:55" ht="13.5" customHeight="1" x14ac:dyDescent="0.2">
      <c r="A48" s="7"/>
      <c r="B48" s="2"/>
      <c r="C48" s="3" t="s"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v>18</v>
      </c>
      <c r="X48" s="2">
        <v>18</v>
      </c>
      <c r="Y48" s="2">
        <v>23</v>
      </c>
      <c r="Z48" s="2">
        <v>29</v>
      </c>
      <c r="AA48" s="2">
        <v>22</v>
      </c>
      <c r="AB48" s="2">
        <v>22</v>
      </c>
      <c r="AC48" s="2">
        <v>38</v>
      </c>
      <c r="AD48" s="2">
        <v>36</v>
      </c>
      <c r="AE48" s="2">
        <v>56</v>
      </c>
      <c r="AF48" s="2">
        <v>57</v>
      </c>
      <c r="AG48" s="2">
        <v>63</v>
      </c>
      <c r="AH48" s="2">
        <v>63</v>
      </c>
      <c r="AI48" s="2">
        <v>64</v>
      </c>
      <c r="AJ48" s="2">
        <v>81</v>
      </c>
      <c r="AK48" s="2">
        <v>58</v>
      </c>
      <c r="AL48" s="2">
        <v>58</v>
      </c>
      <c r="AM48" s="2">
        <v>74</v>
      </c>
      <c r="AN48" s="3">
        <v>57</v>
      </c>
      <c r="AO48" s="2">
        <v>62</v>
      </c>
      <c r="AP48" s="3">
        <v>66</v>
      </c>
      <c r="AQ48" s="2">
        <v>77</v>
      </c>
      <c r="AR48" s="2">
        <v>89</v>
      </c>
      <c r="AS48" s="2">
        <v>92</v>
      </c>
      <c r="AT48" s="2">
        <v>98</v>
      </c>
      <c r="AU48" s="2">
        <v>71</v>
      </c>
      <c r="AV48" s="2">
        <v>90</v>
      </c>
      <c r="AW48" s="2">
        <v>92</v>
      </c>
      <c r="AX48" s="2">
        <v>93</v>
      </c>
      <c r="AY48" s="2">
        <v>98</v>
      </c>
      <c r="AZ48" s="2">
        <v>122</v>
      </c>
      <c r="BA48" s="2">
        <v>115</v>
      </c>
      <c r="BB48" s="2">
        <v>119</v>
      </c>
      <c r="BC48" s="8"/>
    </row>
    <row r="49" spans="1:55" ht="13.5" customHeight="1" x14ac:dyDescent="0.2">
      <c r="A49" s="7"/>
      <c r="B49" s="2"/>
      <c r="C49" s="3" t="s">
        <v>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0</v>
      </c>
      <c r="AG49" s="3">
        <v>12</v>
      </c>
      <c r="AH49" s="3">
        <v>12</v>
      </c>
      <c r="AI49" s="3">
        <v>11</v>
      </c>
      <c r="AJ49" s="2">
        <v>10</v>
      </c>
      <c r="AK49" s="2">
        <v>9</v>
      </c>
      <c r="AL49" s="2">
        <v>6</v>
      </c>
      <c r="AM49" s="2">
        <v>8</v>
      </c>
      <c r="AN49" s="3">
        <v>5</v>
      </c>
      <c r="AO49" s="2">
        <v>16</v>
      </c>
      <c r="AP49" s="3">
        <v>12</v>
      </c>
      <c r="AQ49" s="2">
        <v>21</v>
      </c>
      <c r="AR49" s="2">
        <v>7</v>
      </c>
      <c r="AS49" s="2">
        <v>6</v>
      </c>
      <c r="AT49" s="2">
        <v>11</v>
      </c>
      <c r="AU49" s="2">
        <v>3</v>
      </c>
      <c r="AV49" s="2">
        <v>5</v>
      </c>
      <c r="AW49" s="2">
        <v>4</v>
      </c>
      <c r="AX49" s="2">
        <v>5</v>
      </c>
      <c r="AY49" s="2">
        <v>7</v>
      </c>
      <c r="AZ49" s="2">
        <v>2</v>
      </c>
      <c r="BA49" s="2">
        <v>0</v>
      </c>
      <c r="BB49" s="2">
        <v>2</v>
      </c>
      <c r="BC49" s="8"/>
    </row>
    <row r="50" spans="1:55" ht="13.5" customHeight="1" x14ac:dyDescent="0.2">
      <c r="A50" s="7"/>
      <c r="B50" s="2"/>
      <c r="C50" s="3" t="s">
        <v>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v>9</v>
      </c>
      <c r="X50" s="3">
        <v>9</v>
      </c>
      <c r="Y50" s="3">
        <v>6</v>
      </c>
      <c r="Z50" s="3">
        <v>11</v>
      </c>
      <c r="AA50" s="3">
        <v>6</v>
      </c>
      <c r="AB50" s="3">
        <v>20</v>
      </c>
      <c r="AC50" s="3">
        <v>8</v>
      </c>
      <c r="AD50" s="3">
        <v>18</v>
      </c>
      <c r="AE50" s="3">
        <v>15</v>
      </c>
      <c r="AF50" s="3">
        <v>28</v>
      </c>
      <c r="AG50" s="3">
        <f>32-AG49</f>
        <v>20</v>
      </c>
      <c r="AH50" s="2">
        <f>40-AH49</f>
        <v>28</v>
      </c>
      <c r="AI50" s="2">
        <f>28-AI49</f>
        <v>17</v>
      </c>
      <c r="AJ50" s="2">
        <v>17</v>
      </c>
      <c r="AK50" s="2">
        <v>16</v>
      </c>
      <c r="AL50" s="2">
        <v>17</v>
      </c>
      <c r="AM50" s="2">
        <v>22</v>
      </c>
      <c r="AN50" s="3">
        <v>15</v>
      </c>
      <c r="AO50" s="2">
        <v>29</v>
      </c>
      <c r="AP50" s="3">
        <v>24</v>
      </c>
      <c r="AQ50" s="2">
        <v>30</v>
      </c>
      <c r="AR50" s="2">
        <v>21</v>
      </c>
      <c r="AS50" s="2">
        <v>27</v>
      </c>
      <c r="AT50" s="2">
        <v>35</v>
      </c>
      <c r="AU50" s="2">
        <v>33</v>
      </c>
      <c r="AV50" s="2">
        <v>34</v>
      </c>
      <c r="AW50" s="2">
        <v>32</v>
      </c>
      <c r="AX50" s="2">
        <v>25</v>
      </c>
      <c r="AY50" s="2">
        <v>20</v>
      </c>
      <c r="AZ50" s="2">
        <v>22</v>
      </c>
      <c r="BA50" s="2">
        <v>14</v>
      </c>
      <c r="BB50" s="2">
        <v>29</v>
      </c>
      <c r="BC50" s="8"/>
    </row>
    <row r="51" spans="1:55" ht="13.5" customHeight="1" x14ac:dyDescent="0.2">
      <c r="A51" s="7"/>
      <c r="B51" s="2"/>
      <c r="C51" s="3" t="s">
        <v>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1</v>
      </c>
      <c r="AE51" s="3">
        <v>0</v>
      </c>
      <c r="AF51" s="3">
        <v>2</v>
      </c>
      <c r="AG51" s="3">
        <v>4</v>
      </c>
      <c r="AH51" s="2">
        <v>3</v>
      </c>
      <c r="AI51" s="2">
        <v>5</v>
      </c>
      <c r="AJ51" s="2">
        <v>4</v>
      </c>
      <c r="AK51" s="2">
        <v>6</v>
      </c>
      <c r="AL51" s="2">
        <v>6</v>
      </c>
      <c r="AM51" s="2">
        <v>2</v>
      </c>
      <c r="AN51" s="3">
        <v>7</v>
      </c>
      <c r="AO51" s="2">
        <v>5</v>
      </c>
      <c r="AP51" s="3">
        <v>3</v>
      </c>
      <c r="AQ51" s="2">
        <v>10</v>
      </c>
      <c r="AR51" s="2">
        <v>8</v>
      </c>
      <c r="AS51" s="2">
        <v>11</v>
      </c>
      <c r="AT51" s="2">
        <v>9</v>
      </c>
      <c r="AU51" s="2">
        <v>6</v>
      </c>
      <c r="AV51" s="2">
        <v>6</v>
      </c>
      <c r="AW51" s="2">
        <v>6</v>
      </c>
      <c r="AX51" s="2">
        <v>5</v>
      </c>
      <c r="AY51" s="2">
        <v>9</v>
      </c>
      <c r="AZ51" s="2">
        <v>1</v>
      </c>
      <c r="BA51" s="2">
        <v>7</v>
      </c>
      <c r="BB51" s="2">
        <v>8</v>
      </c>
      <c r="BC51" s="8"/>
    </row>
    <row r="52" spans="1:55" ht="13.5" customHeight="1" x14ac:dyDescent="0.2">
      <c r="A52" s="7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2">
        <f t="shared" ref="W52:AA52" si="23">SUM(W48:W51)</f>
        <v>27</v>
      </c>
      <c r="X52" s="22">
        <f t="shared" si="23"/>
        <v>27</v>
      </c>
      <c r="Y52" s="22">
        <f t="shared" si="23"/>
        <v>29</v>
      </c>
      <c r="Z52" s="22">
        <f t="shared" si="23"/>
        <v>40</v>
      </c>
      <c r="AA52" s="22">
        <f t="shared" si="23"/>
        <v>28</v>
      </c>
      <c r="AB52" s="22">
        <f t="shared" ref="AB52:AD52" si="24">SUM(AB48:AB51)</f>
        <v>42</v>
      </c>
      <c r="AC52" s="22">
        <f t="shared" si="24"/>
        <v>47</v>
      </c>
      <c r="AD52" s="22">
        <f t="shared" si="24"/>
        <v>55</v>
      </c>
      <c r="AE52" s="22">
        <f t="shared" ref="AE52:AJ52" si="25">SUM(AE48:AE51)</f>
        <v>71</v>
      </c>
      <c r="AF52" s="22">
        <f t="shared" si="25"/>
        <v>87</v>
      </c>
      <c r="AG52" s="22">
        <f t="shared" si="25"/>
        <v>99</v>
      </c>
      <c r="AH52" s="11">
        <f t="shared" si="25"/>
        <v>106</v>
      </c>
      <c r="AI52" s="11">
        <f t="shared" si="25"/>
        <v>97</v>
      </c>
      <c r="AJ52" s="11">
        <f t="shared" si="25"/>
        <v>112</v>
      </c>
      <c r="AK52" s="11">
        <f t="shared" ref="AK52:AU52" si="26">SUM(AK48:AK51)</f>
        <v>89</v>
      </c>
      <c r="AL52" s="11">
        <f t="shared" si="26"/>
        <v>87</v>
      </c>
      <c r="AM52" s="11">
        <f t="shared" si="26"/>
        <v>106</v>
      </c>
      <c r="AN52" s="22">
        <f t="shared" si="26"/>
        <v>84</v>
      </c>
      <c r="AO52" s="11">
        <f t="shared" si="26"/>
        <v>112</v>
      </c>
      <c r="AP52" s="22">
        <f t="shared" si="26"/>
        <v>105</v>
      </c>
      <c r="AQ52" s="11">
        <f t="shared" si="26"/>
        <v>138</v>
      </c>
      <c r="AR52" s="11">
        <f t="shared" si="26"/>
        <v>125</v>
      </c>
      <c r="AS52" s="11">
        <f t="shared" si="26"/>
        <v>136</v>
      </c>
      <c r="AT52" s="11">
        <f t="shared" si="26"/>
        <v>153</v>
      </c>
      <c r="AU52" s="11">
        <f t="shared" si="26"/>
        <v>113</v>
      </c>
      <c r="AV52" s="11">
        <f>SUM(AV48:AV51)</f>
        <v>135</v>
      </c>
      <c r="AW52" s="11">
        <f t="shared" ref="AW52:BB52" si="27">SUM(AW47:AW51)</f>
        <v>136</v>
      </c>
      <c r="AX52" s="11">
        <f t="shared" si="27"/>
        <v>133</v>
      </c>
      <c r="AY52" s="11">
        <f t="shared" si="27"/>
        <v>137</v>
      </c>
      <c r="AZ52" s="11">
        <f t="shared" si="27"/>
        <v>151</v>
      </c>
      <c r="BA52" s="11">
        <f t="shared" si="27"/>
        <v>146</v>
      </c>
      <c r="BB52" s="11">
        <f t="shared" si="27"/>
        <v>165</v>
      </c>
      <c r="BC52" s="8"/>
    </row>
    <row r="53" spans="1:55" ht="13.5" customHeight="1" x14ac:dyDescent="0.2">
      <c r="A53" s="7"/>
      <c r="B53" s="10" t="s">
        <v>85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2"/>
      <c r="AI53" s="2"/>
      <c r="AJ53" s="2"/>
      <c r="AK53" s="2"/>
      <c r="AL53" s="2"/>
      <c r="AM53" s="2"/>
      <c r="AN53" s="3"/>
      <c r="AO53" s="2"/>
      <c r="AP53" s="3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8"/>
    </row>
    <row r="54" spans="1:55" ht="13.5" customHeight="1" x14ac:dyDescent="0.2">
      <c r="A54" s="7"/>
      <c r="B54" s="10"/>
      <c r="C54" s="3" t="s">
        <v>10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2"/>
      <c r="AI54" s="2"/>
      <c r="AJ54" s="2"/>
      <c r="AK54" s="2"/>
      <c r="AL54" s="2"/>
      <c r="AM54" s="2"/>
      <c r="AN54" s="3"/>
      <c r="AO54" s="2"/>
      <c r="AP54" s="3"/>
      <c r="AQ54" s="2"/>
      <c r="AR54" s="2"/>
      <c r="AS54" s="2"/>
      <c r="AT54" s="2"/>
      <c r="AU54" s="2"/>
      <c r="AV54" s="2"/>
      <c r="AW54" s="2">
        <v>0</v>
      </c>
      <c r="AX54" s="2">
        <v>2</v>
      </c>
      <c r="AY54" s="2">
        <v>3</v>
      </c>
      <c r="AZ54" s="2">
        <v>5</v>
      </c>
      <c r="BA54" s="2">
        <v>6</v>
      </c>
      <c r="BB54" s="2">
        <v>2</v>
      </c>
      <c r="BC54" s="8"/>
    </row>
    <row r="55" spans="1:55" ht="13.5" customHeight="1" x14ac:dyDescent="0.2">
      <c r="A55" s="7"/>
      <c r="B55" s="2"/>
      <c r="C55" s="3" t="s"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12</v>
      </c>
      <c r="X55" s="3">
        <v>15</v>
      </c>
      <c r="Y55" s="3">
        <v>17</v>
      </c>
      <c r="Z55" s="3">
        <v>9</v>
      </c>
      <c r="AA55" s="3">
        <v>16</v>
      </c>
      <c r="AB55" s="3">
        <v>11</v>
      </c>
      <c r="AC55" s="3">
        <v>10</v>
      </c>
      <c r="AD55" s="3">
        <v>5</v>
      </c>
      <c r="AE55" s="3">
        <v>12</v>
      </c>
      <c r="AF55" s="3">
        <v>9</v>
      </c>
      <c r="AG55" s="3">
        <v>15</v>
      </c>
      <c r="AH55" s="2">
        <v>8</v>
      </c>
      <c r="AI55" s="2">
        <v>10</v>
      </c>
      <c r="AJ55" s="2">
        <v>10</v>
      </c>
      <c r="AK55" s="2">
        <v>9</v>
      </c>
      <c r="AL55" s="2">
        <v>10</v>
      </c>
      <c r="AM55" s="2">
        <v>10</v>
      </c>
      <c r="AN55" s="3">
        <v>7</v>
      </c>
      <c r="AO55" s="2">
        <v>17</v>
      </c>
      <c r="AP55" s="3">
        <v>15</v>
      </c>
      <c r="AQ55" s="2">
        <v>31</v>
      </c>
      <c r="AR55" s="2">
        <v>13</v>
      </c>
      <c r="AS55" s="2">
        <v>16</v>
      </c>
      <c r="AT55" s="2">
        <v>16</v>
      </c>
      <c r="AU55" s="2">
        <v>25</v>
      </c>
      <c r="AV55" s="2">
        <v>26</v>
      </c>
      <c r="AW55" s="2">
        <v>23</v>
      </c>
      <c r="AX55" s="2">
        <v>22</v>
      </c>
      <c r="AY55" s="2">
        <v>29</v>
      </c>
      <c r="AZ55" s="2">
        <v>21</v>
      </c>
      <c r="BA55" s="2">
        <v>31</v>
      </c>
      <c r="BB55" s="2">
        <v>23</v>
      </c>
      <c r="BC55" s="8"/>
    </row>
    <row r="56" spans="1:55" ht="13.5" customHeight="1" x14ac:dyDescent="0.2">
      <c r="A56" s="7"/>
      <c r="B56" s="2"/>
      <c r="C56" s="3" t="s">
        <v>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>
        <v>3</v>
      </c>
      <c r="X56" s="3">
        <v>0</v>
      </c>
      <c r="Y56" s="3">
        <v>3</v>
      </c>
      <c r="Z56" s="3">
        <v>2</v>
      </c>
      <c r="AA56" s="3">
        <v>5</v>
      </c>
      <c r="AB56" s="3">
        <v>2</v>
      </c>
      <c r="AC56" s="3">
        <v>3</v>
      </c>
      <c r="AD56" s="3">
        <v>4</v>
      </c>
      <c r="AE56" s="3">
        <v>1</v>
      </c>
      <c r="AF56" s="3">
        <v>4</v>
      </c>
      <c r="AG56" s="3">
        <v>4</v>
      </c>
      <c r="AH56" s="2">
        <v>3</v>
      </c>
      <c r="AI56" s="2">
        <v>3</v>
      </c>
      <c r="AJ56" s="2">
        <v>7</v>
      </c>
      <c r="AK56" s="2">
        <v>5</v>
      </c>
      <c r="AL56" s="2">
        <v>6</v>
      </c>
      <c r="AM56" s="2">
        <v>4</v>
      </c>
      <c r="AN56" s="3">
        <v>5</v>
      </c>
      <c r="AO56" s="2">
        <v>5</v>
      </c>
      <c r="AP56" s="3">
        <v>2</v>
      </c>
      <c r="AQ56" s="2">
        <v>10</v>
      </c>
      <c r="AR56" s="2">
        <v>6</v>
      </c>
      <c r="AS56" s="2">
        <v>4</v>
      </c>
      <c r="AT56" s="2">
        <v>5</v>
      </c>
      <c r="AU56" s="2">
        <v>5</v>
      </c>
      <c r="AV56" s="2">
        <v>6</v>
      </c>
      <c r="AW56" s="2">
        <v>7</v>
      </c>
      <c r="AX56" s="2">
        <v>7</v>
      </c>
      <c r="AY56" s="2">
        <v>8</v>
      </c>
      <c r="AZ56" s="2">
        <v>9</v>
      </c>
      <c r="BA56" s="2">
        <v>2</v>
      </c>
      <c r="BB56" s="2">
        <v>8</v>
      </c>
      <c r="BC56" s="8"/>
    </row>
    <row r="57" spans="1:55" ht="13.5" customHeight="1" x14ac:dyDescent="0.2">
      <c r="A57" s="7"/>
      <c r="B57" s="2"/>
      <c r="C57" s="3" t="s">
        <v>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>
        <v>0</v>
      </c>
      <c r="AI57" s="3">
        <v>0</v>
      </c>
      <c r="AJ57" s="3">
        <v>0</v>
      </c>
      <c r="AK57" s="2">
        <v>0</v>
      </c>
      <c r="AL57" s="2">
        <v>0</v>
      </c>
      <c r="AM57" s="2">
        <v>0</v>
      </c>
      <c r="AN57" s="3">
        <v>0</v>
      </c>
      <c r="AO57" s="2">
        <v>0</v>
      </c>
      <c r="AP57" s="3">
        <v>2</v>
      </c>
      <c r="AQ57" s="2">
        <v>2</v>
      </c>
      <c r="AR57" s="2">
        <v>0</v>
      </c>
      <c r="AS57" s="2">
        <v>0</v>
      </c>
      <c r="AT57" s="2">
        <v>1</v>
      </c>
      <c r="AU57" s="2">
        <v>0</v>
      </c>
      <c r="AV57" s="2">
        <v>3</v>
      </c>
      <c r="AW57" s="2">
        <v>1</v>
      </c>
      <c r="AX57" s="2">
        <v>2</v>
      </c>
      <c r="AY57" s="2">
        <v>1</v>
      </c>
      <c r="AZ57" s="2">
        <v>0</v>
      </c>
      <c r="BA57" s="2">
        <v>2</v>
      </c>
      <c r="BB57" s="2">
        <v>1</v>
      </c>
      <c r="BC57" s="8"/>
    </row>
    <row r="58" spans="1:55" ht="13.5" customHeight="1" x14ac:dyDescent="0.2">
      <c r="A58" s="7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1">
        <f t="shared" ref="W58:AA58" si="28">SUM(W55:W56)</f>
        <v>15</v>
      </c>
      <c r="X58" s="11">
        <f t="shared" si="28"/>
        <v>15</v>
      </c>
      <c r="Y58" s="11">
        <f t="shared" si="28"/>
        <v>20</v>
      </c>
      <c r="Z58" s="11">
        <f t="shared" si="28"/>
        <v>11</v>
      </c>
      <c r="AA58" s="11">
        <f t="shared" si="28"/>
        <v>21</v>
      </c>
      <c r="AB58" s="11">
        <f t="shared" ref="AB58:AD58" si="29">SUM(AB55:AB56)</f>
        <v>13</v>
      </c>
      <c r="AC58" s="11">
        <f t="shared" si="29"/>
        <v>13</v>
      </c>
      <c r="AD58" s="11">
        <f t="shared" si="29"/>
        <v>9</v>
      </c>
      <c r="AE58" s="11">
        <f t="shared" ref="AE58:AF58" si="30">SUM(AE55:AE56)</f>
        <v>13</v>
      </c>
      <c r="AF58" s="11">
        <f t="shared" si="30"/>
        <v>13</v>
      </c>
      <c r="AG58" s="11">
        <f>SUM(AG55:AG56)</f>
        <v>19</v>
      </c>
      <c r="AH58" s="11">
        <f t="shared" ref="AH58:AJ58" si="31">SUM(AH55:AH57)</f>
        <v>11</v>
      </c>
      <c r="AI58" s="11">
        <f t="shared" si="31"/>
        <v>13</v>
      </c>
      <c r="AJ58" s="11">
        <f t="shared" si="31"/>
        <v>17</v>
      </c>
      <c r="AK58" s="11">
        <f t="shared" ref="AK58:AV58" si="32">SUM(AK55:AK57)</f>
        <v>14</v>
      </c>
      <c r="AL58" s="11">
        <f t="shared" si="32"/>
        <v>16</v>
      </c>
      <c r="AM58" s="11">
        <f t="shared" si="32"/>
        <v>14</v>
      </c>
      <c r="AN58" s="22">
        <f t="shared" si="32"/>
        <v>12</v>
      </c>
      <c r="AO58" s="11">
        <f t="shared" si="32"/>
        <v>22</v>
      </c>
      <c r="AP58" s="22">
        <f t="shared" si="32"/>
        <v>19</v>
      </c>
      <c r="AQ58" s="11">
        <f t="shared" si="32"/>
        <v>43</v>
      </c>
      <c r="AR58" s="11">
        <f t="shared" si="32"/>
        <v>19</v>
      </c>
      <c r="AS58" s="11">
        <f t="shared" si="32"/>
        <v>20</v>
      </c>
      <c r="AT58" s="11">
        <f t="shared" si="32"/>
        <v>22</v>
      </c>
      <c r="AU58" s="11">
        <f t="shared" si="32"/>
        <v>30</v>
      </c>
      <c r="AV58" s="11">
        <f t="shared" si="32"/>
        <v>35</v>
      </c>
      <c r="AW58" s="11">
        <f t="shared" ref="AW58:BB58" si="33">SUM(AW54:AW57)</f>
        <v>31</v>
      </c>
      <c r="AX58" s="11">
        <f t="shared" si="33"/>
        <v>33</v>
      </c>
      <c r="AY58" s="11">
        <f t="shared" si="33"/>
        <v>41</v>
      </c>
      <c r="AZ58" s="11">
        <f t="shared" si="33"/>
        <v>35</v>
      </c>
      <c r="BA58" s="11">
        <f t="shared" si="33"/>
        <v>41</v>
      </c>
      <c r="BB58" s="11">
        <f t="shared" si="33"/>
        <v>34</v>
      </c>
      <c r="BC58" s="8"/>
    </row>
    <row r="59" spans="1:55" ht="13.5" customHeight="1" x14ac:dyDescent="0.2">
      <c r="A59" s="7"/>
      <c r="B59" s="33" t="s">
        <v>111</v>
      </c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3"/>
      <c r="AO59" s="2"/>
      <c r="AP59" s="3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8"/>
    </row>
    <row r="60" spans="1:55" ht="13.5" customHeight="1" x14ac:dyDescent="0.2">
      <c r="A60" s="7"/>
      <c r="B60" s="3"/>
      <c r="C60" s="3" t="s"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3"/>
      <c r="AO60" s="2"/>
      <c r="AP60" s="3"/>
      <c r="AQ60" s="2"/>
      <c r="AR60" s="2"/>
      <c r="AS60" s="2"/>
      <c r="AT60" s="2"/>
      <c r="AU60" s="2"/>
      <c r="AV60" s="2"/>
      <c r="AW60" s="2"/>
      <c r="AX60" s="2"/>
      <c r="AY60" s="2">
        <v>1</v>
      </c>
      <c r="AZ60" s="2">
        <v>0</v>
      </c>
      <c r="BA60" s="2">
        <v>0</v>
      </c>
      <c r="BB60" s="2">
        <v>0</v>
      </c>
      <c r="BC60" s="8"/>
    </row>
    <row r="61" spans="1:55" ht="13.5" customHeight="1" x14ac:dyDescent="0.2">
      <c r="A61" s="7"/>
      <c r="B61" s="33" t="s">
        <v>84</v>
      </c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3"/>
      <c r="AO61" s="2"/>
      <c r="AP61" s="3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8"/>
    </row>
    <row r="62" spans="1:55" ht="13.5" customHeight="1" x14ac:dyDescent="0.2">
      <c r="A62" s="7"/>
      <c r="B62" s="33"/>
      <c r="C62" s="3" t="s">
        <v>10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3"/>
      <c r="AO62" s="2"/>
      <c r="AP62" s="3"/>
      <c r="AQ62" s="2"/>
      <c r="AR62" s="2"/>
      <c r="AS62" s="2"/>
      <c r="AT62" s="2"/>
      <c r="AU62" s="2"/>
      <c r="AV62" s="2"/>
      <c r="AW62" s="2">
        <v>0</v>
      </c>
      <c r="AX62" s="2">
        <v>0</v>
      </c>
      <c r="AY62" s="2">
        <v>1</v>
      </c>
      <c r="AZ62" s="2">
        <v>0</v>
      </c>
      <c r="BA62" s="2">
        <v>2</v>
      </c>
      <c r="BB62" s="2">
        <v>0</v>
      </c>
      <c r="BC62" s="8"/>
    </row>
    <row r="63" spans="1:55" ht="13.5" customHeight="1" x14ac:dyDescent="0.2">
      <c r="A63" s="7"/>
      <c r="B63" s="3"/>
      <c r="C63" s="3" t="s"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3"/>
      <c r="AO63" s="2"/>
      <c r="AP63" s="3"/>
      <c r="AQ63" s="2">
        <v>6</v>
      </c>
      <c r="AR63" s="2">
        <v>8</v>
      </c>
      <c r="AS63" s="2">
        <v>9</v>
      </c>
      <c r="AT63" s="2">
        <v>9</v>
      </c>
      <c r="AU63" s="2">
        <v>5</v>
      </c>
      <c r="AV63" s="2">
        <v>14</v>
      </c>
      <c r="AW63" s="2">
        <v>15</v>
      </c>
      <c r="AX63" s="2">
        <v>21</v>
      </c>
      <c r="AY63" s="2">
        <v>15</v>
      </c>
      <c r="AZ63" s="2">
        <v>7</v>
      </c>
      <c r="BA63" s="2">
        <v>13</v>
      </c>
      <c r="BB63" s="2">
        <v>3</v>
      </c>
      <c r="BC63" s="8"/>
    </row>
    <row r="64" spans="1:55" ht="13.5" customHeight="1" x14ac:dyDescent="0.2">
      <c r="A64" s="7"/>
      <c r="B64" s="3"/>
      <c r="C64" s="3" t="s">
        <v>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3"/>
      <c r="AG64" s="3">
        <v>6</v>
      </c>
      <c r="AH64" s="3">
        <v>5</v>
      </c>
      <c r="AI64" s="3">
        <v>1</v>
      </c>
      <c r="AJ64" s="2">
        <v>3</v>
      </c>
      <c r="AK64" s="2">
        <v>3</v>
      </c>
      <c r="AL64" s="2">
        <v>0</v>
      </c>
      <c r="AM64" s="2">
        <v>10</v>
      </c>
      <c r="AN64" s="3">
        <v>3</v>
      </c>
      <c r="AO64" s="2">
        <v>9</v>
      </c>
      <c r="AP64" s="3">
        <v>9</v>
      </c>
      <c r="AQ64" s="2">
        <v>7</v>
      </c>
      <c r="AR64" s="2">
        <v>6</v>
      </c>
      <c r="AS64" s="2">
        <v>8</v>
      </c>
      <c r="AT64" s="2">
        <v>19</v>
      </c>
      <c r="AU64" s="2">
        <v>14</v>
      </c>
      <c r="AV64" s="2">
        <v>15</v>
      </c>
      <c r="AW64" s="2">
        <v>18</v>
      </c>
      <c r="AX64" s="2">
        <v>2</v>
      </c>
      <c r="AY64" s="2">
        <v>12</v>
      </c>
      <c r="AZ64" s="2">
        <v>17</v>
      </c>
      <c r="BA64" s="2">
        <v>12</v>
      </c>
      <c r="BB64" s="2">
        <v>4</v>
      </c>
      <c r="BC64" s="8"/>
    </row>
    <row r="65" spans="1:55" ht="13.5" customHeight="1" x14ac:dyDescent="0.2">
      <c r="A65" s="7"/>
      <c r="B65" s="3"/>
      <c r="C65" s="3" t="s">
        <v>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2">
        <v>2</v>
      </c>
      <c r="Z65" s="2">
        <v>1</v>
      </c>
      <c r="AA65" s="2">
        <v>1</v>
      </c>
      <c r="AB65" s="2">
        <v>4</v>
      </c>
      <c r="AC65" s="2">
        <v>3</v>
      </c>
      <c r="AD65" s="2">
        <v>6</v>
      </c>
      <c r="AE65" s="2">
        <v>6</v>
      </c>
      <c r="AF65" s="2">
        <v>6</v>
      </c>
      <c r="AG65" s="2">
        <f>12-AG64</f>
        <v>6</v>
      </c>
      <c r="AH65" s="2">
        <f>6-AH64</f>
        <v>1</v>
      </c>
      <c r="AI65" s="2">
        <f>4-AI64</f>
        <v>3</v>
      </c>
      <c r="AJ65" s="2">
        <v>1</v>
      </c>
      <c r="AK65" s="2">
        <v>8</v>
      </c>
      <c r="AL65" s="2">
        <v>1</v>
      </c>
      <c r="AM65" s="2">
        <v>5</v>
      </c>
      <c r="AN65" s="3">
        <v>6</v>
      </c>
      <c r="AO65" s="2">
        <v>4</v>
      </c>
      <c r="AP65" s="3">
        <v>4</v>
      </c>
      <c r="AQ65" s="2">
        <v>7</v>
      </c>
      <c r="AR65" s="2">
        <v>8</v>
      </c>
      <c r="AS65" s="2">
        <v>6</v>
      </c>
      <c r="AT65" s="2">
        <v>8</v>
      </c>
      <c r="AU65" s="2">
        <v>11</v>
      </c>
      <c r="AV65" s="2">
        <v>9</v>
      </c>
      <c r="AW65" s="2">
        <v>9</v>
      </c>
      <c r="AX65" s="2">
        <v>4</v>
      </c>
      <c r="AY65" s="2">
        <v>12</v>
      </c>
      <c r="AZ65" s="2">
        <v>11</v>
      </c>
      <c r="BA65" s="2">
        <v>8</v>
      </c>
      <c r="BB65" s="2">
        <v>6</v>
      </c>
      <c r="BC65" s="8"/>
    </row>
    <row r="66" spans="1:55" ht="13.5" customHeight="1" x14ac:dyDescent="0.2">
      <c r="A66" s="7"/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1">
        <f t="shared" ref="Y66:AA66" si="34">Y65</f>
        <v>2</v>
      </c>
      <c r="Z66" s="11">
        <f t="shared" si="34"/>
        <v>1</v>
      </c>
      <c r="AA66" s="11">
        <f t="shared" si="34"/>
        <v>1</v>
      </c>
      <c r="AB66" s="11">
        <f t="shared" ref="AB66:AD66" si="35">AB65</f>
        <v>4</v>
      </c>
      <c r="AC66" s="11">
        <f t="shared" si="35"/>
        <v>3</v>
      </c>
      <c r="AD66" s="11">
        <f t="shared" si="35"/>
        <v>6</v>
      </c>
      <c r="AE66" s="11">
        <f>AE65</f>
        <v>6</v>
      </c>
      <c r="AF66" s="11">
        <f>AF65</f>
        <v>6</v>
      </c>
      <c r="AG66" s="11">
        <f t="shared" ref="AG66:AJ66" si="36">SUM(AG64:AG65)</f>
        <v>12</v>
      </c>
      <c r="AH66" s="11">
        <f t="shared" si="36"/>
        <v>6</v>
      </c>
      <c r="AI66" s="11">
        <f t="shared" si="36"/>
        <v>4</v>
      </c>
      <c r="AJ66" s="11">
        <f t="shared" si="36"/>
        <v>4</v>
      </c>
      <c r="AK66" s="11">
        <f t="shared" ref="AK66:AO66" si="37">SUM(AK64:AK65)</f>
        <v>11</v>
      </c>
      <c r="AL66" s="11">
        <f t="shared" si="37"/>
        <v>1</v>
      </c>
      <c r="AM66" s="11">
        <f t="shared" si="37"/>
        <v>15</v>
      </c>
      <c r="AN66" s="22">
        <f t="shared" si="37"/>
        <v>9</v>
      </c>
      <c r="AO66" s="11">
        <f t="shared" si="37"/>
        <v>13</v>
      </c>
      <c r="AP66" s="22">
        <f>SUM(AP64:AP65)</f>
        <v>13</v>
      </c>
      <c r="AQ66" s="11">
        <f t="shared" ref="AQ66:AV66" si="38">SUM(AQ63:AQ65)</f>
        <v>20</v>
      </c>
      <c r="AR66" s="11">
        <f t="shared" si="38"/>
        <v>22</v>
      </c>
      <c r="AS66" s="11">
        <f t="shared" si="38"/>
        <v>23</v>
      </c>
      <c r="AT66" s="11">
        <f>SUM(AT63:AT65)</f>
        <v>36</v>
      </c>
      <c r="AU66" s="11">
        <f t="shared" si="38"/>
        <v>30</v>
      </c>
      <c r="AV66" s="11">
        <f t="shared" si="38"/>
        <v>38</v>
      </c>
      <c r="AW66" s="11">
        <f>SUM(AW62:AW65)</f>
        <v>42</v>
      </c>
      <c r="AX66" s="11">
        <f t="shared" ref="AX66" si="39">SUM(AX62:AX65)</f>
        <v>27</v>
      </c>
      <c r="AY66" s="11">
        <f>SUM(AY62:AY65)</f>
        <v>40</v>
      </c>
      <c r="AZ66" s="11">
        <f>SUM(AZ62:AZ65)</f>
        <v>35</v>
      </c>
      <c r="BA66" s="11">
        <f>SUM(BA62:BA65)</f>
        <v>35</v>
      </c>
      <c r="BB66" s="11">
        <f>SUM(BB62:BB65)</f>
        <v>13</v>
      </c>
      <c r="BC66" s="8"/>
    </row>
    <row r="67" spans="1:55" ht="13.5" customHeight="1" x14ac:dyDescent="0.2">
      <c r="A67" s="7"/>
      <c r="B67" s="33" t="s">
        <v>82</v>
      </c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3"/>
      <c r="AO67" s="2"/>
      <c r="AP67" s="3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8"/>
    </row>
    <row r="68" spans="1:55" ht="13.5" customHeight="1" x14ac:dyDescent="0.2">
      <c r="A68" s="7"/>
      <c r="B68" s="3"/>
      <c r="C68" s="3" t="s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>
        <v>1</v>
      </c>
      <c r="X68" s="2">
        <v>3</v>
      </c>
      <c r="Y68" s="2">
        <v>4</v>
      </c>
      <c r="Z68" s="2">
        <v>5</v>
      </c>
      <c r="AA68" s="2">
        <v>4</v>
      </c>
      <c r="AB68" s="2">
        <v>8</v>
      </c>
      <c r="AC68" s="2">
        <v>3</v>
      </c>
      <c r="AD68" s="2">
        <v>2</v>
      </c>
      <c r="AE68" s="2">
        <v>2</v>
      </c>
      <c r="AF68" s="2">
        <v>9</v>
      </c>
      <c r="AG68" s="2">
        <v>7</v>
      </c>
      <c r="AH68" s="2">
        <v>8</v>
      </c>
      <c r="AI68" s="2">
        <v>5</v>
      </c>
      <c r="AJ68" s="2">
        <v>8</v>
      </c>
      <c r="AK68" s="2">
        <v>7</v>
      </c>
      <c r="AL68" s="2">
        <v>5</v>
      </c>
      <c r="AM68" s="2">
        <v>11</v>
      </c>
      <c r="AN68" s="3">
        <v>9</v>
      </c>
      <c r="AO68" s="2">
        <v>6</v>
      </c>
      <c r="AP68" s="3">
        <v>12</v>
      </c>
      <c r="AQ68" s="2">
        <v>6</v>
      </c>
      <c r="AR68" s="2">
        <v>8</v>
      </c>
      <c r="AS68" s="2">
        <v>8</v>
      </c>
      <c r="AT68" s="2">
        <v>10</v>
      </c>
      <c r="AU68" s="2">
        <v>12</v>
      </c>
      <c r="AV68" s="2">
        <v>11</v>
      </c>
      <c r="AW68" s="2">
        <v>6</v>
      </c>
      <c r="AX68" s="2">
        <v>6</v>
      </c>
      <c r="AY68" s="2">
        <v>13</v>
      </c>
      <c r="AZ68" s="2">
        <v>10</v>
      </c>
      <c r="BA68" s="2">
        <v>8</v>
      </c>
      <c r="BB68" s="2">
        <v>9</v>
      </c>
      <c r="BC68" s="8"/>
    </row>
    <row r="69" spans="1:55" ht="13.5" customHeight="1" x14ac:dyDescent="0.2">
      <c r="A69" s="7"/>
      <c r="B69" s="3"/>
      <c r="C69" s="3" t="s">
        <v>5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2">
        <v>0</v>
      </c>
      <c r="AL69" s="2">
        <v>0</v>
      </c>
      <c r="AM69" s="2">
        <v>2</v>
      </c>
      <c r="AN69" s="3">
        <v>4</v>
      </c>
      <c r="AO69" s="2">
        <v>2</v>
      </c>
      <c r="AP69" s="3">
        <v>6</v>
      </c>
      <c r="AQ69" s="2">
        <v>7</v>
      </c>
      <c r="AR69" s="2">
        <v>8</v>
      </c>
      <c r="AS69" s="2">
        <v>10</v>
      </c>
      <c r="AT69" s="2">
        <v>16</v>
      </c>
      <c r="AU69" s="2">
        <v>12</v>
      </c>
      <c r="AV69" s="2">
        <v>9</v>
      </c>
      <c r="AW69" s="2">
        <v>16</v>
      </c>
      <c r="AX69" s="2">
        <v>10</v>
      </c>
      <c r="AY69" s="2">
        <v>5</v>
      </c>
      <c r="AZ69" s="2">
        <v>9</v>
      </c>
      <c r="BA69" s="2">
        <v>6</v>
      </c>
      <c r="BB69" s="2">
        <v>8</v>
      </c>
      <c r="BC69" s="8"/>
    </row>
    <row r="70" spans="1:55" ht="13.5" customHeight="1" x14ac:dyDescent="0.2">
      <c r="A70" s="7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1">
        <f t="shared" ref="W70:AA70" si="40">W68</f>
        <v>1</v>
      </c>
      <c r="X70" s="11">
        <f t="shared" si="40"/>
        <v>3</v>
      </c>
      <c r="Y70" s="11">
        <f t="shared" si="40"/>
        <v>4</v>
      </c>
      <c r="Z70" s="11">
        <f t="shared" si="40"/>
        <v>5</v>
      </c>
      <c r="AA70" s="11">
        <f t="shared" si="40"/>
        <v>4</v>
      </c>
      <c r="AB70" s="11">
        <f t="shared" ref="AB70:AD70" si="41">AB68</f>
        <v>8</v>
      </c>
      <c r="AC70" s="11">
        <f t="shared" si="41"/>
        <v>3</v>
      </c>
      <c r="AD70" s="11">
        <f t="shared" si="41"/>
        <v>2</v>
      </c>
      <c r="AE70" s="11">
        <f t="shared" ref="AE70:AG70" si="42">AE68</f>
        <v>2</v>
      </c>
      <c r="AF70" s="11">
        <f t="shared" si="42"/>
        <v>9</v>
      </c>
      <c r="AG70" s="11">
        <f t="shared" si="42"/>
        <v>7</v>
      </c>
      <c r="AH70" s="11">
        <f t="shared" ref="AH70:AI70" si="43">AH68</f>
        <v>8</v>
      </c>
      <c r="AI70" s="11">
        <f t="shared" si="43"/>
        <v>5</v>
      </c>
      <c r="AJ70" s="11">
        <f>AJ68</f>
        <v>8</v>
      </c>
      <c r="AK70" s="11">
        <f>SUM(AK68:AK69)</f>
        <v>7</v>
      </c>
      <c r="AL70" s="11">
        <f t="shared" ref="AL70:AV70" si="44">SUM(AL68:AL69)</f>
        <v>5</v>
      </c>
      <c r="AM70" s="11">
        <f t="shared" si="44"/>
        <v>13</v>
      </c>
      <c r="AN70" s="22">
        <f t="shared" si="44"/>
        <v>13</v>
      </c>
      <c r="AO70" s="11">
        <f t="shared" si="44"/>
        <v>8</v>
      </c>
      <c r="AP70" s="22">
        <f t="shared" si="44"/>
        <v>18</v>
      </c>
      <c r="AQ70" s="11">
        <f t="shared" si="44"/>
        <v>13</v>
      </c>
      <c r="AR70" s="11">
        <f t="shared" si="44"/>
        <v>16</v>
      </c>
      <c r="AS70" s="11">
        <f t="shared" si="44"/>
        <v>18</v>
      </c>
      <c r="AT70" s="11">
        <f t="shared" si="44"/>
        <v>26</v>
      </c>
      <c r="AU70" s="11">
        <f t="shared" si="44"/>
        <v>24</v>
      </c>
      <c r="AV70" s="11">
        <f t="shared" si="44"/>
        <v>20</v>
      </c>
      <c r="AW70" s="11">
        <f t="shared" ref="AW70:BB70" si="45">SUM(AW68:AW69)</f>
        <v>22</v>
      </c>
      <c r="AX70" s="11">
        <f t="shared" si="45"/>
        <v>16</v>
      </c>
      <c r="AY70" s="11">
        <f t="shared" si="45"/>
        <v>18</v>
      </c>
      <c r="AZ70" s="11">
        <f t="shared" si="45"/>
        <v>19</v>
      </c>
      <c r="BA70" s="11">
        <f t="shared" si="45"/>
        <v>14</v>
      </c>
      <c r="BB70" s="11">
        <f t="shared" si="45"/>
        <v>17</v>
      </c>
      <c r="BC70" s="8"/>
    </row>
    <row r="71" spans="1:55" ht="13.5" customHeight="1" x14ac:dyDescent="0.2">
      <c r="A71" s="7"/>
      <c r="B71" s="33" t="s">
        <v>81</v>
      </c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3"/>
      <c r="AO71" s="2"/>
      <c r="AP71" s="3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8"/>
    </row>
    <row r="72" spans="1:55" ht="13.5" customHeight="1" x14ac:dyDescent="0.2">
      <c r="A72" s="7"/>
      <c r="B72" s="3"/>
      <c r="C72" s="3" t="s">
        <v>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>
        <v>25</v>
      </c>
      <c r="X72" s="2">
        <v>23</v>
      </c>
      <c r="Y72" s="2">
        <v>20</v>
      </c>
      <c r="Z72" s="2">
        <v>16</v>
      </c>
      <c r="AA72" s="2">
        <v>18</v>
      </c>
      <c r="AB72" s="2">
        <v>36</v>
      </c>
      <c r="AC72" s="2">
        <v>26</v>
      </c>
      <c r="AD72" s="2">
        <v>35</v>
      </c>
      <c r="AE72" s="2">
        <v>26</v>
      </c>
      <c r="AF72" s="2">
        <v>26</v>
      </c>
      <c r="AG72" s="2">
        <v>27</v>
      </c>
      <c r="AH72" s="2">
        <v>16</v>
      </c>
      <c r="AI72" s="2">
        <v>22</v>
      </c>
      <c r="AJ72" s="2">
        <v>23</v>
      </c>
      <c r="AK72" s="2">
        <v>22</v>
      </c>
      <c r="AL72" s="2">
        <v>30</v>
      </c>
      <c r="AM72" s="2">
        <v>28</v>
      </c>
      <c r="AN72" s="3">
        <v>20</v>
      </c>
      <c r="AO72" s="2">
        <v>15</v>
      </c>
      <c r="AP72" s="3">
        <v>27</v>
      </c>
      <c r="AQ72" s="2">
        <v>18</v>
      </c>
      <c r="AR72" s="2">
        <v>23</v>
      </c>
      <c r="AS72" s="2">
        <v>21</v>
      </c>
      <c r="AT72" s="2">
        <v>19</v>
      </c>
      <c r="AU72" s="2">
        <v>13</v>
      </c>
      <c r="AV72" s="2">
        <v>21</v>
      </c>
      <c r="AW72" s="2">
        <v>19</v>
      </c>
      <c r="AX72" s="2">
        <v>25</v>
      </c>
      <c r="AY72" s="2">
        <v>26</v>
      </c>
      <c r="AZ72" s="2">
        <v>36</v>
      </c>
      <c r="BA72" s="2">
        <v>19</v>
      </c>
      <c r="BB72" s="2">
        <v>29</v>
      </c>
      <c r="BC72" s="8"/>
    </row>
    <row r="73" spans="1:55" ht="13.5" customHeight="1" x14ac:dyDescent="0.2">
      <c r="A73" s="7"/>
      <c r="B73" s="3"/>
      <c r="C73" s="3" t="s">
        <v>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>
        <v>12</v>
      </c>
      <c r="X73" s="2">
        <v>7</v>
      </c>
      <c r="Y73" s="2">
        <v>9</v>
      </c>
      <c r="Z73" s="2">
        <v>9</v>
      </c>
      <c r="AA73" s="2">
        <v>6</v>
      </c>
      <c r="AB73" s="2">
        <v>9</v>
      </c>
      <c r="AC73" s="2">
        <v>17</v>
      </c>
      <c r="AD73" s="2">
        <v>16</v>
      </c>
      <c r="AE73" s="2">
        <v>12</v>
      </c>
      <c r="AF73" s="2">
        <v>16</v>
      </c>
      <c r="AG73" s="2">
        <v>11</v>
      </c>
      <c r="AH73" s="2">
        <v>12</v>
      </c>
      <c r="AI73" s="2">
        <v>18</v>
      </c>
      <c r="AJ73" s="2">
        <v>13</v>
      </c>
      <c r="AK73" s="2">
        <v>16</v>
      </c>
      <c r="AL73" s="2">
        <v>13</v>
      </c>
      <c r="AM73" s="2">
        <v>11</v>
      </c>
      <c r="AN73" s="3">
        <v>9</v>
      </c>
      <c r="AO73" s="2">
        <v>14</v>
      </c>
      <c r="AP73" s="3">
        <v>16</v>
      </c>
      <c r="AQ73" s="2">
        <v>12</v>
      </c>
      <c r="AR73" s="2">
        <v>18</v>
      </c>
      <c r="AS73" s="2">
        <v>12</v>
      </c>
      <c r="AT73" s="2">
        <v>17</v>
      </c>
      <c r="AU73" s="2">
        <v>13</v>
      </c>
      <c r="AV73" s="2">
        <v>25</v>
      </c>
      <c r="AW73" s="2">
        <v>20</v>
      </c>
      <c r="AX73" s="2">
        <v>16</v>
      </c>
      <c r="AY73" s="2">
        <v>16</v>
      </c>
      <c r="AZ73" s="2">
        <v>25</v>
      </c>
      <c r="BA73" s="2">
        <v>19</v>
      </c>
      <c r="BB73" s="2">
        <v>18</v>
      </c>
      <c r="BC73" s="8"/>
    </row>
    <row r="74" spans="1:55" ht="13.5" customHeight="1" x14ac:dyDescent="0.2">
      <c r="A74" s="7"/>
      <c r="B74" s="3"/>
      <c r="C74" s="3" t="s">
        <v>7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2</v>
      </c>
      <c r="X74" s="2">
        <v>7</v>
      </c>
      <c r="Y74" s="2">
        <v>4</v>
      </c>
      <c r="Z74" s="2">
        <v>3</v>
      </c>
      <c r="AA74" s="2">
        <v>4</v>
      </c>
      <c r="AB74" s="2">
        <v>7</v>
      </c>
      <c r="AC74" s="2">
        <v>4</v>
      </c>
      <c r="AD74" s="2">
        <v>3</v>
      </c>
      <c r="AE74" s="2">
        <v>7</v>
      </c>
      <c r="AF74" s="2">
        <v>4</v>
      </c>
      <c r="AG74" s="2">
        <v>9</v>
      </c>
      <c r="AH74" s="2">
        <v>7</v>
      </c>
      <c r="AI74" s="2">
        <v>4</v>
      </c>
      <c r="AJ74" s="2">
        <v>8</v>
      </c>
      <c r="AK74" s="2">
        <v>6</v>
      </c>
      <c r="AL74" s="2">
        <v>9</v>
      </c>
      <c r="AM74" s="2">
        <v>5</v>
      </c>
      <c r="AN74" s="3">
        <v>6</v>
      </c>
      <c r="AO74" s="2">
        <v>4</v>
      </c>
      <c r="AP74" s="3">
        <v>7</v>
      </c>
      <c r="AQ74" s="2">
        <v>5</v>
      </c>
      <c r="AR74" s="2">
        <v>5</v>
      </c>
      <c r="AS74" s="2">
        <v>9</v>
      </c>
      <c r="AT74" s="2">
        <v>11</v>
      </c>
      <c r="AU74" s="2">
        <v>5</v>
      </c>
      <c r="AV74" s="2">
        <v>6</v>
      </c>
      <c r="AW74" s="2">
        <v>11</v>
      </c>
      <c r="AX74" s="2">
        <v>8</v>
      </c>
      <c r="AY74" s="2">
        <v>7</v>
      </c>
      <c r="AZ74" s="2">
        <v>7</v>
      </c>
      <c r="BA74" s="2">
        <v>9</v>
      </c>
      <c r="BB74" s="2">
        <v>11</v>
      </c>
      <c r="BC74" s="8"/>
    </row>
    <row r="75" spans="1:55" ht="13.5" customHeight="1" x14ac:dyDescent="0.2">
      <c r="A75" s="7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1">
        <f t="shared" ref="W75:AA75" si="46">SUM(W72:W74)</f>
        <v>39</v>
      </c>
      <c r="X75" s="11">
        <f t="shared" si="46"/>
        <v>37</v>
      </c>
      <c r="Y75" s="11">
        <f t="shared" si="46"/>
        <v>33</v>
      </c>
      <c r="Z75" s="11">
        <f t="shared" si="46"/>
        <v>28</v>
      </c>
      <c r="AA75" s="11">
        <f t="shared" si="46"/>
        <v>28</v>
      </c>
      <c r="AB75" s="11">
        <f t="shared" ref="AB75:AD75" si="47">SUM(AB72:AB74)</f>
        <v>52</v>
      </c>
      <c r="AC75" s="11">
        <f t="shared" si="47"/>
        <v>47</v>
      </c>
      <c r="AD75" s="11">
        <f t="shared" si="47"/>
        <v>54</v>
      </c>
      <c r="AE75" s="11">
        <f t="shared" ref="AE75:AG75" si="48">SUM(AE72:AE74)</f>
        <v>45</v>
      </c>
      <c r="AF75" s="11">
        <f t="shared" si="48"/>
        <v>46</v>
      </c>
      <c r="AG75" s="11">
        <f t="shared" si="48"/>
        <v>47</v>
      </c>
      <c r="AH75" s="11">
        <f t="shared" ref="AH75:AJ75" si="49">SUM(AH72:AH74)</f>
        <v>35</v>
      </c>
      <c r="AI75" s="11">
        <f t="shared" si="49"/>
        <v>44</v>
      </c>
      <c r="AJ75" s="11">
        <f t="shared" si="49"/>
        <v>44</v>
      </c>
      <c r="AK75" s="11">
        <f t="shared" ref="AK75:AV75" si="50">SUM(AK72:AK74)</f>
        <v>44</v>
      </c>
      <c r="AL75" s="11">
        <f t="shared" si="50"/>
        <v>52</v>
      </c>
      <c r="AM75" s="11">
        <f t="shared" si="50"/>
        <v>44</v>
      </c>
      <c r="AN75" s="22">
        <f t="shared" si="50"/>
        <v>35</v>
      </c>
      <c r="AO75" s="11">
        <f t="shared" si="50"/>
        <v>33</v>
      </c>
      <c r="AP75" s="22">
        <f t="shared" si="50"/>
        <v>50</v>
      </c>
      <c r="AQ75" s="11">
        <f t="shared" si="50"/>
        <v>35</v>
      </c>
      <c r="AR75" s="11">
        <f t="shared" si="50"/>
        <v>46</v>
      </c>
      <c r="AS75" s="11">
        <f t="shared" si="50"/>
        <v>42</v>
      </c>
      <c r="AT75" s="11">
        <f t="shared" si="50"/>
        <v>47</v>
      </c>
      <c r="AU75" s="11">
        <f t="shared" si="50"/>
        <v>31</v>
      </c>
      <c r="AV75" s="11">
        <f t="shared" si="50"/>
        <v>52</v>
      </c>
      <c r="AW75" s="11">
        <f t="shared" ref="AW75:BB75" si="51">SUM(AW72:AW74)</f>
        <v>50</v>
      </c>
      <c r="AX75" s="11">
        <f t="shared" si="51"/>
        <v>49</v>
      </c>
      <c r="AY75" s="11">
        <f t="shared" si="51"/>
        <v>49</v>
      </c>
      <c r="AZ75" s="11">
        <f t="shared" si="51"/>
        <v>68</v>
      </c>
      <c r="BA75" s="11">
        <f t="shared" si="51"/>
        <v>47</v>
      </c>
      <c r="BB75" s="11">
        <f t="shared" si="51"/>
        <v>58</v>
      </c>
      <c r="BC75" s="8"/>
    </row>
    <row r="76" spans="1:55" ht="13.5" customHeight="1" x14ac:dyDescent="0.2">
      <c r="A76" s="7"/>
      <c r="B76" s="33" t="s">
        <v>80</v>
      </c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3"/>
      <c r="AO76" s="2"/>
      <c r="AP76" s="3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8"/>
    </row>
    <row r="77" spans="1:55" ht="13.5" customHeight="1" x14ac:dyDescent="0.2">
      <c r="A77" s="7"/>
      <c r="B77" s="33"/>
      <c r="C77" s="3" t="s">
        <v>10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3"/>
      <c r="AO77" s="2"/>
      <c r="AP77" s="3"/>
      <c r="AQ77" s="2"/>
      <c r="AR77" s="2"/>
      <c r="AS77" s="2"/>
      <c r="AT77" s="2"/>
      <c r="AU77" s="2"/>
      <c r="AV77" s="2"/>
      <c r="AW77" s="2"/>
      <c r="AX77" s="2"/>
      <c r="AY77" s="2">
        <v>7</v>
      </c>
      <c r="AZ77" s="2">
        <v>2</v>
      </c>
      <c r="BA77" s="2">
        <v>9</v>
      </c>
      <c r="BB77" s="2">
        <v>6</v>
      </c>
      <c r="BC77" s="8"/>
    </row>
    <row r="78" spans="1:55" ht="13.5" customHeight="1" x14ac:dyDescent="0.2">
      <c r="A78" s="7"/>
      <c r="B78" s="3"/>
      <c r="C78" s="3" t="s"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55</v>
      </c>
      <c r="X78" s="2">
        <v>61</v>
      </c>
      <c r="Y78" s="2">
        <v>64</v>
      </c>
      <c r="Z78" s="2">
        <v>80</v>
      </c>
      <c r="AA78" s="2">
        <v>79</v>
      </c>
      <c r="AB78" s="2">
        <v>89</v>
      </c>
      <c r="AC78" s="2">
        <v>111</v>
      </c>
      <c r="AD78" s="2">
        <v>100</v>
      </c>
      <c r="AE78" s="2">
        <v>99</v>
      </c>
      <c r="AF78" s="2">
        <v>95</v>
      </c>
      <c r="AG78" s="2">
        <v>84</v>
      </c>
      <c r="AH78" s="2">
        <v>109</v>
      </c>
      <c r="AI78" s="2">
        <v>127</v>
      </c>
      <c r="AJ78" s="2">
        <v>135</v>
      </c>
      <c r="AK78" s="2">
        <v>130</v>
      </c>
      <c r="AL78" s="2">
        <v>139</v>
      </c>
      <c r="AM78" s="2">
        <v>140</v>
      </c>
      <c r="AN78" s="3">
        <v>136</v>
      </c>
      <c r="AO78" s="2">
        <v>123</v>
      </c>
      <c r="AP78" s="3">
        <v>126</v>
      </c>
      <c r="AQ78" s="2">
        <v>147</v>
      </c>
      <c r="AR78" s="2">
        <v>121</v>
      </c>
      <c r="AS78" s="2">
        <v>129</v>
      </c>
      <c r="AT78" s="2">
        <v>129</v>
      </c>
      <c r="AU78" s="2">
        <v>146</v>
      </c>
      <c r="AV78" s="2">
        <v>144</v>
      </c>
      <c r="AW78" s="2">
        <f>145</f>
        <v>145</v>
      </c>
      <c r="AX78" s="2">
        <v>122</v>
      </c>
      <c r="AY78" s="2">
        <v>162</v>
      </c>
      <c r="AZ78" s="2">
        <v>167</v>
      </c>
      <c r="BA78" s="2">
        <v>140</v>
      </c>
      <c r="BB78" s="2">
        <v>156</v>
      </c>
      <c r="BC78" s="8"/>
    </row>
    <row r="79" spans="1:55" ht="13.5" customHeight="1" x14ac:dyDescent="0.2">
      <c r="A79" s="7"/>
      <c r="B79" s="2"/>
      <c r="C79" s="2" t="s">
        <v>9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2">
        <v>0</v>
      </c>
      <c r="AL79" s="2">
        <v>0</v>
      </c>
      <c r="AM79" s="2">
        <v>0</v>
      </c>
      <c r="AN79" s="3">
        <v>1</v>
      </c>
      <c r="AO79" s="2">
        <v>0</v>
      </c>
      <c r="AP79" s="3">
        <v>2</v>
      </c>
      <c r="AQ79" s="2">
        <v>7</v>
      </c>
      <c r="AR79" s="2">
        <v>0</v>
      </c>
      <c r="AS79" s="2">
        <v>2</v>
      </c>
      <c r="AT79" s="2">
        <v>0</v>
      </c>
      <c r="AU79" s="2">
        <v>1</v>
      </c>
      <c r="AV79" s="2">
        <v>1</v>
      </c>
      <c r="AW79" s="2">
        <v>1</v>
      </c>
      <c r="AX79" s="2">
        <v>0</v>
      </c>
      <c r="AY79" s="2">
        <v>0</v>
      </c>
      <c r="AZ79" s="2">
        <v>1</v>
      </c>
      <c r="BA79" s="2">
        <v>0</v>
      </c>
      <c r="BB79" s="2">
        <v>1</v>
      </c>
      <c r="BC79" s="8"/>
    </row>
    <row r="80" spans="1:55" ht="13.5" customHeight="1" x14ac:dyDescent="0.2">
      <c r="A80" s="7"/>
      <c r="B80" s="2"/>
      <c r="C80" s="2" t="s">
        <v>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>
        <v>19</v>
      </c>
      <c r="X80" s="2">
        <v>12</v>
      </c>
      <c r="Y80" s="2">
        <v>23</v>
      </c>
      <c r="Z80" s="2">
        <v>14</v>
      </c>
      <c r="AA80" s="2">
        <v>22</v>
      </c>
      <c r="AB80" s="2">
        <v>15</v>
      </c>
      <c r="AC80" s="2">
        <v>15</v>
      </c>
      <c r="AD80" s="2">
        <v>12</v>
      </c>
      <c r="AE80" s="2">
        <v>11</v>
      </c>
      <c r="AF80" s="2">
        <v>11</v>
      </c>
      <c r="AG80" s="2">
        <v>13</v>
      </c>
      <c r="AH80" s="2">
        <v>10</v>
      </c>
      <c r="AI80" s="2">
        <v>7</v>
      </c>
      <c r="AJ80" s="2">
        <v>9</v>
      </c>
      <c r="AK80" s="2">
        <v>12</v>
      </c>
      <c r="AL80" s="2">
        <v>13</v>
      </c>
      <c r="AM80" s="2">
        <v>14</v>
      </c>
      <c r="AN80" s="3">
        <v>9</v>
      </c>
      <c r="AO80" s="2">
        <v>14</v>
      </c>
      <c r="AP80" s="3">
        <v>11</v>
      </c>
      <c r="AQ80" s="2">
        <v>14</v>
      </c>
      <c r="AR80" s="2">
        <v>15</v>
      </c>
      <c r="AS80" s="2">
        <v>15</v>
      </c>
      <c r="AT80" s="2">
        <v>10</v>
      </c>
      <c r="AU80" s="2">
        <v>17</v>
      </c>
      <c r="AV80" s="2">
        <v>15</v>
      </c>
      <c r="AW80" s="2">
        <v>19</v>
      </c>
      <c r="AX80" s="2">
        <v>35</v>
      </c>
      <c r="AY80" s="2">
        <v>26</v>
      </c>
      <c r="AZ80" s="2">
        <v>31</v>
      </c>
      <c r="BA80" s="2">
        <v>30</v>
      </c>
      <c r="BB80" s="2">
        <v>27</v>
      </c>
      <c r="BC80" s="8"/>
    </row>
    <row r="81" spans="1:55" ht="13.5" customHeight="1" x14ac:dyDescent="0.2">
      <c r="A81" s="7"/>
      <c r="B81" s="2"/>
      <c r="C81" s="2" t="s">
        <v>11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3"/>
      <c r="AO81" s="2">
        <v>0</v>
      </c>
      <c r="AP81" s="3">
        <v>2</v>
      </c>
      <c r="AQ81" s="2">
        <v>2</v>
      </c>
      <c r="AR81" s="2">
        <v>6</v>
      </c>
      <c r="AS81" s="2">
        <v>17</v>
      </c>
      <c r="AT81" s="2">
        <v>9</v>
      </c>
      <c r="AU81" s="2">
        <v>6</v>
      </c>
      <c r="AV81" s="2">
        <v>13</v>
      </c>
      <c r="AW81" s="2">
        <v>8</v>
      </c>
      <c r="AX81" s="2">
        <v>9</v>
      </c>
      <c r="AY81" s="2">
        <v>7</v>
      </c>
      <c r="AZ81" s="2">
        <v>9</v>
      </c>
      <c r="BA81" s="2">
        <v>13</v>
      </c>
      <c r="BB81" s="2">
        <v>7</v>
      </c>
      <c r="BC81" s="8"/>
    </row>
    <row r="82" spans="1:55" ht="13.5" customHeight="1" x14ac:dyDescent="0.2">
      <c r="A82" s="7"/>
      <c r="B82" s="2"/>
      <c r="C82" s="2" t="s">
        <v>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6</v>
      </c>
      <c r="X82" s="2">
        <v>6</v>
      </c>
      <c r="Y82" s="2">
        <v>6</v>
      </c>
      <c r="Z82" s="2">
        <v>11</v>
      </c>
      <c r="AA82" s="2">
        <v>10</v>
      </c>
      <c r="AB82" s="2">
        <v>11</v>
      </c>
      <c r="AC82" s="2">
        <v>7</v>
      </c>
      <c r="AD82" s="2">
        <v>4</v>
      </c>
      <c r="AE82" s="2">
        <v>9</v>
      </c>
      <c r="AF82" s="2">
        <v>5</v>
      </c>
      <c r="AG82" s="2">
        <v>6</v>
      </c>
      <c r="AH82" s="2">
        <v>11</v>
      </c>
      <c r="AI82" s="2">
        <v>6</v>
      </c>
      <c r="AJ82" s="2">
        <v>11</v>
      </c>
      <c r="AK82" s="2">
        <v>4</v>
      </c>
      <c r="AL82" s="2">
        <v>7</v>
      </c>
      <c r="AM82" s="2">
        <v>7</v>
      </c>
      <c r="AN82" s="3">
        <v>6</v>
      </c>
      <c r="AO82" s="2">
        <v>12</v>
      </c>
      <c r="AP82" s="3">
        <v>10</v>
      </c>
      <c r="AQ82" s="2">
        <v>6</v>
      </c>
      <c r="AR82" s="2">
        <v>6</v>
      </c>
      <c r="AS82" s="2">
        <v>8</v>
      </c>
      <c r="AT82" s="2">
        <v>7</v>
      </c>
      <c r="AU82" s="2">
        <v>5</v>
      </c>
      <c r="AV82" s="2">
        <v>10</v>
      </c>
      <c r="AW82" s="2">
        <v>7</v>
      </c>
      <c r="AX82" s="2">
        <v>15</v>
      </c>
      <c r="AY82" s="2">
        <v>7</v>
      </c>
      <c r="AZ82" s="2">
        <v>12</v>
      </c>
      <c r="BA82" s="2">
        <v>10</v>
      </c>
      <c r="BB82" s="2">
        <v>11</v>
      </c>
      <c r="BC82" s="8"/>
    </row>
    <row r="83" spans="1:55" ht="13.5" customHeight="1" x14ac:dyDescent="0.2">
      <c r="A83" s="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1">
        <f t="shared" ref="W83:AA83" si="52">SUM(W78:W82)</f>
        <v>80</v>
      </c>
      <c r="X83" s="11">
        <f t="shared" si="52"/>
        <v>79</v>
      </c>
      <c r="Y83" s="11">
        <f t="shared" si="52"/>
        <v>93</v>
      </c>
      <c r="Z83" s="11">
        <f t="shared" si="52"/>
        <v>105</v>
      </c>
      <c r="AA83" s="11">
        <f t="shared" si="52"/>
        <v>111</v>
      </c>
      <c r="AB83" s="11">
        <f t="shared" ref="AB83:AD83" si="53">SUM(AB78:AB82)</f>
        <v>115</v>
      </c>
      <c r="AC83" s="11">
        <f t="shared" si="53"/>
        <v>133</v>
      </c>
      <c r="AD83" s="11">
        <f t="shared" si="53"/>
        <v>116</v>
      </c>
      <c r="AE83" s="11">
        <f t="shared" ref="AE83:AG83" si="54">SUM(AE78:AE82)</f>
        <v>119</v>
      </c>
      <c r="AF83" s="11">
        <f t="shared" si="54"/>
        <v>111</v>
      </c>
      <c r="AG83" s="11">
        <f t="shared" si="54"/>
        <v>103</v>
      </c>
      <c r="AH83" s="11">
        <f>SUM(AH78:AH82)</f>
        <v>130</v>
      </c>
      <c r="AI83" s="11">
        <f t="shared" ref="AI83:AJ83" si="55">SUM(AI78:AI82)</f>
        <v>140</v>
      </c>
      <c r="AJ83" s="11">
        <f t="shared" si="55"/>
        <v>155</v>
      </c>
      <c r="AK83" s="11">
        <f t="shared" ref="AK83:AV83" si="56">SUM(AK78:AK82)</f>
        <v>146</v>
      </c>
      <c r="AL83" s="11">
        <f t="shared" si="56"/>
        <v>159</v>
      </c>
      <c r="AM83" s="11">
        <f t="shared" si="56"/>
        <v>161</v>
      </c>
      <c r="AN83" s="22">
        <f t="shared" si="56"/>
        <v>152</v>
      </c>
      <c r="AO83" s="11">
        <f t="shared" si="56"/>
        <v>149</v>
      </c>
      <c r="AP83" s="22">
        <f t="shared" si="56"/>
        <v>151</v>
      </c>
      <c r="AQ83" s="11">
        <f t="shared" si="56"/>
        <v>176</v>
      </c>
      <c r="AR83" s="11">
        <f t="shared" si="56"/>
        <v>148</v>
      </c>
      <c r="AS83" s="11">
        <f t="shared" si="56"/>
        <v>171</v>
      </c>
      <c r="AT83" s="11">
        <f t="shared" si="56"/>
        <v>155</v>
      </c>
      <c r="AU83" s="11">
        <f t="shared" si="56"/>
        <v>175</v>
      </c>
      <c r="AV83" s="11">
        <f t="shared" si="56"/>
        <v>183</v>
      </c>
      <c r="AW83" s="11">
        <f>SUM(AW78:AW82)</f>
        <v>180</v>
      </c>
      <c r="AX83" s="11">
        <f>SUM(AX78:AX82)</f>
        <v>181</v>
      </c>
      <c r="AY83" s="11">
        <f>SUM(AY77:AY82)</f>
        <v>209</v>
      </c>
      <c r="AZ83" s="11">
        <f>SUM(AZ77:AZ82)</f>
        <v>222</v>
      </c>
      <c r="BA83" s="11">
        <f>SUM(BA77:BA82)</f>
        <v>202</v>
      </c>
      <c r="BB83" s="11">
        <f>SUM(BB77:BB82)</f>
        <v>208</v>
      </c>
      <c r="BC83" s="8"/>
    </row>
    <row r="84" spans="1:55" ht="13.5" hidden="1" customHeight="1" x14ac:dyDescent="0.2">
      <c r="A84" s="7"/>
      <c r="B84" s="10" t="s">
        <v>79</v>
      </c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3"/>
      <c r="AO84" s="2"/>
      <c r="AP84" s="3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8"/>
    </row>
    <row r="85" spans="1:55" ht="13.5" hidden="1" customHeight="1" x14ac:dyDescent="0.2">
      <c r="A85" s="7"/>
      <c r="B85" s="2"/>
      <c r="C85" s="3" t="s">
        <v>0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>
        <v>49</v>
      </c>
      <c r="X85" s="3">
        <v>49</v>
      </c>
      <c r="Y85" s="3">
        <v>58</v>
      </c>
      <c r="Z85" s="3">
        <v>42</v>
      </c>
      <c r="AA85" s="3">
        <v>68</v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3"/>
      <c r="AO85" s="2"/>
      <c r="AP85" s="3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8"/>
    </row>
    <row r="86" spans="1:55" ht="13.5" hidden="1" customHeight="1" x14ac:dyDescent="0.2">
      <c r="A86" s="7"/>
      <c r="B86" s="2"/>
      <c r="C86" s="2" t="s">
        <v>5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>
        <v>3</v>
      </c>
      <c r="Z86" s="3">
        <v>2</v>
      </c>
      <c r="AA86" s="3">
        <v>6</v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3"/>
      <c r="AO86" s="2"/>
      <c r="AP86" s="3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8"/>
    </row>
    <row r="87" spans="1:55" ht="13.5" hidden="1" customHeight="1" x14ac:dyDescent="0.2">
      <c r="A87" s="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1">
        <f>W85</f>
        <v>49</v>
      </c>
      <c r="X87" s="11">
        <f>X85</f>
        <v>49</v>
      </c>
      <c r="Y87" s="11">
        <f t="shared" ref="Y87:Z87" si="57">SUM(Y85:Y86)</f>
        <v>61</v>
      </c>
      <c r="Z87" s="11">
        <f t="shared" si="57"/>
        <v>44</v>
      </c>
      <c r="AA87" s="11">
        <f>SUM(AA85:AA86)</f>
        <v>74</v>
      </c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3"/>
      <c r="AO87" s="2"/>
      <c r="AP87" s="3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8"/>
    </row>
    <row r="88" spans="1:55" ht="13.5" customHeight="1" x14ac:dyDescent="0.2">
      <c r="A88" s="7"/>
      <c r="B88" s="10" t="s">
        <v>78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3"/>
      <c r="AO88" s="2"/>
      <c r="AP88" s="3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8"/>
    </row>
    <row r="89" spans="1:55" ht="13.5" customHeight="1" x14ac:dyDescent="0.2">
      <c r="A89" s="7"/>
      <c r="B89" s="2"/>
      <c r="C89" s="2" t="s">
        <v>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>
        <v>42</v>
      </c>
      <c r="X89" s="2">
        <v>21</v>
      </c>
      <c r="Y89" s="2">
        <v>40</v>
      </c>
      <c r="Z89" s="2">
        <v>50</v>
      </c>
      <c r="AA89" s="2">
        <v>54</v>
      </c>
      <c r="AB89" s="2">
        <v>52</v>
      </c>
      <c r="AC89" s="2">
        <v>50</v>
      </c>
      <c r="AD89" s="2">
        <v>53</v>
      </c>
      <c r="AE89" s="2">
        <v>78</v>
      </c>
      <c r="AF89" s="2">
        <v>62</v>
      </c>
      <c r="AG89" s="2">
        <v>53</v>
      </c>
      <c r="AH89" s="2">
        <v>69</v>
      </c>
      <c r="AI89" s="2">
        <v>85</v>
      </c>
      <c r="AJ89" s="2">
        <v>60</v>
      </c>
      <c r="AK89" s="2">
        <v>70</v>
      </c>
      <c r="AL89" s="2">
        <v>75</v>
      </c>
      <c r="AM89" s="2">
        <v>43</v>
      </c>
      <c r="AN89" s="3">
        <v>67</v>
      </c>
      <c r="AO89" s="2">
        <v>56</v>
      </c>
      <c r="AP89" s="3">
        <v>48</v>
      </c>
      <c r="AQ89" s="2">
        <v>61</v>
      </c>
      <c r="AR89" s="2">
        <v>76</v>
      </c>
      <c r="AS89" s="2">
        <v>74</v>
      </c>
      <c r="AT89" s="2">
        <v>74</v>
      </c>
      <c r="AU89" s="2">
        <v>67</v>
      </c>
      <c r="AV89" s="2">
        <v>75</v>
      </c>
      <c r="AW89" s="2">
        <v>57</v>
      </c>
      <c r="AX89" s="2">
        <v>77</v>
      </c>
      <c r="AY89" s="2">
        <v>68</v>
      </c>
      <c r="AZ89" s="2">
        <v>87</v>
      </c>
      <c r="BA89" s="2">
        <v>80</v>
      </c>
      <c r="BB89" s="2">
        <v>97</v>
      </c>
      <c r="BC89" s="8"/>
    </row>
    <row r="90" spans="1:55" ht="13.5" customHeight="1" x14ac:dyDescent="0.2">
      <c r="A90" s="7"/>
      <c r="B90" s="2"/>
      <c r="C90" s="2" t="s">
        <v>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3"/>
      <c r="AG90" s="3">
        <v>0</v>
      </c>
      <c r="AH90" s="3">
        <v>1</v>
      </c>
      <c r="AI90" s="3">
        <v>4</v>
      </c>
      <c r="AJ90" s="2">
        <v>4</v>
      </c>
      <c r="AK90" s="2">
        <v>10</v>
      </c>
      <c r="AL90" s="2">
        <v>16</v>
      </c>
      <c r="AM90" s="2">
        <v>11</v>
      </c>
      <c r="AN90" s="3">
        <v>10</v>
      </c>
      <c r="AO90" s="2">
        <v>15</v>
      </c>
      <c r="AP90" s="3">
        <v>15</v>
      </c>
      <c r="AQ90" s="2">
        <v>12</v>
      </c>
      <c r="AR90" s="2">
        <v>15</v>
      </c>
      <c r="AS90" s="2">
        <v>31</v>
      </c>
      <c r="AT90" s="2">
        <v>2</v>
      </c>
      <c r="AU90" s="2">
        <v>2</v>
      </c>
      <c r="AV90" s="2">
        <v>7</v>
      </c>
      <c r="AW90" s="2">
        <v>3</v>
      </c>
      <c r="AX90" s="2">
        <v>6</v>
      </c>
      <c r="AY90" s="2">
        <v>3</v>
      </c>
      <c r="AZ90" s="2">
        <v>7</v>
      </c>
      <c r="BA90" s="2">
        <v>5</v>
      </c>
      <c r="BB90" s="2">
        <v>6</v>
      </c>
      <c r="BC90" s="8"/>
    </row>
    <row r="91" spans="1:55" ht="13.5" customHeight="1" x14ac:dyDescent="0.2">
      <c r="A91" s="7"/>
      <c r="B91" s="2"/>
      <c r="C91" s="2" t="s">
        <v>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>
        <v>7</v>
      </c>
      <c r="X91" s="2">
        <v>7</v>
      </c>
      <c r="Y91" s="2">
        <v>3</v>
      </c>
      <c r="Z91" s="2">
        <v>5</v>
      </c>
      <c r="AA91" s="2">
        <v>6</v>
      </c>
      <c r="AB91" s="2">
        <v>6</v>
      </c>
      <c r="AC91" s="2">
        <v>7</v>
      </c>
      <c r="AD91" s="2">
        <v>9</v>
      </c>
      <c r="AE91" s="2">
        <v>7</v>
      </c>
      <c r="AF91" s="2">
        <v>11</v>
      </c>
      <c r="AG91" s="2">
        <v>3</v>
      </c>
      <c r="AH91" s="2">
        <f>8-AH90</f>
        <v>7</v>
      </c>
      <c r="AI91" s="2">
        <f>14-AI90</f>
        <v>10</v>
      </c>
      <c r="AJ91" s="2">
        <v>14</v>
      </c>
      <c r="AK91" s="2">
        <v>37</v>
      </c>
      <c r="AL91" s="2">
        <v>45</v>
      </c>
      <c r="AM91" s="2">
        <v>46</v>
      </c>
      <c r="AN91" s="3">
        <v>62</v>
      </c>
      <c r="AO91" s="2">
        <v>72</v>
      </c>
      <c r="AP91" s="3">
        <v>64</v>
      </c>
      <c r="AQ91" s="2">
        <v>51</v>
      </c>
      <c r="AR91" s="2">
        <v>49</v>
      </c>
      <c r="AS91" s="2">
        <v>69</v>
      </c>
      <c r="AT91" s="2">
        <v>47</v>
      </c>
      <c r="AU91" s="2">
        <v>83</v>
      </c>
      <c r="AV91" s="2">
        <v>67</v>
      </c>
      <c r="AW91" s="2">
        <v>78</v>
      </c>
      <c r="AX91" s="2">
        <v>80</v>
      </c>
      <c r="AY91" s="2">
        <v>56</v>
      </c>
      <c r="AZ91" s="2">
        <v>84</v>
      </c>
      <c r="BA91" s="2">
        <v>70</v>
      </c>
      <c r="BB91" s="2">
        <v>61</v>
      </c>
      <c r="BC91" s="8"/>
    </row>
    <row r="92" spans="1:55" ht="13.5" customHeight="1" x14ac:dyDescent="0.2">
      <c r="A92" s="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1">
        <f t="shared" ref="W92:AA92" si="58">SUM(W89:W91)</f>
        <v>49</v>
      </c>
      <c r="X92" s="11">
        <f t="shared" si="58"/>
        <v>28</v>
      </c>
      <c r="Y92" s="11">
        <f t="shared" si="58"/>
        <v>43</v>
      </c>
      <c r="Z92" s="11">
        <f t="shared" si="58"/>
        <v>55</v>
      </c>
      <c r="AA92" s="11">
        <f t="shared" si="58"/>
        <v>60</v>
      </c>
      <c r="AB92" s="11">
        <f t="shared" ref="AB92:AD92" si="59">SUM(AB89:AB91)</f>
        <v>58</v>
      </c>
      <c r="AC92" s="11">
        <f t="shared" si="59"/>
        <v>57</v>
      </c>
      <c r="AD92" s="11">
        <f t="shared" si="59"/>
        <v>62</v>
      </c>
      <c r="AE92" s="11">
        <f t="shared" ref="AE92:AF92" si="60">SUM(AE89:AE91)</f>
        <v>85</v>
      </c>
      <c r="AF92" s="11">
        <f t="shared" si="60"/>
        <v>73</v>
      </c>
      <c r="AG92" s="11">
        <f>SUM(AG89:AG91)</f>
        <v>56</v>
      </c>
      <c r="AH92" s="11">
        <f>SUM(AH89:AH91)</f>
        <v>77</v>
      </c>
      <c r="AI92" s="11">
        <f t="shared" ref="AI92:AJ92" si="61">SUM(AI89:AI91)</f>
        <v>99</v>
      </c>
      <c r="AJ92" s="11">
        <f t="shared" si="61"/>
        <v>78</v>
      </c>
      <c r="AK92" s="11">
        <f t="shared" ref="AK92:AV92" si="62">SUM(AK89:AK91)</f>
        <v>117</v>
      </c>
      <c r="AL92" s="11">
        <f t="shared" si="62"/>
        <v>136</v>
      </c>
      <c r="AM92" s="11">
        <f t="shared" si="62"/>
        <v>100</v>
      </c>
      <c r="AN92" s="22">
        <f t="shared" si="62"/>
        <v>139</v>
      </c>
      <c r="AO92" s="11">
        <f t="shared" si="62"/>
        <v>143</v>
      </c>
      <c r="AP92" s="22">
        <f t="shared" si="62"/>
        <v>127</v>
      </c>
      <c r="AQ92" s="11">
        <f t="shared" si="62"/>
        <v>124</v>
      </c>
      <c r="AR92" s="11">
        <f t="shared" si="62"/>
        <v>140</v>
      </c>
      <c r="AS92" s="11">
        <f t="shared" si="62"/>
        <v>174</v>
      </c>
      <c r="AT92" s="11">
        <f t="shared" si="62"/>
        <v>123</v>
      </c>
      <c r="AU92" s="11">
        <f t="shared" si="62"/>
        <v>152</v>
      </c>
      <c r="AV92" s="11">
        <f t="shared" si="62"/>
        <v>149</v>
      </c>
      <c r="AW92" s="11">
        <f t="shared" ref="AW92:BB92" si="63">SUM(AW89:AW91)</f>
        <v>138</v>
      </c>
      <c r="AX92" s="11">
        <f t="shared" si="63"/>
        <v>163</v>
      </c>
      <c r="AY92" s="11">
        <f t="shared" si="63"/>
        <v>127</v>
      </c>
      <c r="AZ92" s="11">
        <f t="shared" si="63"/>
        <v>178</v>
      </c>
      <c r="BA92" s="11">
        <f t="shared" si="63"/>
        <v>155</v>
      </c>
      <c r="BB92" s="11">
        <f t="shared" si="63"/>
        <v>164</v>
      </c>
      <c r="BC92" s="8"/>
    </row>
    <row r="93" spans="1:55" ht="13.5" customHeight="1" x14ac:dyDescent="0.2">
      <c r="A93" s="7"/>
      <c r="B93" s="10" t="s">
        <v>77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3"/>
      <c r="AO93" s="2"/>
      <c r="AP93" s="3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8"/>
    </row>
    <row r="94" spans="1:55" ht="13.5" customHeight="1" x14ac:dyDescent="0.2">
      <c r="A94" s="7"/>
      <c r="B94" s="2"/>
      <c r="C94" s="2" t="s">
        <v>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f>67-W115</f>
        <v>47</v>
      </c>
      <c r="X94" s="2">
        <f>72-X115</f>
        <v>50</v>
      </c>
      <c r="Y94" s="2">
        <f>92-Y115</f>
        <v>74</v>
      </c>
      <c r="Z94" s="2">
        <f>91-Z115</f>
        <v>72</v>
      </c>
      <c r="AA94" s="2">
        <f>101-AA115</f>
        <v>83</v>
      </c>
      <c r="AB94" s="2">
        <f>175-AB115</f>
        <v>150</v>
      </c>
      <c r="AC94" s="2">
        <f>167-AC115</f>
        <v>144</v>
      </c>
      <c r="AD94" s="2">
        <f>174-AD115</f>
        <v>153</v>
      </c>
      <c r="AE94" s="2">
        <f>181-AE115</f>
        <v>153</v>
      </c>
      <c r="AF94" s="2">
        <f>181-AF115</f>
        <v>168</v>
      </c>
      <c r="AG94" s="2">
        <f>195-AG115</f>
        <v>171</v>
      </c>
      <c r="AH94" s="2">
        <f>184-AH115</f>
        <v>164</v>
      </c>
      <c r="AI94" s="2">
        <f>183-AI115</f>
        <v>163</v>
      </c>
      <c r="AJ94" s="2">
        <f>181-AJ115</f>
        <v>161</v>
      </c>
      <c r="AK94" s="2">
        <f>179-AK115</f>
        <v>161</v>
      </c>
      <c r="AL94" s="2">
        <f>201-AL115</f>
        <v>170</v>
      </c>
      <c r="AM94" s="2">
        <v>173</v>
      </c>
      <c r="AN94" s="3">
        <v>204</v>
      </c>
      <c r="AO94" s="2">
        <v>211</v>
      </c>
      <c r="AP94" s="3">
        <v>216</v>
      </c>
      <c r="AQ94" s="2">
        <v>218</v>
      </c>
      <c r="AR94" s="2">
        <v>197</v>
      </c>
      <c r="AS94" s="2">
        <v>190</v>
      </c>
      <c r="AT94" s="2">
        <v>222</v>
      </c>
      <c r="AU94" s="2">
        <v>227</v>
      </c>
      <c r="AV94" s="2">
        <v>189</v>
      </c>
      <c r="AW94" s="2">
        <v>228</v>
      </c>
      <c r="AX94" s="2">
        <v>212</v>
      </c>
      <c r="AY94" s="2">
        <v>247</v>
      </c>
      <c r="AZ94" s="2">
        <v>250</v>
      </c>
      <c r="BA94" s="2">
        <v>188</v>
      </c>
      <c r="BB94" s="2">
        <v>161</v>
      </c>
      <c r="BC94" s="8"/>
    </row>
    <row r="95" spans="1:55" ht="13.5" hidden="1" customHeight="1" x14ac:dyDescent="0.2">
      <c r="A95" s="7"/>
      <c r="B95" s="2"/>
      <c r="C95" s="2" t="s">
        <v>9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19">
        <f>0-AJ116</f>
        <v>0</v>
      </c>
      <c r="AK95" s="19">
        <f>5-AK116</f>
        <v>0</v>
      </c>
      <c r="AL95" s="19">
        <f>8-AL116</f>
        <v>0</v>
      </c>
      <c r="AM95" s="2"/>
      <c r="AN95" s="3"/>
      <c r="AO95" s="2"/>
      <c r="AP95" s="3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8"/>
    </row>
    <row r="96" spans="1:55" ht="13.5" customHeight="1" x14ac:dyDescent="0.2">
      <c r="A96" s="7"/>
      <c r="B96" s="2"/>
      <c r="C96" s="2" t="s">
        <v>5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>
        <f>12-W117</f>
        <v>10</v>
      </c>
      <c r="X96" s="2">
        <f>9-X117</f>
        <v>5</v>
      </c>
      <c r="Y96" s="2">
        <f>19-Y117</f>
        <v>17</v>
      </c>
      <c r="Z96" s="2">
        <f>8-Z117</f>
        <v>4</v>
      </c>
      <c r="AA96" s="2">
        <f>14-AA117</f>
        <v>6</v>
      </c>
      <c r="AB96" s="2">
        <f>28-AB117</f>
        <v>23</v>
      </c>
      <c r="AC96" s="2">
        <f>29-AC117</f>
        <v>22</v>
      </c>
      <c r="AD96" s="2">
        <f>33-AD117</f>
        <v>25</v>
      </c>
      <c r="AE96" s="2">
        <f>41-AE117</f>
        <v>30</v>
      </c>
      <c r="AF96" s="2">
        <f>40-AF117</f>
        <v>29</v>
      </c>
      <c r="AG96" s="2">
        <f>37-AG117</f>
        <v>31</v>
      </c>
      <c r="AH96" s="2">
        <f>51-AH117</f>
        <v>45</v>
      </c>
      <c r="AI96" s="2">
        <f>35-AI117</f>
        <v>32</v>
      </c>
      <c r="AJ96" s="2">
        <f>37-AJ117</f>
        <v>27</v>
      </c>
      <c r="AK96" s="2">
        <f>41-AK117</f>
        <v>24</v>
      </c>
      <c r="AL96" s="2">
        <f>52-AL117</f>
        <v>41</v>
      </c>
      <c r="AM96" s="2">
        <v>24</v>
      </c>
      <c r="AN96" s="3">
        <v>33</v>
      </c>
      <c r="AO96" s="2">
        <v>36</v>
      </c>
      <c r="AP96" s="3">
        <v>33</v>
      </c>
      <c r="AQ96" s="2">
        <v>28</v>
      </c>
      <c r="AR96" s="2">
        <v>39</v>
      </c>
      <c r="AS96" s="2">
        <v>23</v>
      </c>
      <c r="AT96" s="2">
        <v>27</v>
      </c>
      <c r="AU96" s="2">
        <v>31</v>
      </c>
      <c r="AV96" s="2">
        <v>40</v>
      </c>
      <c r="AW96" s="2">
        <v>26</v>
      </c>
      <c r="AX96" s="2">
        <v>25</v>
      </c>
      <c r="AY96" s="2">
        <v>22</v>
      </c>
      <c r="AZ96" s="2">
        <v>31</v>
      </c>
      <c r="BA96" s="2">
        <v>32</v>
      </c>
      <c r="BB96" s="2">
        <v>25</v>
      </c>
      <c r="BC96" s="8"/>
    </row>
    <row r="97" spans="1:55" ht="13.5" customHeight="1" x14ac:dyDescent="0.2">
      <c r="A97" s="7"/>
      <c r="B97" s="2"/>
      <c r="C97" s="2" t="s">
        <v>7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2">
        <v>2</v>
      </c>
      <c r="AD97" s="3">
        <v>0</v>
      </c>
      <c r="AE97" s="2">
        <v>2</v>
      </c>
      <c r="AF97" s="2">
        <v>3</v>
      </c>
      <c r="AG97" s="2">
        <v>3</v>
      </c>
      <c r="AH97" s="2">
        <v>4</v>
      </c>
      <c r="AI97" s="2">
        <v>7</v>
      </c>
      <c r="AJ97" s="2">
        <v>4</v>
      </c>
      <c r="AK97" s="2">
        <v>5</v>
      </c>
      <c r="AL97" s="2">
        <v>4</v>
      </c>
      <c r="AM97" s="2">
        <v>6</v>
      </c>
      <c r="AN97" s="3">
        <v>4</v>
      </c>
      <c r="AO97" s="2">
        <v>6</v>
      </c>
      <c r="AP97" s="3">
        <v>8</v>
      </c>
      <c r="AQ97" s="2">
        <v>7</v>
      </c>
      <c r="AR97" s="2">
        <v>5</v>
      </c>
      <c r="AS97" s="2">
        <v>6</v>
      </c>
      <c r="AT97" s="2">
        <v>7</v>
      </c>
      <c r="AU97" s="2">
        <v>8</v>
      </c>
      <c r="AV97" s="2">
        <v>8</v>
      </c>
      <c r="AW97" s="2">
        <v>5</v>
      </c>
      <c r="AX97" s="2">
        <v>6</v>
      </c>
      <c r="AY97" s="2">
        <v>9</v>
      </c>
      <c r="AZ97" s="2">
        <v>9</v>
      </c>
      <c r="BA97" s="2">
        <v>7</v>
      </c>
      <c r="BB97" s="2">
        <v>8</v>
      </c>
      <c r="BC97" s="8"/>
    </row>
    <row r="98" spans="1:55" ht="13.5" customHeight="1" x14ac:dyDescent="0.2">
      <c r="A98" s="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11">
        <f>SUM(W94:W97)</f>
        <v>57</v>
      </c>
      <c r="X98" s="11">
        <f t="shared" ref="X98:AA98" si="64">SUM(X94:X97)</f>
        <v>55</v>
      </c>
      <c r="Y98" s="11">
        <f t="shared" si="64"/>
        <v>91</v>
      </c>
      <c r="Z98" s="11">
        <f t="shared" si="64"/>
        <v>76</v>
      </c>
      <c r="AA98" s="11">
        <f t="shared" si="64"/>
        <v>89</v>
      </c>
      <c r="AB98" s="11">
        <f t="shared" ref="AB98:AD98" si="65">SUM(AB94:AB97)</f>
        <v>173</v>
      </c>
      <c r="AC98" s="11">
        <f t="shared" si="65"/>
        <v>168</v>
      </c>
      <c r="AD98" s="11">
        <f t="shared" si="65"/>
        <v>178</v>
      </c>
      <c r="AE98" s="11">
        <f t="shared" ref="AE98:AG98" si="66">SUM(AE94:AE97)</f>
        <v>185</v>
      </c>
      <c r="AF98" s="11">
        <f t="shared" si="66"/>
        <v>200</v>
      </c>
      <c r="AG98" s="11">
        <f t="shared" si="66"/>
        <v>205</v>
      </c>
      <c r="AH98" s="11">
        <f>SUM(AH94:AH97)</f>
        <v>213</v>
      </c>
      <c r="AI98" s="11">
        <f t="shared" ref="AI98:AJ98" si="67">SUM(AI94:AI97)</f>
        <v>202</v>
      </c>
      <c r="AJ98" s="11">
        <f t="shared" si="67"/>
        <v>192</v>
      </c>
      <c r="AK98" s="11">
        <f t="shared" ref="AK98:AV98" si="68">SUM(AK94:AK97)</f>
        <v>190</v>
      </c>
      <c r="AL98" s="11">
        <f t="shared" si="68"/>
        <v>215</v>
      </c>
      <c r="AM98" s="11">
        <f t="shared" si="68"/>
        <v>203</v>
      </c>
      <c r="AN98" s="22">
        <f t="shared" si="68"/>
        <v>241</v>
      </c>
      <c r="AO98" s="11">
        <f t="shared" si="68"/>
        <v>253</v>
      </c>
      <c r="AP98" s="22">
        <f t="shared" si="68"/>
        <v>257</v>
      </c>
      <c r="AQ98" s="11">
        <f t="shared" si="68"/>
        <v>253</v>
      </c>
      <c r="AR98" s="11">
        <f t="shared" si="68"/>
        <v>241</v>
      </c>
      <c r="AS98" s="11">
        <f t="shared" si="68"/>
        <v>219</v>
      </c>
      <c r="AT98" s="11">
        <f t="shared" si="68"/>
        <v>256</v>
      </c>
      <c r="AU98" s="11">
        <f t="shared" si="68"/>
        <v>266</v>
      </c>
      <c r="AV98" s="11">
        <f t="shared" si="68"/>
        <v>237</v>
      </c>
      <c r="AW98" s="11">
        <f t="shared" ref="AW98:BB98" si="69">SUM(AW94:AW97)</f>
        <v>259</v>
      </c>
      <c r="AX98" s="11">
        <f t="shared" si="69"/>
        <v>243</v>
      </c>
      <c r="AY98" s="11">
        <f t="shared" si="69"/>
        <v>278</v>
      </c>
      <c r="AZ98" s="11">
        <f t="shared" si="69"/>
        <v>290</v>
      </c>
      <c r="BA98" s="11">
        <f t="shared" si="69"/>
        <v>227</v>
      </c>
      <c r="BB98" s="11">
        <f t="shared" si="69"/>
        <v>194</v>
      </c>
      <c r="BC98" s="8"/>
    </row>
    <row r="99" spans="1:55" ht="13.5" customHeight="1" x14ac:dyDescent="0.2">
      <c r="A99" s="7"/>
      <c r="B99" s="10" t="s">
        <v>76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3"/>
      <c r="AO99" s="2"/>
      <c r="AP99" s="3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8"/>
    </row>
    <row r="100" spans="1:55" ht="13.5" customHeight="1" x14ac:dyDescent="0.2">
      <c r="A100" s="7"/>
      <c r="B100" s="2"/>
      <c r="C100" s="2" t="s">
        <v>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11</v>
      </c>
      <c r="X100" s="2">
        <v>9</v>
      </c>
      <c r="Y100" s="2">
        <v>7</v>
      </c>
      <c r="Z100" s="2">
        <v>15</v>
      </c>
      <c r="AA100" s="2">
        <v>8</v>
      </c>
      <c r="AB100" s="2">
        <v>6</v>
      </c>
      <c r="AC100" s="2">
        <v>16</v>
      </c>
      <c r="AD100" s="2">
        <v>8</v>
      </c>
      <c r="AE100" s="2">
        <v>8</v>
      </c>
      <c r="AF100" s="2">
        <v>10</v>
      </c>
      <c r="AG100" s="2">
        <v>7</v>
      </c>
      <c r="AH100" s="2">
        <v>15</v>
      </c>
      <c r="AI100" s="2">
        <v>22</v>
      </c>
      <c r="AJ100" s="2">
        <v>34</v>
      </c>
      <c r="AK100" s="2">
        <v>46</v>
      </c>
      <c r="AL100" s="2">
        <v>57</v>
      </c>
      <c r="AM100" s="2">
        <v>60</v>
      </c>
      <c r="AN100" s="3">
        <v>51</v>
      </c>
      <c r="AO100" s="2">
        <v>68</v>
      </c>
      <c r="AP100" s="3">
        <v>72</v>
      </c>
      <c r="AQ100" s="2">
        <v>66</v>
      </c>
      <c r="AR100" s="2">
        <v>74</v>
      </c>
      <c r="AS100" s="2">
        <v>64</v>
      </c>
      <c r="AT100" s="2">
        <v>80</v>
      </c>
      <c r="AU100" s="2">
        <v>87</v>
      </c>
      <c r="AV100" s="2">
        <v>84</v>
      </c>
      <c r="AW100" s="2">
        <v>83</v>
      </c>
      <c r="AX100" s="2">
        <v>72</v>
      </c>
      <c r="AY100" s="2">
        <v>91</v>
      </c>
      <c r="AZ100" s="2">
        <v>89</v>
      </c>
      <c r="BA100" s="2">
        <v>62</v>
      </c>
      <c r="BB100" s="2">
        <v>53</v>
      </c>
      <c r="BC100" s="8"/>
    </row>
    <row r="101" spans="1:55" ht="13.5" customHeight="1" x14ac:dyDescent="0.2">
      <c r="A101" s="7"/>
      <c r="B101" s="10" t="s">
        <v>75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3"/>
      <c r="AO101" s="2"/>
      <c r="AP101" s="3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8"/>
    </row>
    <row r="102" spans="1:55" ht="13.5" customHeight="1" x14ac:dyDescent="0.2">
      <c r="A102" s="7"/>
      <c r="B102" s="2"/>
      <c r="C102" s="2" t="s"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>
        <v>49</v>
      </c>
      <c r="X102" s="2">
        <v>65</v>
      </c>
      <c r="Y102" s="2">
        <v>62</v>
      </c>
      <c r="Z102" s="2">
        <v>71</v>
      </c>
      <c r="AA102" s="2">
        <v>75</v>
      </c>
      <c r="AB102" s="2">
        <v>85</v>
      </c>
      <c r="AC102" s="2">
        <v>39</v>
      </c>
      <c r="AD102" s="2">
        <v>41</v>
      </c>
      <c r="AE102" s="2">
        <v>120</v>
      </c>
      <c r="AF102" s="2">
        <v>140</v>
      </c>
      <c r="AG102" s="2">
        <v>148</v>
      </c>
      <c r="AH102" s="2">
        <v>144</v>
      </c>
      <c r="AI102" s="2">
        <v>143</v>
      </c>
      <c r="AJ102" s="2">
        <v>117</v>
      </c>
      <c r="AK102" s="2">
        <v>94</v>
      </c>
      <c r="AL102" s="2">
        <v>110</v>
      </c>
      <c r="AM102" s="2">
        <v>115</v>
      </c>
      <c r="AN102" s="3">
        <v>123</v>
      </c>
      <c r="AO102" s="2">
        <v>152</v>
      </c>
      <c r="AP102" s="3">
        <v>160</v>
      </c>
      <c r="AQ102" s="2">
        <v>163</v>
      </c>
      <c r="AR102" s="2">
        <v>186</v>
      </c>
      <c r="AS102" s="2">
        <v>181</v>
      </c>
      <c r="AT102" s="2">
        <v>200</v>
      </c>
      <c r="AU102" s="2">
        <v>201</v>
      </c>
      <c r="AV102" s="2">
        <v>206</v>
      </c>
      <c r="AW102" s="2">
        <v>224</v>
      </c>
      <c r="AX102" s="2">
        <v>246</v>
      </c>
      <c r="AY102" s="2">
        <v>284</v>
      </c>
      <c r="AZ102" s="2">
        <v>253</v>
      </c>
      <c r="BA102" s="2">
        <v>250</v>
      </c>
      <c r="BB102" s="2">
        <v>237</v>
      </c>
      <c r="BC102" s="8"/>
    </row>
    <row r="103" spans="1:55" ht="13.5" customHeight="1" x14ac:dyDescent="0.2">
      <c r="A103" s="7"/>
      <c r="B103" s="2"/>
      <c r="C103" s="2" t="s">
        <v>9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3"/>
      <c r="AN103" s="3">
        <v>0</v>
      </c>
      <c r="AO103" s="2">
        <v>0</v>
      </c>
      <c r="AP103" s="3">
        <v>0</v>
      </c>
      <c r="AQ103" s="2">
        <v>0</v>
      </c>
      <c r="AR103" s="2">
        <v>5</v>
      </c>
      <c r="AS103" s="2">
        <v>1</v>
      </c>
      <c r="AT103" s="2">
        <v>1</v>
      </c>
      <c r="AU103" s="2">
        <v>4</v>
      </c>
      <c r="AV103" s="2">
        <v>2</v>
      </c>
      <c r="AW103" s="2">
        <v>2</v>
      </c>
      <c r="AX103" s="2">
        <v>4</v>
      </c>
      <c r="AY103" s="2">
        <v>2</v>
      </c>
      <c r="AZ103" s="2">
        <v>1</v>
      </c>
      <c r="BA103" s="2">
        <v>2</v>
      </c>
      <c r="BB103" s="2">
        <v>10</v>
      </c>
      <c r="BC103" s="8"/>
    </row>
    <row r="104" spans="1:55" ht="13.5" customHeight="1" x14ac:dyDescent="0.2">
      <c r="A104" s="7"/>
      <c r="B104" s="2"/>
      <c r="C104" s="2" t="s">
        <v>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3"/>
      <c r="AB104" s="2">
        <v>0</v>
      </c>
      <c r="AC104" s="2">
        <v>0</v>
      </c>
      <c r="AD104" s="2">
        <v>11</v>
      </c>
      <c r="AE104" s="2">
        <v>19</v>
      </c>
      <c r="AF104" s="2">
        <v>42</v>
      </c>
      <c r="AG104" s="2">
        <v>107</v>
      </c>
      <c r="AH104" s="2">
        <v>46</v>
      </c>
      <c r="AI104" s="2">
        <v>94</v>
      </c>
      <c r="AJ104" s="2">
        <v>66</v>
      </c>
      <c r="AK104" s="2">
        <v>30</v>
      </c>
      <c r="AL104" s="2">
        <v>88</v>
      </c>
      <c r="AM104" s="2">
        <v>36</v>
      </c>
      <c r="AN104" s="3">
        <v>65</v>
      </c>
      <c r="AO104" s="2">
        <v>60</v>
      </c>
      <c r="AP104" s="3">
        <v>46</v>
      </c>
      <c r="AQ104" s="2">
        <v>48</v>
      </c>
      <c r="AR104" s="2">
        <v>51</v>
      </c>
      <c r="AS104" s="2">
        <v>43</v>
      </c>
      <c r="AT104" s="2">
        <v>41</v>
      </c>
      <c r="AU104" s="2">
        <v>72</v>
      </c>
      <c r="AV104" s="2">
        <v>63</v>
      </c>
      <c r="AW104" s="2">
        <v>79</v>
      </c>
      <c r="AX104" s="2">
        <v>52</v>
      </c>
      <c r="AY104" s="2">
        <v>55</v>
      </c>
      <c r="AZ104" s="2">
        <v>53</v>
      </c>
      <c r="BA104" s="2">
        <v>67</v>
      </c>
      <c r="BB104" s="2">
        <v>89</v>
      </c>
      <c r="BC104" s="8"/>
    </row>
    <row r="105" spans="1:55" ht="13.5" customHeight="1" x14ac:dyDescent="0.2">
      <c r="A105" s="7"/>
      <c r="B105" s="2"/>
      <c r="C105" s="2" t="s">
        <v>7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1</v>
      </c>
      <c r="AG105" s="3">
        <v>0</v>
      </c>
      <c r="AH105" s="3">
        <v>0</v>
      </c>
      <c r="AI105" s="2">
        <v>2</v>
      </c>
      <c r="AJ105" s="2">
        <v>4</v>
      </c>
      <c r="AK105" s="2">
        <v>4</v>
      </c>
      <c r="AL105" s="2">
        <v>6</v>
      </c>
      <c r="AM105" s="2">
        <v>5</v>
      </c>
      <c r="AN105" s="3">
        <v>2</v>
      </c>
      <c r="AO105" s="2">
        <v>3</v>
      </c>
      <c r="AP105" s="3">
        <v>4</v>
      </c>
      <c r="AQ105" s="2">
        <v>3</v>
      </c>
      <c r="AR105" s="2">
        <v>10</v>
      </c>
      <c r="AS105" s="2">
        <v>2</v>
      </c>
      <c r="AT105" s="2">
        <v>2</v>
      </c>
      <c r="AU105" s="2">
        <v>4</v>
      </c>
      <c r="AV105" s="2">
        <v>6</v>
      </c>
      <c r="AW105" s="2">
        <v>7</v>
      </c>
      <c r="AX105" s="2">
        <v>7</v>
      </c>
      <c r="AY105" s="2">
        <v>9</v>
      </c>
      <c r="AZ105" s="2">
        <v>5</v>
      </c>
      <c r="BA105" s="2">
        <v>8</v>
      </c>
      <c r="BB105" s="2">
        <v>5</v>
      </c>
      <c r="BC105" s="8"/>
    </row>
    <row r="106" spans="1:55" ht="13.5" customHeight="1" x14ac:dyDescent="0.2">
      <c r="A106" s="7"/>
      <c r="B106" s="2"/>
      <c r="C106" s="2" t="s">
        <v>32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>
        <v>28</v>
      </c>
      <c r="X106" s="2">
        <v>30</v>
      </c>
      <c r="Y106" s="2">
        <v>42</v>
      </c>
      <c r="Z106" s="2">
        <v>41</v>
      </c>
      <c r="AA106" s="2">
        <v>37</v>
      </c>
      <c r="AB106" s="2">
        <v>39</v>
      </c>
      <c r="AC106" s="2">
        <v>40</v>
      </c>
      <c r="AD106" s="2">
        <v>39</v>
      </c>
      <c r="AE106" s="2">
        <v>35</v>
      </c>
      <c r="AF106" s="2">
        <v>41</v>
      </c>
      <c r="AG106" s="2">
        <v>37</v>
      </c>
      <c r="AH106" s="2">
        <v>38</v>
      </c>
      <c r="AI106" s="2">
        <v>43</v>
      </c>
      <c r="AJ106" s="2">
        <v>44</v>
      </c>
      <c r="AK106" s="2">
        <v>45</v>
      </c>
      <c r="AL106" s="2">
        <v>42</v>
      </c>
      <c r="AM106" s="2">
        <v>39</v>
      </c>
      <c r="AN106" s="3">
        <v>35</v>
      </c>
      <c r="AO106" s="2">
        <v>46</v>
      </c>
      <c r="AP106" s="3">
        <v>34</v>
      </c>
      <c r="AQ106" s="2">
        <v>44</v>
      </c>
      <c r="AR106" s="2">
        <v>38</v>
      </c>
      <c r="AS106" s="2">
        <v>44</v>
      </c>
      <c r="AT106" s="2">
        <v>41</v>
      </c>
      <c r="AU106" s="2">
        <v>44</v>
      </c>
      <c r="AV106" s="2">
        <v>47</v>
      </c>
      <c r="AW106" s="2">
        <v>40</v>
      </c>
      <c r="AX106" s="2">
        <v>39</v>
      </c>
      <c r="AY106" s="2">
        <v>41</v>
      </c>
      <c r="AZ106" s="2">
        <v>45</v>
      </c>
      <c r="BA106" s="2">
        <v>43</v>
      </c>
      <c r="BB106" s="2">
        <v>39</v>
      </c>
      <c r="BC106" s="8"/>
    </row>
    <row r="107" spans="1:55" ht="13.5" customHeight="1" x14ac:dyDescent="0.2">
      <c r="A107" s="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1">
        <f t="shared" ref="W107:AA107" si="70">SUM(W102:W106)</f>
        <v>77</v>
      </c>
      <c r="X107" s="11">
        <f t="shared" si="70"/>
        <v>95</v>
      </c>
      <c r="Y107" s="11">
        <f t="shared" si="70"/>
        <v>104</v>
      </c>
      <c r="Z107" s="11">
        <f t="shared" si="70"/>
        <v>112</v>
      </c>
      <c r="AA107" s="11">
        <f t="shared" si="70"/>
        <v>112</v>
      </c>
      <c r="AB107" s="11">
        <f t="shared" ref="AB107:AD107" si="71">SUM(AB102:AB106)</f>
        <v>124</v>
      </c>
      <c r="AC107" s="11">
        <f t="shared" si="71"/>
        <v>79</v>
      </c>
      <c r="AD107" s="11">
        <f t="shared" si="71"/>
        <v>91</v>
      </c>
      <c r="AE107" s="11">
        <f>SUM(AE102:AE106)</f>
        <v>174</v>
      </c>
      <c r="AF107" s="11">
        <f t="shared" ref="AF107:AG107" si="72">SUM(AF102:AF106)</f>
        <v>224</v>
      </c>
      <c r="AG107" s="11">
        <f t="shared" si="72"/>
        <v>292</v>
      </c>
      <c r="AH107" s="11">
        <f>SUM(AH102:AH106)</f>
        <v>228</v>
      </c>
      <c r="AI107" s="11">
        <f t="shared" ref="AI107:AJ107" si="73">SUM(AI102:AI106)</f>
        <v>282</v>
      </c>
      <c r="AJ107" s="11">
        <f t="shared" si="73"/>
        <v>231</v>
      </c>
      <c r="AK107" s="11">
        <f>SUM(AK102:AK106)</f>
        <v>173</v>
      </c>
      <c r="AL107" s="11">
        <f t="shared" ref="AL107:AV107" si="74">SUM(AL102:AL106)</f>
        <v>246</v>
      </c>
      <c r="AM107" s="11">
        <f t="shared" si="74"/>
        <v>195</v>
      </c>
      <c r="AN107" s="22">
        <f t="shared" si="74"/>
        <v>225</v>
      </c>
      <c r="AO107" s="11">
        <f t="shared" si="74"/>
        <v>261</v>
      </c>
      <c r="AP107" s="22">
        <f t="shared" si="74"/>
        <v>244</v>
      </c>
      <c r="AQ107" s="11">
        <f t="shared" si="74"/>
        <v>258</v>
      </c>
      <c r="AR107" s="11">
        <f t="shared" si="74"/>
        <v>290</v>
      </c>
      <c r="AS107" s="11">
        <f t="shared" si="74"/>
        <v>271</v>
      </c>
      <c r="AT107" s="11">
        <f t="shared" si="74"/>
        <v>285</v>
      </c>
      <c r="AU107" s="11">
        <f t="shared" si="74"/>
        <v>325</v>
      </c>
      <c r="AV107" s="11">
        <f t="shared" si="74"/>
        <v>324</v>
      </c>
      <c r="AW107" s="11">
        <f t="shared" ref="AW107:BB107" si="75">SUM(AW102:AW106)</f>
        <v>352</v>
      </c>
      <c r="AX107" s="11">
        <f t="shared" si="75"/>
        <v>348</v>
      </c>
      <c r="AY107" s="11">
        <f t="shared" si="75"/>
        <v>391</v>
      </c>
      <c r="AZ107" s="11">
        <f t="shared" si="75"/>
        <v>357</v>
      </c>
      <c r="BA107" s="11">
        <f t="shared" si="75"/>
        <v>370</v>
      </c>
      <c r="BB107" s="11">
        <f t="shared" si="75"/>
        <v>380</v>
      </c>
      <c r="BC107" s="8"/>
    </row>
    <row r="108" spans="1:55" ht="13.5" customHeight="1" x14ac:dyDescent="0.2">
      <c r="A108" s="7"/>
      <c r="B108" s="10" t="s">
        <v>74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"/>
      <c r="AO108" s="2"/>
      <c r="AP108" s="3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8"/>
    </row>
    <row r="109" spans="1:55" ht="13.5" customHeight="1" x14ac:dyDescent="0.2">
      <c r="A109" s="7"/>
      <c r="B109" s="2"/>
      <c r="C109" s="2" t="s">
        <v>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>
        <v>624</v>
      </c>
      <c r="X109" s="2">
        <v>644</v>
      </c>
      <c r="Y109" s="2">
        <v>711</v>
      </c>
      <c r="Z109" s="2">
        <v>750</v>
      </c>
      <c r="AA109" s="2">
        <v>673</v>
      </c>
      <c r="AB109" s="2">
        <v>664</v>
      </c>
      <c r="AC109" s="2">
        <v>638</v>
      </c>
      <c r="AD109" s="2">
        <v>618</v>
      </c>
      <c r="AE109" s="2">
        <v>499</v>
      </c>
      <c r="AF109" s="2">
        <v>445</v>
      </c>
      <c r="AG109" s="2">
        <v>418</v>
      </c>
      <c r="AH109" s="2">
        <v>403</v>
      </c>
      <c r="AI109" s="2">
        <v>450</v>
      </c>
      <c r="AJ109" s="2">
        <v>470</v>
      </c>
      <c r="AK109" s="2">
        <v>499</v>
      </c>
      <c r="AL109" s="2">
        <v>547</v>
      </c>
      <c r="AM109" s="2">
        <v>566</v>
      </c>
      <c r="AN109" s="3">
        <v>612</v>
      </c>
      <c r="AO109" s="2">
        <v>532</v>
      </c>
      <c r="AP109" s="3">
        <v>542</v>
      </c>
      <c r="AQ109" s="2">
        <v>579</v>
      </c>
      <c r="AR109" s="2">
        <v>598</v>
      </c>
      <c r="AS109" s="2">
        <v>573</v>
      </c>
      <c r="AT109" s="2">
        <v>545</v>
      </c>
      <c r="AU109" s="2">
        <v>579</v>
      </c>
      <c r="AV109" s="2">
        <v>505</v>
      </c>
      <c r="AW109" s="2">
        <f>323+76+41</f>
        <v>440</v>
      </c>
      <c r="AX109" s="2">
        <v>507</v>
      </c>
      <c r="AY109" s="2">
        <v>516</v>
      </c>
      <c r="AZ109" s="2">
        <v>524</v>
      </c>
      <c r="BA109" s="2">
        <v>523</v>
      </c>
      <c r="BB109" s="2">
        <v>534</v>
      </c>
      <c r="BC109" s="8"/>
    </row>
    <row r="110" spans="1:55" ht="13.5" customHeight="1" x14ac:dyDescent="0.2">
      <c r="A110" s="7"/>
      <c r="B110" s="2"/>
      <c r="C110" s="2" t="s">
        <v>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>
        <v>0</v>
      </c>
      <c r="AF110" s="2">
        <v>0</v>
      </c>
      <c r="AG110" s="3">
        <v>4</v>
      </c>
      <c r="AH110" s="3">
        <v>2</v>
      </c>
      <c r="AI110" s="3">
        <v>3</v>
      </c>
      <c r="AJ110" s="2">
        <v>17</v>
      </c>
      <c r="AK110" s="2">
        <v>23</v>
      </c>
      <c r="AL110" s="2">
        <v>30</v>
      </c>
      <c r="AM110" s="2">
        <v>46</v>
      </c>
      <c r="AN110" s="3">
        <v>17</v>
      </c>
      <c r="AO110" s="2">
        <v>21</v>
      </c>
      <c r="AP110" s="3">
        <v>16</v>
      </c>
      <c r="AQ110" s="2">
        <v>16</v>
      </c>
      <c r="AR110" s="2">
        <v>18</v>
      </c>
      <c r="AS110" s="2">
        <v>12</v>
      </c>
      <c r="AT110" s="2">
        <v>36</v>
      </c>
      <c r="AU110" s="2">
        <v>34</v>
      </c>
      <c r="AV110" s="2">
        <v>34</v>
      </c>
      <c r="AW110" s="2">
        <v>31</v>
      </c>
      <c r="AX110" s="2">
        <v>31</v>
      </c>
      <c r="AY110" s="2">
        <v>34</v>
      </c>
      <c r="AZ110" s="2">
        <v>44</v>
      </c>
      <c r="BA110" s="2">
        <v>51</v>
      </c>
      <c r="BB110" s="2">
        <v>47</v>
      </c>
      <c r="BC110" s="8"/>
    </row>
    <row r="111" spans="1:55" ht="13.5" customHeight="1" x14ac:dyDescent="0.2">
      <c r="A111" s="7"/>
      <c r="B111" s="2"/>
      <c r="C111" s="2" t="s">
        <v>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>
        <v>80</v>
      </c>
      <c r="X111" s="2">
        <v>83</v>
      </c>
      <c r="Y111" s="2">
        <v>107</v>
      </c>
      <c r="Z111" s="2">
        <v>93</v>
      </c>
      <c r="AA111" s="2">
        <v>102</v>
      </c>
      <c r="AB111" s="2">
        <v>97</v>
      </c>
      <c r="AC111" s="2">
        <v>111</v>
      </c>
      <c r="AD111" s="2">
        <v>111</v>
      </c>
      <c r="AE111" s="2">
        <v>106</v>
      </c>
      <c r="AF111" s="2">
        <v>89</v>
      </c>
      <c r="AG111" s="2">
        <f>92-AG110</f>
        <v>88</v>
      </c>
      <c r="AH111" s="2">
        <f>70-AH110</f>
        <v>68</v>
      </c>
      <c r="AI111" s="2">
        <f>96-AI110</f>
        <v>93</v>
      </c>
      <c r="AJ111" s="2">
        <v>91</v>
      </c>
      <c r="AK111" s="2">
        <v>100</v>
      </c>
      <c r="AL111" s="2">
        <v>127</v>
      </c>
      <c r="AM111" s="2">
        <v>135</v>
      </c>
      <c r="AN111" s="3">
        <v>117</v>
      </c>
      <c r="AO111" s="2">
        <v>145</v>
      </c>
      <c r="AP111" s="3">
        <v>133</v>
      </c>
      <c r="AQ111" s="2">
        <v>163</v>
      </c>
      <c r="AR111" s="2">
        <v>163</v>
      </c>
      <c r="AS111" s="2">
        <v>210</v>
      </c>
      <c r="AT111" s="2">
        <v>162</v>
      </c>
      <c r="AU111" s="2">
        <v>171</v>
      </c>
      <c r="AV111" s="2">
        <v>204</v>
      </c>
      <c r="AW111" s="2">
        <v>189</v>
      </c>
      <c r="AX111" s="2">
        <v>185</v>
      </c>
      <c r="AY111" s="2">
        <v>169</v>
      </c>
      <c r="AZ111" s="2">
        <v>174</v>
      </c>
      <c r="BA111" s="2">
        <v>226</v>
      </c>
      <c r="BB111" s="2">
        <v>206</v>
      </c>
      <c r="BC111" s="8"/>
    </row>
    <row r="112" spans="1:55" ht="13.5" customHeight="1" x14ac:dyDescent="0.2">
      <c r="A112" s="7"/>
      <c r="B112" s="2"/>
      <c r="C112" s="2" t="s">
        <v>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2">
        <v>0</v>
      </c>
      <c r="AM112" s="2">
        <v>0</v>
      </c>
      <c r="AN112" s="3">
        <v>0</v>
      </c>
      <c r="AO112" s="2">
        <v>0</v>
      </c>
      <c r="AP112" s="3">
        <v>0</v>
      </c>
      <c r="AQ112" s="2">
        <v>1</v>
      </c>
      <c r="AR112" s="2">
        <v>1</v>
      </c>
      <c r="AS112" s="2">
        <v>0</v>
      </c>
      <c r="AT112" s="2">
        <v>2</v>
      </c>
      <c r="AU112" s="2">
        <v>1</v>
      </c>
      <c r="AV112" s="2">
        <v>2</v>
      </c>
      <c r="AW112" s="2">
        <v>0</v>
      </c>
      <c r="AX112" s="2">
        <v>0</v>
      </c>
      <c r="AY112" s="2">
        <v>8</v>
      </c>
      <c r="AZ112" s="2">
        <v>3</v>
      </c>
      <c r="BA112" s="2">
        <v>1</v>
      </c>
      <c r="BB112" s="2">
        <v>1</v>
      </c>
      <c r="BC112" s="8"/>
    </row>
    <row r="113" spans="1:55" ht="13.5" customHeight="1" x14ac:dyDescent="0.2">
      <c r="A113" s="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11">
        <f>SUM(W109:W111)</f>
        <v>704</v>
      </c>
      <c r="X113" s="11">
        <f t="shared" ref="X113:AA113" si="76">SUM(X109:X111)</f>
        <v>727</v>
      </c>
      <c r="Y113" s="11">
        <f t="shared" si="76"/>
        <v>818</v>
      </c>
      <c r="Z113" s="11">
        <f t="shared" si="76"/>
        <v>843</v>
      </c>
      <c r="AA113" s="11">
        <f t="shared" si="76"/>
        <v>775</v>
      </c>
      <c r="AB113" s="11">
        <f>SUM(AB109:AB111)</f>
        <v>761</v>
      </c>
      <c r="AC113" s="11">
        <f t="shared" ref="AC113:AD113" si="77">SUM(AC109:AC111)</f>
        <v>749</v>
      </c>
      <c r="AD113" s="11">
        <f t="shared" si="77"/>
        <v>729</v>
      </c>
      <c r="AE113" s="11">
        <f t="shared" ref="AE113:AG113" si="78">SUM(AE109:AE111)</f>
        <v>605</v>
      </c>
      <c r="AF113" s="11">
        <f t="shared" si="78"/>
        <v>534</v>
      </c>
      <c r="AG113" s="11">
        <f t="shared" si="78"/>
        <v>510</v>
      </c>
      <c r="AH113" s="11">
        <f t="shared" ref="AH113:AJ113" si="79">SUM(AH109:AH111)</f>
        <v>473</v>
      </c>
      <c r="AI113" s="11">
        <f t="shared" si="79"/>
        <v>546</v>
      </c>
      <c r="AJ113" s="11">
        <f t="shared" si="79"/>
        <v>578</v>
      </c>
      <c r="AK113" s="11">
        <f>SUM(AK109:AK111)</f>
        <v>622</v>
      </c>
      <c r="AL113" s="11">
        <f t="shared" ref="AL113:AV113" si="80">SUM(AL109:AL112)</f>
        <v>704</v>
      </c>
      <c r="AM113" s="11">
        <f t="shared" si="80"/>
        <v>747</v>
      </c>
      <c r="AN113" s="22">
        <f t="shared" si="80"/>
        <v>746</v>
      </c>
      <c r="AO113" s="11">
        <f t="shared" si="80"/>
        <v>698</v>
      </c>
      <c r="AP113" s="22">
        <f t="shared" si="80"/>
        <v>691</v>
      </c>
      <c r="AQ113" s="11">
        <f t="shared" si="80"/>
        <v>759</v>
      </c>
      <c r="AR113" s="11">
        <f t="shared" si="80"/>
        <v>780</v>
      </c>
      <c r="AS113" s="11">
        <f t="shared" si="80"/>
        <v>795</v>
      </c>
      <c r="AT113" s="11">
        <f t="shared" si="80"/>
        <v>745</v>
      </c>
      <c r="AU113" s="11">
        <f t="shared" si="80"/>
        <v>785</v>
      </c>
      <c r="AV113" s="11">
        <f t="shared" si="80"/>
        <v>745</v>
      </c>
      <c r="AW113" s="11">
        <f t="shared" ref="AW113:BB113" si="81">SUM(AW109:AW112)</f>
        <v>660</v>
      </c>
      <c r="AX113" s="11">
        <f t="shared" si="81"/>
        <v>723</v>
      </c>
      <c r="AY113" s="11">
        <f t="shared" si="81"/>
        <v>727</v>
      </c>
      <c r="AZ113" s="11">
        <f t="shared" si="81"/>
        <v>745</v>
      </c>
      <c r="BA113" s="11">
        <f t="shared" si="81"/>
        <v>801</v>
      </c>
      <c r="BB113" s="11">
        <f t="shared" si="81"/>
        <v>788</v>
      </c>
      <c r="BC113" s="8"/>
    </row>
    <row r="114" spans="1:55" ht="13.5" customHeight="1" x14ac:dyDescent="0.2">
      <c r="A114" s="7"/>
      <c r="B114" s="10" t="s">
        <v>73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3"/>
      <c r="AO114" s="2"/>
      <c r="AP114" s="3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8"/>
    </row>
    <row r="115" spans="1:55" ht="13.5" customHeight="1" x14ac:dyDescent="0.2">
      <c r="A115" s="7"/>
      <c r="B115" s="2"/>
      <c r="C115" s="2" t="s">
        <v>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>
        <v>20</v>
      </c>
      <c r="X115" s="2">
        <v>22</v>
      </c>
      <c r="Y115" s="2">
        <v>18</v>
      </c>
      <c r="Z115" s="2">
        <v>19</v>
      </c>
      <c r="AA115" s="2">
        <v>18</v>
      </c>
      <c r="AB115" s="2">
        <v>25</v>
      </c>
      <c r="AC115" s="2">
        <v>23</v>
      </c>
      <c r="AD115" s="2">
        <v>21</v>
      </c>
      <c r="AE115" s="2">
        <v>28</v>
      </c>
      <c r="AF115" s="2">
        <v>13</v>
      </c>
      <c r="AG115" s="2">
        <v>24</v>
      </c>
      <c r="AH115" s="2">
        <v>20</v>
      </c>
      <c r="AI115" s="2">
        <v>20</v>
      </c>
      <c r="AJ115" s="2">
        <v>20</v>
      </c>
      <c r="AK115" s="2">
        <v>18</v>
      </c>
      <c r="AL115" s="2">
        <v>31</v>
      </c>
      <c r="AM115" s="2">
        <v>21</v>
      </c>
      <c r="AN115" s="3">
        <v>22</v>
      </c>
      <c r="AO115" s="2">
        <v>26</v>
      </c>
      <c r="AP115" s="3">
        <v>33</v>
      </c>
      <c r="AQ115" s="2">
        <v>30</v>
      </c>
      <c r="AR115" s="2">
        <v>28</v>
      </c>
      <c r="AS115" s="2">
        <v>26</v>
      </c>
      <c r="AT115" s="2">
        <v>31</v>
      </c>
      <c r="AU115" s="2">
        <v>22</v>
      </c>
      <c r="AV115" s="2">
        <v>33</v>
      </c>
      <c r="AW115" s="2">
        <v>20</v>
      </c>
      <c r="AX115" s="2">
        <v>33</v>
      </c>
      <c r="AY115" s="2">
        <v>34</v>
      </c>
      <c r="AZ115" s="2">
        <v>27</v>
      </c>
      <c r="BA115" s="2">
        <v>28</v>
      </c>
      <c r="BB115" s="2">
        <v>24</v>
      </c>
      <c r="BC115" s="8"/>
    </row>
    <row r="116" spans="1:55" ht="13.5" customHeight="1" x14ac:dyDescent="0.2">
      <c r="A116" s="7"/>
      <c r="B116" s="2"/>
      <c r="C116" s="2" t="s">
        <v>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>
        <v>0</v>
      </c>
      <c r="AK116" s="2">
        <v>5</v>
      </c>
      <c r="AL116" s="2">
        <v>8</v>
      </c>
      <c r="AM116" s="2">
        <v>11</v>
      </c>
      <c r="AN116" s="3">
        <v>11</v>
      </c>
      <c r="AO116" s="2">
        <v>8</v>
      </c>
      <c r="AP116" s="3">
        <v>12</v>
      </c>
      <c r="AQ116" s="2">
        <v>8</v>
      </c>
      <c r="AR116" s="2">
        <v>9</v>
      </c>
      <c r="AS116" s="2">
        <v>11</v>
      </c>
      <c r="AT116" s="2"/>
      <c r="AU116" s="2"/>
      <c r="AV116" s="2"/>
      <c r="AW116" s="2"/>
      <c r="AX116" s="2">
        <v>0</v>
      </c>
      <c r="AY116" s="2">
        <v>0</v>
      </c>
      <c r="AZ116" s="2">
        <v>2</v>
      </c>
      <c r="BA116" s="2">
        <v>1</v>
      </c>
      <c r="BB116" s="2">
        <v>2</v>
      </c>
      <c r="BC116" s="8"/>
    </row>
    <row r="117" spans="1:55" ht="13.5" customHeight="1" x14ac:dyDescent="0.2">
      <c r="A117" s="7"/>
      <c r="B117" s="2"/>
      <c r="C117" s="2" t="s">
        <v>5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>
        <v>2</v>
      </c>
      <c r="X117" s="2">
        <v>4</v>
      </c>
      <c r="Y117" s="2">
        <v>2</v>
      </c>
      <c r="Z117" s="2">
        <v>4</v>
      </c>
      <c r="AA117" s="2">
        <v>8</v>
      </c>
      <c r="AB117" s="2">
        <v>5</v>
      </c>
      <c r="AC117" s="2">
        <v>7</v>
      </c>
      <c r="AD117" s="2">
        <v>8</v>
      </c>
      <c r="AE117" s="2">
        <v>11</v>
      </c>
      <c r="AF117" s="2">
        <v>11</v>
      </c>
      <c r="AG117" s="2">
        <v>6</v>
      </c>
      <c r="AH117" s="2">
        <v>6</v>
      </c>
      <c r="AI117" s="2">
        <v>3</v>
      </c>
      <c r="AJ117" s="2">
        <v>10</v>
      </c>
      <c r="AK117" s="2">
        <v>17</v>
      </c>
      <c r="AL117" s="2">
        <v>11</v>
      </c>
      <c r="AM117" s="2">
        <v>21</v>
      </c>
      <c r="AN117" s="3">
        <v>19</v>
      </c>
      <c r="AO117" s="2">
        <v>15</v>
      </c>
      <c r="AP117" s="3">
        <v>20</v>
      </c>
      <c r="AQ117" s="2">
        <v>23</v>
      </c>
      <c r="AR117" s="2">
        <v>20</v>
      </c>
      <c r="AS117" s="2">
        <v>28</v>
      </c>
      <c r="AT117" s="2">
        <v>36</v>
      </c>
      <c r="AU117" s="2">
        <v>17</v>
      </c>
      <c r="AV117" s="2">
        <v>19</v>
      </c>
      <c r="AW117" s="2">
        <v>17</v>
      </c>
      <c r="AX117" s="2">
        <v>7</v>
      </c>
      <c r="AY117" s="2">
        <v>19</v>
      </c>
      <c r="AZ117" s="2">
        <v>13</v>
      </c>
      <c r="BA117" s="2">
        <v>23</v>
      </c>
      <c r="BB117" s="2">
        <v>17</v>
      </c>
      <c r="BC117" s="8"/>
    </row>
    <row r="118" spans="1:55" ht="13.5" customHeight="1" x14ac:dyDescent="0.2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11">
        <f t="shared" ref="W118:AA118" si="82">SUM(W115:W117)</f>
        <v>22</v>
      </c>
      <c r="X118" s="11">
        <f t="shared" si="82"/>
        <v>26</v>
      </c>
      <c r="Y118" s="11">
        <f t="shared" si="82"/>
        <v>20</v>
      </c>
      <c r="Z118" s="11">
        <f t="shared" si="82"/>
        <v>23</v>
      </c>
      <c r="AA118" s="11">
        <f t="shared" si="82"/>
        <v>26</v>
      </c>
      <c r="AB118" s="11">
        <f t="shared" ref="AB118:AD118" si="83">SUM(AB115:AB117)</f>
        <v>30</v>
      </c>
      <c r="AC118" s="11">
        <f t="shared" si="83"/>
        <v>30</v>
      </c>
      <c r="AD118" s="11">
        <f t="shared" si="83"/>
        <v>29</v>
      </c>
      <c r="AE118" s="11">
        <f t="shared" ref="AE118:AG118" si="84">SUM(AE115:AE117)</f>
        <v>39</v>
      </c>
      <c r="AF118" s="11">
        <f t="shared" si="84"/>
        <v>24</v>
      </c>
      <c r="AG118" s="11">
        <f t="shared" si="84"/>
        <v>30</v>
      </c>
      <c r="AH118" s="11">
        <f t="shared" ref="AH118:AJ118" si="85">SUM(AH115:AH117)</f>
        <v>26</v>
      </c>
      <c r="AI118" s="11">
        <f t="shared" si="85"/>
        <v>23</v>
      </c>
      <c r="AJ118" s="11">
        <f t="shared" si="85"/>
        <v>30</v>
      </c>
      <c r="AK118" s="11">
        <f t="shared" ref="AK118:AV118" si="86">SUM(AK115:AK117)</f>
        <v>40</v>
      </c>
      <c r="AL118" s="11">
        <f t="shared" si="86"/>
        <v>50</v>
      </c>
      <c r="AM118" s="11">
        <f t="shared" si="86"/>
        <v>53</v>
      </c>
      <c r="AN118" s="11">
        <f t="shared" si="86"/>
        <v>52</v>
      </c>
      <c r="AO118" s="11">
        <f t="shared" si="86"/>
        <v>49</v>
      </c>
      <c r="AP118" s="11">
        <f t="shared" si="86"/>
        <v>65</v>
      </c>
      <c r="AQ118" s="11">
        <f t="shared" si="86"/>
        <v>61</v>
      </c>
      <c r="AR118" s="11">
        <f t="shared" si="86"/>
        <v>57</v>
      </c>
      <c r="AS118" s="11">
        <f t="shared" si="86"/>
        <v>65</v>
      </c>
      <c r="AT118" s="11">
        <f t="shared" si="86"/>
        <v>67</v>
      </c>
      <c r="AU118" s="11">
        <f t="shared" si="86"/>
        <v>39</v>
      </c>
      <c r="AV118" s="11">
        <f t="shared" si="86"/>
        <v>52</v>
      </c>
      <c r="AW118" s="11">
        <f t="shared" ref="AW118:BB118" si="87">SUM(AW115:AW117)</f>
        <v>37</v>
      </c>
      <c r="AX118" s="11">
        <f t="shared" si="87"/>
        <v>40</v>
      </c>
      <c r="AY118" s="11">
        <f t="shared" si="87"/>
        <v>53</v>
      </c>
      <c r="AZ118" s="11">
        <f t="shared" si="87"/>
        <v>42</v>
      </c>
      <c r="BA118" s="11">
        <f t="shared" si="87"/>
        <v>52</v>
      </c>
      <c r="BB118" s="11">
        <f t="shared" si="87"/>
        <v>43</v>
      </c>
      <c r="BC118" s="8"/>
    </row>
    <row r="119" spans="1:55" ht="13.5" customHeight="1" x14ac:dyDescent="0.2">
      <c r="A119" s="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3"/>
      <c r="AO119" s="2"/>
      <c r="AP119" s="3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8"/>
    </row>
    <row r="120" spans="1:55" ht="13.5" customHeight="1" x14ac:dyDescent="0.2">
      <c r="A120" s="7"/>
      <c r="B120" s="26" t="s">
        <v>29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8"/>
    </row>
    <row r="121" spans="1:55" ht="13.5" customHeight="1" x14ac:dyDescent="0.2">
      <c r="A121" s="7"/>
      <c r="B121" s="10" t="s">
        <v>72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3"/>
      <c r="AO121" s="2"/>
      <c r="AP121" s="3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8"/>
    </row>
    <row r="122" spans="1:55" ht="13.5" customHeight="1" x14ac:dyDescent="0.2">
      <c r="A122" s="7"/>
      <c r="B122" s="10"/>
      <c r="C122" s="2" t="s">
        <v>10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3"/>
      <c r="AO122" s="2"/>
      <c r="AP122" s="3"/>
      <c r="AQ122" s="2"/>
      <c r="AR122" s="2"/>
      <c r="AS122" s="2"/>
      <c r="AT122" s="2"/>
      <c r="AU122" s="2"/>
      <c r="AV122" s="2"/>
      <c r="AW122" s="2">
        <f>AW11+AW16+AW47+AW54+AW62</f>
        <v>2</v>
      </c>
      <c r="AX122" s="2">
        <f>AX11+AX16+AX47+AX54+AX62</f>
        <v>20</v>
      </c>
      <c r="AY122" s="2">
        <f>AY11+AY16+AY47+AY54+AY62+AY77</f>
        <v>34</v>
      </c>
      <c r="AZ122" s="2">
        <f>AZ11+AZ16+AZ22+AZ47+AZ54+AZ62+AZ77</f>
        <v>29</v>
      </c>
      <c r="BA122" s="2">
        <f>BA11+BA16+BA22+BA47+BA54+BA62+BA77</f>
        <v>37</v>
      </c>
      <c r="BB122" s="2">
        <f>BB11+BB16+BB22+BB39+BB47+BB54+BB62+BB77</f>
        <v>35</v>
      </c>
      <c r="BC122" s="8"/>
    </row>
    <row r="123" spans="1:55" ht="13.5" customHeight="1" x14ac:dyDescent="0.2">
      <c r="A123" s="7"/>
      <c r="B123" s="2"/>
      <c r="C123" s="2" t="s">
        <v>0</v>
      </c>
      <c r="D123" s="3">
        <v>474</v>
      </c>
      <c r="E123" s="3">
        <v>773</v>
      </c>
      <c r="F123" s="3">
        <v>986</v>
      </c>
      <c r="G123" s="3">
        <v>1125</v>
      </c>
      <c r="H123" s="3">
        <v>1227</v>
      </c>
      <c r="I123" s="3">
        <v>1371</v>
      </c>
      <c r="J123" s="3">
        <v>1550</v>
      </c>
      <c r="K123" s="3">
        <v>1476</v>
      </c>
      <c r="L123" s="3">
        <v>1499</v>
      </c>
      <c r="M123" s="3">
        <v>1372</v>
      </c>
      <c r="N123" s="3">
        <v>1412</v>
      </c>
      <c r="O123" s="3">
        <v>1259</v>
      </c>
      <c r="P123" s="3">
        <v>1238</v>
      </c>
      <c r="Q123" s="3">
        <v>1236</v>
      </c>
      <c r="R123" s="3">
        <v>1281</v>
      </c>
      <c r="S123" s="3">
        <v>1240</v>
      </c>
      <c r="T123" s="3">
        <v>1160</v>
      </c>
      <c r="U123" s="3">
        <v>1202</v>
      </c>
      <c r="V123" s="3">
        <v>1260</v>
      </c>
      <c r="W123" s="3">
        <f>W23+W28+W37+W40+W45+W48+W55+W68+W72+W78+W85+W89+W94+W100+W102+W109+W115</f>
        <v>1269</v>
      </c>
      <c r="X123" s="3">
        <f>X23+X28+X37+X40+X45+X48+X55+X68+X72+X78+X85+X89+X94+X100+X102+X109+X115</f>
        <v>1382</v>
      </c>
      <c r="Y123" s="3">
        <f>Y23+Y28+Y37+Y40+Y45+Y48+Y55+Y68+Y72+Y78+Y85+Y89+Y94+Y100+Y102+Y109+Y115</f>
        <v>1527</v>
      </c>
      <c r="Z123" s="3">
        <f>Z23+Z28+Z37+Z40+Z45+Z48+Z55+Z68+Z72+Z78+Z85+Z89+Z94+Z100+Z102+Z109+Z115</f>
        <v>1589</v>
      </c>
      <c r="AA123" s="3">
        <f>AA23+AA28+AA37+AA40+AA45+AA48+AA55+AA68+AA72+AA78+AA85+AA89+AA94+AA100+AA102+AA109+AA115</f>
        <v>1657</v>
      </c>
      <c r="AB123" s="3">
        <f>AB17+AB23+AB28+AB37+AB40+AB45+AB48+AB55+AB68+AB72+AB78+AB89+AB94+AB100+AB102+AB109+AB115</f>
        <v>1674</v>
      </c>
      <c r="AC123" s="3">
        <f>AC17+AC23+AC28+AC37+AC40+AC45+AC48+AC55+AC68+AC72+AC78+AC89+AC94+AC100+AC102+AC109+AC115</f>
        <v>1683</v>
      </c>
      <c r="AD123" s="3">
        <f>AD17+AD23+AD28+AD37+AD40+AD45+AD48+AD55+AD68+AD72+AD78+AD89+AD94+AD100+AD102+AD109+AD115</f>
        <v>1690</v>
      </c>
      <c r="AE123" s="3">
        <f t="shared" ref="AE123:AP123" si="88">AE17+AE23+AE28+AE35+AE37+AE40+AE45+AE48+AE55+AE68+AE72+AE78+AE89+AE94+AE100+AE102+AE109+AE115</f>
        <v>1680</v>
      </c>
      <c r="AF123" s="3">
        <f t="shared" si="88"/>
        <v>1587</v>
      </c>
      <c r="AG123" s="3">
        <f t="shared" si="88"/>
        <v>1673</v>
      </c>
      <c r="AH123" s="3">
        <f t="shared" si="88"/>
        <v>1663</v>
      </c>
      <c r="AI123" s="3">
        <f t="shared" si="88"/>
        <v>1707</v>
      </c>
      <c r="AJ123" s="3">
        <f t="shared" si="88"/>
        <v>1695</v>
      </c>
      <c r="AK123" s="3">
        <f t="shared" si="88"/>
        <v>1777</v>
      </c>
      <c r="AL123" s="3">
        <f t="shared" si="88"/>
        <v>1887</v>
      </c>
      <c r="AM123" s="3">
        <f t="shared" si="88"/>
        <v>1853</v>
      </c>
      <c r="AN123" s="3">
        <f t="shared" si="88"/>
        <v>1932</v>
      </c>
      <c r="AO123" s="2">
        <f t="shared" si="88"/>
        <v>1902</v>
      </c>
      <c r="AP123" s="3">
        <f t="shared" si="88"/>
        <v>1905</v>
      </c>
      <c r="AQ123" s="2">
        <f t="shared" ref="AQ123:AX123" si="89">AQ17+AQ23+AQ28+AQ35+AQ37+AQ40+AQ45+AQ48+AQ55+AQ63+AQ68+AQ72+AQ78+AQ89+AQ94+AQ100+AQ102+AQ109+AQ115</f>
        <v>2039</v>
      </c>
      <c r="AR123" s="2">
        <f t="shared" si="89"/>
        <v>2016</v>
      </c>
      <c r="AS123" s="2">
        <f t="shared" si="89"/>
        <v>2018</v>
      </c>
      <c r="AT123" s="2">
        <f t="shared" si="89"/>
        <v>2011</v>
      </c>
      <c r="AU123" s="2">
        <f t="shared" si="89"/>
        <v>2092</v>
      </c>
      <c r="AV123" s="2">
        <f t="shared" si="89"/>
        <v>1963</v>
      </c>
      <c r="AW123" s="2">
        <f t="shared" si="89"/>
        <v>1974</v>
      </c>
      <c r="AX123" s="2">
        <f t="shared" si="89"/>
        <v>2020</v>
      </c>
      <c r="AY123" s="2">
        <f>AY17+AY23+AY28+AY35+AY37+AY40+AY45+AY48+AY55+AY60+AY63+AY68+AY72+AY78+AY89+AY94+AY100+AY102+AY109+AY115</f>
        <v>2246</v>
      </c>
      <c r="AZ123" s="2">
        <f>AZ17+AZ23+AZ28+AZ35+AZ37+AZ40+AZ45+AZ48+AZ55+AZ60+AZ63+AZ68+AZ72+AZ78+AZ89+AZ94+AZ100+AZ102+AZ109+AZ115</f>
        <v>2252</v>
      </c>
      <c r="BA123" s="2">
        <f>BA17+BA23+BA28+BA35+BA37+BA40+BA45+BA48+BA55+BA60+BA63+BA68+BA72+BA78+BA89+BA94+BA100+BA102+BA109+BA115</f>
        <v>2071</v>
      </c>
      <c r="BB123" s="2">
        <f>BB17+BB23+BB28+BB35+BB37+BB40+BB45+BB48+BB55+BB60+BB63+BB68+BB72+BB78+BB89+BB94+BB100+BB102+BB109+BB115</f>
        <v>1988</v>
      </c>
      <c r="BC123" s="8"/>
    </row>
    <row r="124" spans="1:55" ht="13.5" customHeight="1" x14ac:dyDescent="0.2">
      <c r="A124" s="7"/>
      <c r="B124" s="2"/>
      <c r="C124" s="2" t="s">
        <v>9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>
        <f>AE110</f>
        <v>0</v>
      </c>
      <c r="AF124" s="3">
        <f>AF49+AF79+AF110</f>
        <v>0</v>
      </c>
      <c r="AG124" s="3">
        <f>AG12+AG49+AG64+AG79+AG90+AG110</f>
        <v>25</v>
      </c>
      <c r="AH124" s="3">
        <f>AH12+AH49+AH64+AH79+AH90+AH110</f>
        <v>20</v>
      </c>
      <c r="AI124" s="3">
        <f>AI12+AI49+AI64+AI79+AI90+AI110</f>
        <v>21</v>
      </c>
      <c r="AJ124" s="3">
        <f>AJ12+AJ64+AJ79+AJ90+AJ95+AJ110+AJ116</f>
        <v>31</v>
      </c>
      <c r="AK124" s="3">
        <f>AK12+AK64+AK79+AK90+AK95+AK110+AK116</f>
        <v>47</v>
      </c>
      <c r="AL124" s="3">
        <f>AL12+AL64+AL79+AL90+AL95+AL110+AL116</f>
        <v>58</v>
      </c>
      <c r="AM124" s="3">
        <f>AM12+AM49+AM64+AM79+AM90+AM110+AM116</f>
        <v>87</v>
      </c>
      <c r="AN124" s="3">
        <f t="shared" ref="AN124:AS124" si="90">AN12+AN29+AN41+AN49+AN64+AN79+AN90+AN103+AN110+AN116</f>
        <v>54</v>
      </c>
      <c r="AO124" s="2">
        <f t="shared" si="90"/>
        <v>76</v>
      </c>
      <c r="AP124" s="3">
        <f t="shared" si="90"/>
        <v>77</v>
      </c>
      <c r="AQ124" s="2">
        <f t="shared" si="90"/>
        <v>79</v>
      </c>
      <c r="AR124" s="2">
        <f t="shared" si="90"/>
        <v>64</v>
      </c>
      <c r="AS124" s="2">
        <f t="shared" si="90"/>
        <v>80</v>
      </c>
      <c r="AT124" s="2">
        <f t="shared" ref="AT124:AV124" si="91">AT12+AT29+AT41+AT49+AT64+AT79+AT90+AT103+AT110</f>
        <v>82</v>
      </c>
      <c r="AU124" s="2">
        <f t="shared" si="91"/>
        <v>71</v>
      </c>
      <c r="AV124" s="2">
        <f t="shared" si="91"/>
        <v>96</v>
      </c>
      <c r="AW124" s="2">
        <f>AW12+AW18+AW29+AW41+AW49+AW64+AW79+AW90+AW103+AW110</f>
        <v>88</v>
      </c>
      <c r="AX124" s="2">
        <f>AX12+AX18+AX29+AX41+AX49+AX64+AX79+AX90+AX103+AX110+AX116</f>
        <v>80</v>
      </c>
      <c r="AY124" s="2">
        <f>AY12+AY18+AY29+AY41+AY49+AY64+AY79+AY90+AY103+AY110+AY116</f>
        <v>87</v>
      </c>
      <c r="AZ124" s="2">
        <f>AZ12+AZ18+AZ24+AZ29+AZ41+AZ49+AZ64+AZ79+AZ90+AZ103+AZ110+AZ116</f>
        <v>116</v>
      </c>
      <c r="BA124" s="2">
        <f>BA12+BA18+BA24+BA29+BA41+BA49+BA64+BA79+BA90+BA103+BA110+BA116</f>
        <v>123</v>
      </c>
      <c r="BB124" s="2">
        <f>BB12+BB18+BB24+BB29+BB41+BB49+BB64+BB79+BB90+BB103+BB110+BB116</f>
        <v>121</v>
      </c>
      <c r="BC124" s="8"/>
    </row>
    <row r="125" spans="1:55" ht="13.5" customHeight="1" x14ac:dyDescent="0.2">
      <c r="A125" s="7"/>
      <c r="B125" s="2"/>
      <c r="C125" s="2" t="s">
        <v>5</v>
      </c>
      <c r="D125" s="3"/>
      <c r="E125" s="3">
        <v>68</v>
      </c>
      <c r="F125" s="3">
        <v>178</v>
      </c>
      <c r="G125" s="3">
        <v>275</v>
      </c>
      <c r="H125" s="3">
        <v>330</v>
      </c>
      <c r="I125" s="3">
        <v>229</v>
      </c>
      <c r="J125" s="3">
        <v>321</v>
      </c>
      <c r="K125" s="3">
        <v>341</v>
      </c>
      <c r="L125" s="3">
        <v>371</v>
      </c>
      <c r="M125" s="3">
        <v>346</v>
      </c>
      <c r="N125" s="3">
        <v>320</v>
      </c>
      <c r="O125" s="3">
        <v>369</v>
      </c>
      <c r="P125" s="3">
        <v>375</v>
      </c>
      <c r="Q125" s="3">
        <v>359</v>
      </c>
      <c r="R125" s="3">
        <v>356</v>
      </c>
      <c r="S125" s="3">
        <v>344</v>
      </c>
      <c r="T125" s="3">
        <v>289</v>
      </c>
      <c r="U125" s="3">
        <v>356</v>
      </c>
      <c r="V125" s="3">
        <v>311</v>
      </c>
      <c r="W125" s="3">
        <f>W13+W30+W42+W50+W56+W73+W80+W91+W96+W111+W117</f>
        <v>352</v>
      </c>
      <c r="X125" s="3">
        <f>X13+X30+X42+X50+X56+X73+X80+X91+X96+X111+X117</f>
        <v>338</v>
      </c>
      <c r="Y125" s="3">
        <f>Y13+Y30+Y42+Y50+Y56+Y65+Y73+Y80+Y86+Y91+Y96+Y111+Y117</f>
        <v>445</v>
      </c>
      <c r="Z125" s="3">
        <f>Z13+Z30+Z42+Z50+Z56+Z65+Z73+Z80+Z86+Z91+Z96+Z111+Z117</f>
        <v>380</v>
      </c>
      <c r="AA125" s="3">
        <f>AA13+AA30+AA42+AA50+AA56+AA65+AA73+AA80+AA86+AA91+AA96+AA111+AA117</f>
        <v>446</v>
      </c>
      <c r="AB125" s="3">
        <f t="shared" ref="AB125:AI125" si="92">AB13+AB30+AB42+AB50+AB56+AB65+AB73+AB80+AB91+AB96+AB104+AB111+AB117</f>
        <v>481</v>
      </c>
      <c r="AC125" s="3">
        <f t="shared" si="92"/>
        <v>470</v>
      </c>
      <c r="AD125" s="3">
        <f t="shared" si="92"/>
        <v>556</v>
      </c>
      <c r="AE125" s="3">
        <f t="shared" si="92"/>
        <v>524</v>
      </c>
      <c r="AF125" s="3">
        <f t="shared" si="92"/>
        <v>596</v>
      </c>
      <c r="AG125" s="3">
        <f t="shared" si="92"/>
        <v>646</v>
      </c>
      <c r="AH125" s="3">
        <f t="shared" si="92"/>
        <v>543</v>
      </c>
      <c r="AI125" s="3">
        <f t="shared" si="92"/>
        <v>591</v>
      </c>
      <c r="AJ125" s="3">
        <f>AJ25+AJ30+AJ42+AJ50+AJ56+AJ65+AJ73+AJ80+AJ91+AJ96+AJ104+AJ111+AJ117</f>
        <v>508</v>
      </c>
      <c r="AK125" s="3">
        <f t="shared" ref="AK125:AY125" si="93">AK19+AK25+AK30+AK42+AK50+AK56+AK65+AK69+AK73+AK80+AK91+AK96+AK104+AK111+AK117</f>
        <v>545</v>
      </c>
      <c r="AL125" s="3">
        <f t="shared" si="93"/>
        <v>637</v>
      </c>
      <c r="AM125" s="3">
        <f t="shared" si="93"/>
        <v>622</v>
      </c>
      <c r="AN125" s="3">
        <f t="shared" si="93"/>
        <v>675</v>
      </c>
      <c r="AO125" s="2">
        <f t="shared" si="93"/>
        <v>786</v>
      </c>
      <c r="AP125" s="3">
        <f t="shared" si="93"/>
        <v>730</v>
      </c>
      <c r="AQ125" s="2">
        <f t="shared" si="93"/>
        <v>718</v>
      </c>
      <c r="AR125" s="2">
        <f t="shared" si="93"/>
        <v>729</v>
      </c>
      <c r="AS125" s="2">
        <f t="shared" si="93"/>
        <v>771</v>
      </c>
      <c r="AT125" s="2">
        <f t="shared" si="93"/>
        <v>771</v>
      </c>
      <c r="AU125" s="2">
        <f t="shared" si="93"/>
        <v>868</v>
      </c>
      <c r="AV125" s="2">
        <f t="shared" si="93"/>
        <v>872</v>
      </c>
      <c r="AW125" s="2">
        <f t="shared" si="93"/>
        <v>871</v>
      </c>
      <c r="AX125" s="2">
        <f t="shared" si="93"/>
        <v>854</v>
      </c>
      <c r="AY125" s="2">
        <f t="shared" si="93"/>
        <v>761</v>
      </c>
      <c r="AZ125" s="2">
        <f t="shared" ref="AZ125:BA125" si="94">AZ19+AZ25+AZ30+AZ42+AZ50+AZ56+AZ65+AZ69+AZ73+AZ80+AZ91+AZ96+AZ104+AZ111+AZ117</f>
        <v>810</v>
      </c>
      <c r="BA125" s="2">
        <f t="shared" si="94"/>
        <v>826</v>
      </c>
      <c r="BB125" s="2">
        <f t="shared" ref="BB125" si="95">BB19+BB25+BB30+BB42+BB50+BB56+BB65+BB69+BB73+BB80+BB91+BB96+BB104+BB111+BB117</f>
        <v>819</v>
      </c>
      <c r="BC125" s="8"/>
    </row>
    <row r="126" spans="1:55" ht="13.5" customHeight="1" x14ac:dyDescent="0.2">
      <c r="A126" s="7"/>
      <c r="B126" s="2"/>
      <c r="C126" s="2" t="s">
        <v>11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2">
        <f t="shared" ref="AO126:AY126" si="96">AO31+AO81</f>
        <v>3</v>
      </c>
      <c r="AP126" s="3">
        <f t="shared" si="96"/>
        <v>29</v>
      </c>
      <c r="AQ126" s="2">
        <f t="shared" si="96"/>
        <v>31</v>
      </c>
      <c r="AR126" s="2">
        <f t="shared" si="96"/>
        <v>28</v>
      </c>
      <c r="AS126" s="2">
        <f t="shared" si="96"/>
        <v>42</v>
      </c>
      <c r="AT126" s="2">
        <f t="shared" si="96"/>
        <v>31</v>
      </c>
      <c r="AU126" s="2">
        <f t="shared" si="96"/>
        <v>22</v>
      </c>
      <c r="AV126" s="2">
        <f t="shared" si="96"/>
        <v>26</v>
      </c>
      <c r="AW126" s="2">
        <f t="shared" si="96"/>
        <v>28</v>
      </c>
      <c r="AX126" s="2">
        <f t="shared" si="96"/>
        <v>13</v>
      </c>
      <c r="AY126" s="2">
        <f t="shared" si="96"/>
        <v>14</v>
      </c>
      <c r="AZ126" s="2">
        <f t="shared" ref="AZ126:BA126" si="97">AZ31+AZ81</f>
        <v>17</v>
      </c>
      <c r="BA126" s="2">
        <f t="shared" si="97"/>
        <v>17</v>
      </c>
      <c r="BB126" s="2">
        <f t="shared" ref="BB126" si="98">BB31+BB81</f>
        <v>9</v>
      </c>
      <c r="BC126" s="8"/>
    </row>
    <row r="127" spans="1:55" ht="13.5" customHeight="1" x14ac:dyDescent="0.2">
      <c r="A127" s="7"/>
      <c r="B127" s="2"/>
      <c r="C127" s="2" t="s">
        <v>7</v>
      </c>
      <c r="D127" s="3"/>
      <c r="E127" s="3"/>
      <c r="F127" s="3"/>
      <c r="G127" s="3"/>
      <c r="H127" s="3">
        <v>0</v>
      </c>
      <c r="I127" s="3">
        <v>0</v>
      </c>
      <c r="J127" s="3">
        <v>0</v>
      </c>
      <c r="K127" s="3">
        <v>0</v>
      </c>
      <c r="L127" s="3">
        <v>1</v>
      </c>
      <c r="M127" s="3">
        <v>4</v>
      </c>
      <c r="N127" s="3">
        <v>3</v>
      </c>
      <c r="O127" s="3">
        <v>8</v>
      </c>
      <c r="P127" s="3">
        <v>7</v>
      </c>
      <c r="Q127" s="3">
        <v>10</v>
      </c>
      <c r="R127" s="3">
        <v>7</v>
      </c>
      <c r="S127" s="3">
        <v>9</v>
      </c>
      <c r="T127" s="3">
        <v>14</v>
      </c>
      <c r="U127" s="3">
        <v>12</v>
      </c>
      <c r="V127" s="3">
        <v>15</v>
      </c>
      <c r="W127" s="3">
        <f>W32+W74+W82+W97</f>
        <v>13</v>
      </c>
      <c r="X127" s="3">
        <f>X32+X74+X82+X97</f>
        <v>19</v>
      </c>
      <c r="Y127" s="3">
        <f>Y32+Y51+Y74+Y82+Y97</f>
        <v>18</v>
      </c>
      <c r="Z127" s="3">
        <f>Z32+Z51+Z74+Z82+Z97</f>
        <v>23</v>
      </c>
      <c r="AA127" s="3">
        <f t="shared" ref="AA127:AG127" si="99">AA32+AA51+AA74+AA82+AA97+AA105</f>
        <v>28</v>
      </c>
      <c r="AB127" s="3">
        <f t="shared" si="99"/>
        <v>25</v>
      </c>
      <c r="AC127" s="3">
        <f t="shared" si="99"/>
        <v>19</v>
      </c>
      <c r="AD127" s="3">
        <f t="shared" si="99"/>
        <v>16</v>
      </c>
      <c r="AE127" s="3">
        <f t="shared" si="99"/>
        <v>24</v>
      </c>
      <c r="AF127" s="3">
        <f t="shared" si="99"/>
        <v>25</v>
      </c>
      <c r="AG127" s="3">
        <f t="shared" si="99"/>
        <v>29</v>
      </c>
      <c r="AH127" s="3">
        <f>AH32+AH51+AH57+AH74+AH82+AH97+AH105</f>
        <v>34</v>
      </c>
      <c r="AI127" s="3">
        <f>AI32+AI51+AI57+AI74+AI82+AI97+AI105</f>
        <v>30</v>
      </c>
      <c r="AJ127" s="3">
        <f>AJ32+AJ51+AJ57+AJ74+AJ82+AJ97+AJ105</f>
        <v>37</v>
      </c>
      <c r="AK127" s="3">
        <f>AK32+AK51+AK57+AK74+AK82+AK97+AK105</f>
        <v>33</v>
      </c>
      <c r="AL127" s="3">
        <f t="shared" ref="AL127:AY127" si="100">AL32+AL51+AL57+AL74+AL82+AL97+AL105+AL112</f>
        <v>45</v>
      </c>
      <c r="AM127" s="3">
        <f t="shared" si="100"/>
        <v>45</v>
      </c>
      <c r="AN127" s="3">
        <f t="shared" si="100"/>
        <v>40</v>
      </c>
      <c r="AO127" s="2">
        <f t="shared" si="100"/>
        <v>51</v>
      </c>
      <c r="AP127" s="3">
        <f t="shared" si="100"/>
        <v>58</v>
      </c>
      <c r="AQ127" s="2">
        <f t="shared" si="100"/>
        <v>52</v>
      </c>
      <c r="AR127" s="2">
        <f t="shared" si="100"/>
        <v>62</v>
      </c>
      <c r="AS127" s="2">
        <f t="shared" si="100"/>
        <v>63</v>
      </c>
      <c r="AT127" s="2">
        <f t="shared" si="100"/>
        <v>63</v>
      </c>
      <c r="AU127" s="2">
        <f t="shared" si="100"/>
        <v>50</v>
      </c>
      <c r="AV127" s="2">
        <f t="shared" si="100"/>
        <v>74</v>
      </c>
      <c r="AW127" s="2">
        <f t="shared" si="100"/>
        <v>61</v>
      </c>
      <c r="AX127" s="2">
        <f t="shared" si="100"/>
        <v>64</v>
      </c>
      <c r="AY127" s="2">
        <f t="shared" si="100"/>
        <v>84</v>
      </c>
      <c r="AZ127" s="2">
        <f t="shared" ref="AZ127:BA127" si="101">AZ32+AZ51+AZ57+AZ74+AZ82+AZ97+AZ105+AZ112</f>
        <v>75</v>
      </c>
      <c r="BA127" s="2">
        <f t="shared" si="101"/>
        <v>106</v>
      </c>
      <c r="BB127" s="2">
        <f t="shared" ref="BB127" si="102">BB32+BB51+BB57+BB74+BB82+BB97+BB105+BB112</f>
        <v>87</v>
      </c>
      <c r="BC127" s="8"/>
    </row>
    <row r="128" spans="1:55" ht="13.5" customHeight="1" x14ac:dyDescent="0.2">
      <c r="A128" s="7"/>
      <c r="B128" s="2"/>
      <c r="C128" s="2" t="s">
        <v>32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>
        <v>31</v>
      </c>
      <c r="U128" s="3">
        <v>25</v>
      </c>
      <c r="V128" s="3">
        <v>30</v>
      </c>
      <c r="W128" s="3">
        <f>W106</f>
        <v>28</v>
      </c>
      <c r="X128" s="3">
        <f t="shared" ref="X128:AA128" si="103">X106</f>
        <v>30</v>
      </c>
      <c r="Y128" s="3">
        <f t="shared" si="103"/>
        <v>42</v>
      </c>
      <c r="Z128" s="3">
        <f t="shared" si="103"/>
        <v>41</v>
      </c>
      <c r="AA128" s="3">
        <f t="shared" si="103"/>
        <v>37</v>
      </c>
      <c r="AB128" s="3">
        <f t="shared" ref="AB128:AD128" si="104">AB106</f>
        <v>39</v>
      </c>
      <c r="AC128" s="3">
        <f t="shared" si="104"/>
        <v>40</v>
      </c>
      <c r="AD128" s="3">
        <f t="shared" si="104"/>
        <v>39</v>
      </c>
      <c r="AE128" s="3">
        <f t="shared" ref="AE128:AG128" si="105">AE106</f>
        <v>35</v>
      </c>
      <c r="AF128" s="3">
        <f t="shared" si="105"/>
        <v>41</v>
      </c>
      <c r="AG128" s="3">
        <f t="shared" si="105"/>
        <v>37</v>
      </c>
      <c r="AH128" s="3">
        <f t="shared" ref="AH128:AW128" si="106">AH106</f>
        <v>38</v>
      </c>
      <c r="AI128" s="3">
        <f t="shared" si="106"/>
        <v>43</v>
      </c>
      <c r="AJ128" s="3">
        <f t="shared" si="106"/>
        <v>44</v>
      </c>
      <c r="AK128" s="3">
        <f t="shared" si="106"/>
        <v>45</v>
      </c>
      <c r="AL128" s="3">
        <f t="shared" si="106"/>
        <v>42</v>
      </c>
      <c r="AM128" s="3">
        <f t="shared" si="106"/>
        <v>39</v>
      </c>
      <c r="AN128" s="3">
        <f t="shared" si="106"/>
        <v>35</v>
      </c>
      <c r="AO128" s="2">
        <f t="shared" si="106"/>
        <v>46</v>
      </c>
      <c r="AP128" s="3">
        <f t="shared" si="106"/>
        <v>34</v>
      </c>
      <c r="AQ128" s="2">
        <f t="shared" si="106"/>
        <v>44</v>
      </c>
      <c r="AR128" s="2">
        <f t="shared" si="106"/>
        <v>38</v>
      </c>
      <c r="AS128" s="2">
        <f t="shared" si="106"/>
        <v>44</v>
      </c>
      <c r="AT128" s="2">
        <f t="shared" si="106"/>
        <v>41</v>
      </c>
      <c r="AU128" s="2">
        <f t="shared" si="106"/>
        <v>44</v>
      </c>
      <c r="AV128" s="2">
        <f t="shared" si="106"/>
        <v>47</v>
      </c>
      <c r="AW128" s="2">
        <f t="shared" si="106"/>
        <v>40</v>
      </c>
      <c r="AX128" s="2">
        <f t="shared" ref="AX128:AY128" si="107">AX106</f>
        <v>39</v>
      </c>
      <c r="AY128" s="2">
        <f t="shared" si="107"/>
        <v>41</v>
      </c>
      <c r="AZ128" s="2">
        <f t="shared" ref="AZ128:BA128" si="108">AZ106</f>
        <v>45</v>
      </c>
      <c r="BA128" s="2">
        <f t="shared" si="108"/>
        <v>43</v>
      </c>
      <c r="BB128" s="2">
        <f t="shared" ref="BB128" si="109">BB106</f>
        <v>39</v>
      </c>
      <c r="BC128" s="8"/>
    </row>
    <row r="129" spans="1:55" ht="13.5" customHeight="1" x14ac:dyDescent="0.2">
      <c r="A129" s="7"/>
      <c r="B129" s="2"/>
      <c r="C129" s="2"/>
      <c r="D129" s="22">
        <f>D123</f>
        <v>474</v>
      </c>
      <c r="E129" s="22">
        <f t="shared" ref="E129:F129" si="110">SUM(E123:E125)</f>
        <v>841</v>
      </c>
      <c r="F129" s="22">
        <f t="shared" si="110"/>
        <v>1164</v>
      </c>
      <c r="G129" s="22">
        <f>SUM(G123:G125)</f>
        <v>1400</v>
      </c>
      <c r="H129" s="22">
        <f t="shared" ref="H129:M129" si="111">SUM(H123:H127)</f>
        <v>1557</v>
      </c>
      <c r="I129" s="22">
        <f t="shared" si="111"/>
        <v>1600</v>
      </c>
      <c r="J129" s="22">
        <f t="shared" si="111"/>
        <v>1871</v>
      </c>
      <c r="K129" s="22">
        <f t="shared" si="111"/>
        <v>1817</v>
      </c>
      <c r="L129" s="22">
        <f t="shared" si="111"/>
        <v>1871</v>
      </c>
      <c r="M129" s="22">
        <f t="shared" si="111"/>
        <v>1722</v>
      </c>
      <c r="N129" s="22">
        <f t="shared" ref="N129:R129" si="112">SUM(N123:N127)</f>
        <v>1735</v>
      </c>
      <c r="O129" s="22">
        <f t="shared" si="112"/>
        <v>1636</v>
      </c>
      <c r="P129" s="22">
        <f t="shared" si="112"/>
        <v>1620</v>
      </c>
      <c r="Q129" s="22">
        <f t="shared" si="112"/>
        <v>1605</v>
      </c>
      <c r="R129" s="22">
        <f t="shared" si="112"/>
        <v>1644</v>
      </c>
      <c r="S129" s="22">
        <f>SUM(S123:S127)</f>
        <v>1593</v>
      </c>
      <c r="T129" s="22">
        <f t="shared" ref="T129:V129" si="113">SUM(T123:T128)</f>
        <v>1494</v>
      </c>
      <c r="U129" s="22">
        <f t="shared" si="113"/>
        <v>1595</v>
      </c>
      <c r="V129" s="22">
        <f t="shared" si="113"/>
        <v>1616</v>
      </c>
      <c r="W129" s="22">
        <f>SUM(W123:W128)</f>
        <v>1662</v>
      </c>
      <c r="X129" s="22">
        <f>SUM(X123:X128)</f>
        <v>1769</v>
      </c>
      <c r="Y129" s="22">
        <f t="shared" ref="Y129:AA129" si="114">SUM(Y123:Y128)</f>
        <v>2032</v>
      </c>
      <c r="Z129" s="22">
        <f t="shared" si="114"/>
        <v>2033</v>
      </c>
      <c r="AA129" s="22">
        <f t="shared" si="114"/>
        <v>2168</v>
      </c>
      <c r="AB129" s="22">
        <f t="shared" ref="AB129:AD129" si="115">SUM(AB123:AB128)</f>
        <v>2219</v>
      </c>
      <c r="AC129" s="22">
        <f t="shared" si="115"/>
        <v>2212</v>
      </c>
      <c r="AD129" s="22">
        <f t="shared" si="115"/>
        <v>2301</v>
      </c>
      <c r="AE129" s="22">
        <f t="shared" ref="AE129:AG129" si="116">SUM(AE123:AE128)</f>
        <v>2263</v>
      </c>
      <c r="AF129" s="22">
        <f t="shared" si="116"/>
        <v>2249</v>
      </c>
      <c r="AG129" s="22">
        <f t="shared" si="116"/>
        <v>2410</v>
      </c>
      <c r="AH129" s="22">
        <f>SUM(AH123:AH128)</f>
        <v>2298</v>
      </c>
      <c r="AI129" s="22">
        <f t="shared" ref="AI129:AJ129" si="117">SUM(AI123:AI128)</f>
        <v>2392</v>
      </c>
      <c r="AJ129" s="22">
        <f t="shared" si="117"/>
        <v>2315</v>
      </c>
      <c r="AK129" s="22">
        <f t="shared" ref="AK129:AU129" si="118">SUM(AK123:AK128)</f>
        <v>2447</v>
      </c>
      <c r="AL129" s="22">
        <f>SUM(AL123:AL128)</f>
        <v>2669</v>
      </c>
      <c r="AM129" s="22">
        <f t="shared" si="118"/>
        <v>2646</v>
      </c>
      <c r="AN129" s="22">
        <f t="shared" si="118"/>
        <v>2736</v>
      </c>
      <c r="AO129" s="11">
        <f t="shared" si="118"/>
        <v>2864</v>
      </c>
      <c r="AP129" s="22">
        <f t="shared" si="118"/>
        <v>2833</v>
      </c>
      <c r="AQ129" s="11">
        <f t="shared" si="118"/>
        <v>2963</v>
      </c>
      <c r="AR129" s="11">
        <f t="shared" si="118"/>
        <v>2937</v>
      </c>
      <c r="AS129" s="11">
        <f t="shared" si="118"/>
        <v>3018</v>
      </c>
      <c r="AT129" s="11">
        <f t="shared" si="118"/>
        <v>2999</v>
      </c>
      <c r="AU129" s="11">
        <f t="shared" si="118"/>
        <v>3147</v>
      </c>
      <c r="AV129" s="11">
        <f>SUM(AV123:AV128)</f>
        <v>3078</v>
      </c>
      <c r="AW129" s="11">
        <f t="shared" ref="AW129:BB129" si="119">SUM(AW122:AW128)</f>
        <v>3064</v>
      </c>
      <c r="AX129" s="11">
        <f t="shared" si="119"/>
        <v>3090</v>
      </c>
      <c r="AY129" s="11">
        <f t="shared" si="119"/>
        <v>3267</v>
      </c>
      <c r="AZ129" s="11">
        <f t="shared" si="119"/>
        <v>3344</v>
      </c>
      <c r="BA129" s="11">
        <f t="shared" si="119"/>
        <v>3223</v>
      </c>
      <c r="BB129" s="11">
        <f t="shared" si="119"/>
        <v>3098</v>
      </c>
      <c r="BC129" s="8"/>
    </row>
    <row r="130" spans="1:55" ht="13.5" customHeight="1" x14ac:dyDescent="0.2">
      <c r="A130" s="7"/>
      <c r="B130" s="10" t="s">
        <v>33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3"/>
      <c r="AO130" s="2"/>
      <c r="AP130" s="3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8"/>
    </row>
    <row r="131" spans="1:55" ht="13.5" customHeight="1" x14ac:dyDescent="0.2">
      <c r="A131" s="7"/>
      <c r="B131" s="10"/>
      <c r="C131" s="2" t="s">
        <v>10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>
        <f>AW47+AW54</f>
        <v>2</v>
      </c>
      <c r="AX131" s="2">
        <f>AX47+AX54</f>
        <v>7</v>
      </c>
      <c r="AY131" s="2">
        <f>AY47+AY54+1</f>
        <v>7</v>
      </c>
      <c r="AZ131" s="2">
        <f>AZ22+AZ47+AZ54</f>
        <v>9</v>
      </c>
      <c r="BA131" s="2">
        <f>BA22+BA47+BA54+2</f>
        <v>20</v>
      </c>
      <c r="BB131" s="2">
        <f>BB22+BB47+BB54</f>
        <v>17</v>
      </c>
      <c r="BC131" s="8"/>
    </row>
    <row r="132" spans="1:55" ht="13.5" customHeight="1" x14ac:dyDescent="0.2">
      <c r="A132" s="7"/>
      <c r="B132" s="2"/>
      <c r="C132" s="2" t="s">
        <v>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>
        <f t="shared" ref="W132:AD132" si="120">W23+W48+W55+W72</f>
        <v>90</v>
      </c>
      <c r="X132" s="2">
        <f t="shared" si="120"/>
        <v>96</v>
      </c>
      <c r="Y132" s="2">
        <f t="shared" si="120"/>
        <v>88</v>
      </c>
      <c r="Z132" s="2">
        <f t="shared" si="120"/>
        <v>91</v>
      </c>
      <c r="AA132" s="2">
        <f t="shared" si="120"/>
        <v>90</v>
      </c>
      <c r="AB132" s="2">
        <f t="shared" si="120"/>
        <v>88</v>
      </c>
      <c r="AC132" s="2">
        <f t="shared" si="120"/>
        <v>97</v>
      </c>
      <c r="AD132" s="2">
        <f t="shared" si="120"/>
        <v>106</v>
      </c>
      <c r="AE132" s="2">
        <f t="shared" ref="AE132:AX132" si="121">AE23+AE35+AE48+AE55+AE72</f>
        <v>115</v>
      </c>
      <c r="AF132" s="2">
        <f t="shared" si="121"/>
        <v>121</v>
      </c>
      <c r="AG132" s="2">
        <f t="shared" si="121"/>
        <v>135</v>
      </c>
      <c r="AH132" s="2">
        <f t="shared" si="121"/>
        <v>125</v>
      </c>
      <c r="AI132" s="2">
        <f t="shared" si="121"/>
        <v>132</v>
      </c>
      <c r="AJ132" s="2">
        <f t="shared" si="121"/>
        <v>160</v>
      </c>
      <c r="AK132" s="2">
        <f t="shared" si="121"/>
        <v>157</v>
      </c>
      <c r="AL132" s="2">
        <f t="shared" si="121"/>
        <v>167</v>
      </c>
      <c r="AM132" s="2">
        <f t="shared" si="121"/>
        <v>193</v>
      </c>
      <c r="AN132" s="2">
        <f t="shared" si="121"/>
        <v>177</v>
      </c>
      <c r="AO132" s="2">
        <f t="shared" si="121"/>
        <v>183</v>
      </c>
      <c r="AP132" s="2">
        <f t="shared" si="121"/>
        <v>175</v>
      </c>
      <c r="AQ132" s="2">
        <f t="shared" si="121"/>
        <v>198</v>
      </c>
      <c r="AR132" s="2">
        <f t="shared" si="121"/>
        <v>195</v>
      </c>
      <c r="AS132" s="2">
        <f t="shared" si="121"/>
        <v>201</v>
      </c>
      <c r="AT132" s="2">
        <f t="shared" si="121"/>
        <v>205</v>
      </c>
      <c r="AU132" s="2">
        <f t="shared" si="121"/>
        <v>182</v>
      </c>
      <c r="AV132" s="2">
        <f t="shared" si="121"/>
        <v>210</v>
      </c>
      <c r="AW132" s="2">
        <f t="shared" si="121"/>
        <v>213</v>
      </c>
      <c r="AX132" s="2">
        <f t="shared" si="121"/>
        <v>213</v>
      </c>
      <c r="AY132" s="2">
        <f>AY23+AY35+AY48+AY55+AY60+AY72</f>
        <v>275</v>
      </c>
      <c r="AZ132" s="2">
        <f>AZ23+AZ35+AZ48+AZ55+AZ60+AZ72</f>
        <v>311</v>
      </c>
      <c r="BA132" s="2">
        <f>BA23+BA35+BA48+BA55+BA60+BA72</f>
        <v>308</v>
      </c>
      <c r="BB132" s="2">
        <f>BB23+BB35+BB48+BB55+BB60+BB72</f>
        <v>296</v>
      </c>
      <c r="BC132" s="8"/>
    </row>
    <row r="133" spans="1:55" ht="13.5" customHeight="1" x14ac:dyDescent="0.2">
      <c r="A133" s="7"/>
      <c r="B133" s="2"/>
      <c r="C133" s="2" t="s">
        <v>9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>
        <f t="shared" ref="AF133:AY133" si="122">AF49</f>
        <v>0</v>
      </c>
      <c r="AG133" s="2">
        <f t="shared" si="122"/>
        <v>12</v>
      </c>
      <c r="AH133" s="2">
        <f t="shared" si="122"/>
        <v>12</v>
      </c>
      <c r="AI133" s="2">
        <f t="shared" si="122"/>
        <v>11</v>
      </c>
      <c r="AJ133" s="2">
        <f t="shared" si="122"/>
        <v>10</v>
      </c>
      <c r="AK133" s="2">
        <f t="shared" si="122"/>
        <v>9</v>
      </c>
      <c r="AL133" s="2">
        <f t="shared" si="122"/>
        <v>6</v>
      </c>
      <c r="AM133" s="2">
        <f t="shared" si="122"/>
        <v>8</v>
      </c>
      <c r="AN133" s="2">
        <f t="shared" si="122"/>
        <v>5</v>
      </c>
      <c r="AO133" s="2">
        <f t="shared" si="122"/>
        <v>16</v>
      </c>
      <c r="AP133" s="2">
        <f t="shared" si="122"/>
        <v>12</v>
      </c>
      <c r="AQ133" s="2">
        <f t="shared" si="122"/>
        <v>21</v>
      </c>
      <c r="AR133" s="2">
        <f t="shared" si="122"/>
        <v>7</v>
      </c>
      <c r="AS133" s="2">
        <f t="shared" si="122"/>
        <v>6</v>
      </c>
      <c r="AT133" s="2">
        <f t="shared" si="122"/>
        <v>11</v>
      </c>
      <c r="AU133" s="2">
        <f t="shared" si="122"/>
        <v>3</v>
      </c>
      <c r="AV133" s="2">
        <f t="shared" si="122"/>
        <v>5</v>
      </c>
      <c r="AW133" s="2">
        <f t="shared" si="122"/>
        <v>4</v>
      </c>
      <c r="AX133" s="2">
        <f t="shared" si="122"/>
        <v>5</v>
      </c>
      <c r="AY133" s="2">
        <f t="shared" si="122"/>
        <v>7</v>
      </c>
      <c r="AZ133" s="2">
        <f>AZ24+AZ49</f>
        <v>2</v>
      </c>
      <c r="BA133" s="2">
        <f>BA24+BA49</f>
        <v>8</v>
      </c>
      <c r="BB133" s="2">
        <f>BB24+BB49</f>
        <v>12</v>
      </c>
      <c r="BC133" s="8"/>
    </row>
    <row r="134" spans="1:55" ht="13.5" customHeight="1" x14ac:dyDescent="0.2">
      <c r="A134" s="7"/>
      <c r="B134" s="2"/>
      <c r="C134" s="2" t="s">
        <v>5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>
        <f t="shared" ref="W134:AI134" si="123">W50+W56+W73</f>
        <v>24</v>
      </c>
      <c r="X134" s="2">
        <f t="shared" si="123"/>
        <v>16</v>
      </c>
      <c r="Y134" s="2">
        <f t="shared" si="123"/>
        <v>18</v>
      </c>
      <c r="Z134" s="2">
        <f t="shared" si="123"/>
        <v>22</v>
      </c>
      <c r="AA134" s="2">
        <f t="shared" si="123"/>
        <v>17</v>
      </c>
      <c r="AB134" s="2">
        <f t="shared" si="123"/>
        <v>31</v>
      </c>
      <c r="AC134" s="2">
        <f t="shared" si="123"/>
        <v>28</v>
      </c>
      <c r="AD134" s="2">
        <f t="shared" si="123"/>
        <v>38</v>
      </c>
      <c r="AE134" s="2">
        <f t="shared" si="123"/>
        <v>28</v>
      </c>
      <c r="AF134" s="2">
        <f t="shared" si="123"/>
        <v>48</v>
      </c>
      <c r="AG134" s="2">
        <f t="shared" si="123"/>
        <v>35</v>
      </c>
      <c r="AH134" s="2">
        <f t="shared" si="123"/>
        <v>43</v>
      </c>
      <c r="AI134" s="2">
        <f t="shared" si="123"/>
        <v>38</v>
      </c>
      <c r="AJ134" s="2">
        <f t="shared" ref="AJ134:AY134" si="124">AJ25+AJ50+AJ56+AJ73</f>
        <v>38</v>
      </c>
      <c r="AK134" s="2">
        <f t="shared" si="124"/>
        <v>45</v>
      </c>
      <c r="AL134" s="2">
        <f t="shared" si="124"/>
        <v>58</v>
      </c>
      <c r="AM134" s="2">
        <f t="shared" si="124"/>
        <v>64</v>
      </c>
      <c r="AN134" s="2">
        <f t="shared" si="124"/>
        <v>66</v>
      </c>
      <c r="AO134" s="2">
        <f t="shared" si="124"/>
        <v>68</v>
      </c>
      <c r="AP134" s="2">
        <f t="shared" si="124"/>
        <v>70</v>
      </c>
      <c r="AQ134" s="2">
        <f t="shared" si="124"/>
        <v>77</v>
      </c>
      <c r="AR134" s="2">
        <f t="shared" si="124"/>
        <v>62</v>
      </c>
      <c r="AS134" s="2">
        <f t="shared" si="124"/>
        <v>68</v>
      </c>
      <c r="AT134" s="2">
        <f t="shared" si="124"/>
        <v>75</v>
      </c>
      <c r="AU134" s="2">
        <f t="shared" si="124"/>
        <v>62</v>
      </c>
      <c r="AV134" s="2">
        <f t="shared" si="124"/>
        <v>78</v>
      </c>
      <c r="AW134" s="2">
        <f t="shared" si="124"/>
        <v>69</v>
      </c>
      <c r="AX134" s="2">
        <f t="shared" si="124"/>
        <v>58</v>
      </c>
      <c r="AY134" s="2">
        <f t="shared" si="124"/>
        <v>58</v>
      </c>
      <c r="AZ134" s="2">
        <f t="shared" ref="AZ134:BA134" si="125">AZ25+AZ50+AZ56+AZ73</f>
        <v>63</v>
      </c>
      <c r="BA134" s="2">
        <f t="shared" si="125"/>
        <v>63</v>
      </c>
      <c r="BB134" s="2">
        <f t="shared" ref="BB134" si="126">BB25+BB50+BB56+BB73</f>
        <v>83</v>
      </c>
      <c r="BC134" s="8"/>
    </row>
    <row r="135" spans="1:55" ht="13.5" customHeight="1" x14ac:dyDescent="0.2">
      <c r="A135" s="7"/>
      <c r="B135" s="2"/>
      <c r="C135" s="2" t="s">
        <v>7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>
        <f t="shared" ref="W135:AG135" si="127">W51+W74</f>
        <v>2</v>
      </c>
      <c r="X135" s="2">
        <f t="shared" si="127"/>
        <v>7</v>
      </c>
      <c r="Y135" s="2">
        <f t="shared" si="127"/>
        <v>4</v>
      </c>
      <c r="Z135" s="2">
        <f t="shared" si="127"/>
        <v>3</v>
      </c>
      <c r="AA135" s="2">
        <f t="shared" si="127"/>
        <v>4</v>
      </c>
      <c r="AB135" s="2">
        <f t="shared" si="127"/>
        <v>7</v>
      </c>
      <c r="AC135" s="2">
        <f t="shared" si="127"/>
        <v>5</v>
      </c>
      <c r="AD135" s="2">
        <f t="shared" si="127"/>
        <v>4</v>
      </c>
      <c r="AE135" s="2">
        <f t="shared" si="127"/>
        <v>7</v>
      </c>
      <c r="AF135" s="2">
        <f t="shared" si="127"/>
        <v>6</v>
      </c>
      <c r="AG135" s="2">
        <f t="shared" si="127"/>
        <v>13</v>
      </c>
      <c r="AH135" s="2">
        <f t="shared" ref="AH135:AY135" si="128">AH51+AH57+AH74</f>
        <v>10</v>
      </c>
      <c r="AI135" s="2">
        <f t="shared" si="128"/>
        <v>9</v>
      </c>
      <c r="AJ135" s="2">
        <f t="shared" si="128"/>
        <v>12</v>
      </c>
      <c r="AK135" s="2">
        <f t="shared" si="128"/>
        <v>12</v>
      </c>
      <c r="AL135" s="2">
        <f t="shared" si="128"/>
        <v>15</v>
      </c>
      <c r="AM135" s="2">
        <f t="shared" si="128"/>
        <v>7</v>
      </c>
      <c r="AN135" s="2">
        <f t="shared" si="128"/>
        <v>13</v>
      </c>
      <c r="AO135" s="2">
        <f t="shared" si="128"/>
        <v>9</v>
      </c>
      <c r="AP135" s="2">
        <f t="shared" si="128"/>
        <v>12</v>
      </c>
      <c r="AQ135" s="2">
        <f t="shared" si="128"/>
        <v>17</v>
      </c>
      <c r="AR135" s="2">
        <f t="shared" si="128"/>
        <v>13</v>
      </c>
      <c r="AS135" s="2">
        <f t="shared" si="128"/>
        <v>20</v>
      </c>
      <c r="AT135" s="2">
        <f t="shared" si="128"/>
        <v>21</v>
      </c>
      <c r="AU135" s="2">
        <f t="shared" si="128"/>
        <v>11</v>
      </c>
      <c r="AV135" s="2">
        <f t="shared" si="128"/>
        <v>15</v>
      </c>
      <c r="AW135" s="2">
        <f t="shared" si="128"/>
        <v>18</v>
      </c>
      <c r="AX135" s="2">
        <f t="shared" si="128"/>
        <v>15</v>
      </c>
      <c r="AY135" s="2">
        <f t="shared" si="128"/>
        <v>17</v>
      </c>
      <c r="AZ135" s="2">
        <f t="shared" ref="AZ135:BA135" si="129">AZ51+AZ57+AZ74</f>
        <v>8</v>
      </c>
      <c r="BA135" s="2">
        <f t="shared" si="129"/>
        <v>18</v>
      </c>
      <c r="BB135" s="2">
        <f t="shared" ref="BB135" si="130">BB51+BB57+BB74</f>
        <v>20</v>
      </c>
      <c r="BC135" s="8"/>
    </row>
    <row r="136" spans="1:55" ht="13.5" customHeight="1" x14ac:dyDescent="0.2">
      <c r="A136" s="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11">
        <f t="shared" ref="W136:AA136" si="131">SUM(W132:W135)</f>
        <v>116</v>
      </c>
      <c r="X136" s="11">
        <f t="shared" si="131"/>
        <v>119</v>
      </c>
      <c r="Y136" s="11">
        <f t="shared" si="131"/>
        <v>110</v>
      </c>
      <c r="Z136" s="11">
        <f t="shared" si="131"/>
        <v>116</v>
      </c>
      <c r="AA136" s="11">
        <f t="shared" si="131"/>
        <v>111</v>
      </c>
      <c r="AB136" s="11">
        <f t="shared" ref="AB136:AD136" si="132">SUM(AB132:AB135)</f>
        <v>126</v>
      </c>
      <c r="AC136" s="11">
        <f t="shared" si="132"/>
        <v>130</v>
      </c>
      <c r="AD136" s="11">
        <f t="shared" si="132"/>
        <v>148</v>
      </c>
      <c r="AE136" s="11">
        <f t="shared" ref="AE136:AG136" si="133">SUM(AE132:AE135)</f>
        <v>150</v>
      </c>
      <c r="AF136" s="11">
        <f t="shared" si="133"/>
        <v>175</v>
      </c>
      <c r="AG136" s="11">
        <f t="shared" si="133"/>
        <v>195</v>
      </c>
      <c r="AH136" s="11">
        <f t="shared" ref="AH136:AI136" si="134">SUM(AH132:AH135)</f>
        <v>190</v>
      </c>
      <c r="AI136" s="11">
        <f t="shared" si="134"/>
        <v>190</v>
      </c>
      <c r="AJ136" s="11">
        <f t="shared" ref="AJ136" si="135">SUM(AJ132:AJ135)</f>
        <v>220</v>
      </c>
      <c r="AK136" s="11">
        <f t="shared" ref="AK136" si="136">SUM(AK132:AK135)</f>
        <v>223</v>
      </c>
      <c r="AL136" s="11">
        <f t="shared" ref="AL136" si="137">SUM(AL132:AL135)</f>
        <v>246</v>
      </c>
      <c r="AM136" s="11">
        <f t="shared" ref="AM136" si="138">SUM(AM132:AM135)</f>
        <v>272</v>
      </c>
      <c r="AN136" s="11">
        <f t="shared" ref="AN136:AR136" si="139">SUM(AN132:AN135)</f>
        <v>261</v>
      </c>
      <c r="AO136" s="11">
        <f t="shared" si="139"/>
        <v>276</v>
      </c>
      <c r="AP136" s="11">
        <f t="shared" si="139"/>
        <v>269</v>
      </c>
      <c r="AQ136" s="11">
        <f t="shared" si="139"/>
        <v>313</v>
      </c>
      <c r="AR136" s="11">
        <f t="shared" si="139"/>
        <v>277</v>
      </c>
      <c r="AS136" s="11">
        <f>SUM(AS132:AS135)</f>
        <v>295</v>
      </c>
      <c r="AT136" s="11">
        <f t="shared" ref="AT136:AU136" si="140">SUM(AT132:AT135)</f>
        <v>312</v>
      </c>
      <c r="AU136" s="11">
        <f t="shared" si="140"/>
        <v>258</v>
      </c>
      <c r="AV136" s="11">
        <f>SUM(AV132:AV135)</f>
        <v>308</v>
      </c>
      <c r="AW136" s="11">
        <f t="shared" ref="AW136:BB136" si="141">SUM(AW131:AW135)</f>
        <v>306</v>
      </c>
      <c r="AX136" s="11">
        <f t="shared" si="141"/>
        <v>298</v>
      </c>
      <c r="AY136" s="11">
        <f t="shared" si="141"/>
        <v>364</v>
      </c>
      <c r="AZ136" s="11">
        <f t="shared" si="141"/>
        <v>393</v>
      </c>
      <c r="BA136" s="11">
        <f t="shared" si="141"/>
        <v>417</v>
      </c>
      <c r="BB136" s="11">
        <f t="shared" si="141"/>
        <v>428</v>
      </c>
      <c r="BC136" s="8"/>
    </row>
    <row r="137" spans="1:55" ht="13.5" customHeight="1" x14ac:dyDescent="0.2">
      <c r="A137" s="7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23"/>
      <c r="AO137" s="4"/>
      <c r="AP137" s="23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8"/>
    </row>
    <row r="138" spans="1:55" ht="13.5" customHeight="1" x14ac:dyDescent="0.2">
      <c r="A138" s="7"/>
      <c r="B138" s="40" t="s">
        <v>115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8"/>
    </row>
    <row r="139" spans="1:55" ht="13.5" customHeight="1" x14ac:dyDescent="0.2">
      <c r="A139" s="7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8"/>
    </row>
    <row r="140" spans="1:55" ht="13.5" customHeight="1" x14ac:dyDescent="0.2">
      <c r="A140" s="7"/>
      <c r="B140" s="43" t="s">
        <v>116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8"/>
    </row>
    <row r="141" spans="1:55" ht="13.5" customHeight="1" x14ac:dyDescent="0.2">
      <c r="A141" s="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3"/>
      <c r="AO141" s="2"/>
      <c r="AP141" s="3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8"/>
    </row>
    <row r="142" spans="1:55" ht="13.5" customHeight="1" x14ac:dyDescent="0.2">
      <c r="A142" s="7"/>
      <c r="B142" s="2" t="s">
        <v>96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3"/>
      <c r="AO142" s="2"/>
      <c r="AP142" s="3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8"/>
    </row>
    <row r="143" spans="1:55" ht="13.5" customHeight="1" x14ac:dyDescent="0.2">
      <c r="A143" s="7"/>
      <c r="B143" s="2" t="s">
        <v>95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3"/>
      <c r="AO143" s="2"/>
      <c r="AP143" s="3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8"/>
    </row>
    <row r="144" spans="1:55" ht="13.5" customHeight="1" x14ac:dyDescent="0.2">
      <c r="A144" s="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3"/>
      <c r="AO144" s="2"/>
      <c r="AP144" s="3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8"/>
    </row>
    <row r="145" spans="1:55" ht="13.5" customHeight="1" x14ac:dyDescent="0.2">
      <c r="A145" s="7"/>
      <c r="B145" s="2" t="s">
        <v>101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3"/>
      <c r="AO145" s="2"/>
      <c r="AP145" s="3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8"/>
    </row>
    <row r="146" spans="1:55" ht="13.5" customHeight="1" x14ac:dyDescent="0.2">
      <c r="A146" s="7"/>
      <c r="B146" s="2" t="s">
        <v>100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3"/>
      <c r="AO146" s="2"/>
      <c r="AP146" s="3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8"/>
    </row>
    <row r="147" spans="1:55" ht="13.5" customHeight="1" x14ac:dyDescent="0.2">
      <c r="A147" s="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3"/>
      <c r="AO147" s="2"/>
      <c r="AP147" s="3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8"/>
    </row>
    <row r="148" spans="1:55" ht="13.5" customHeight="1" x14ac:dyDescent="0.2">
      <c r="A148" s="12"/>
      <c r="B148" s="38" t="s">
        <v>31</v>
      </c>
      <c r="C148" s="39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31"/>
      <c r="AY148" s="16"/>
      <c r="AZ148" s="16"/>
      <c r="BA148" s="16"/>
      <c r="BB148" s="16" t="s">
        <v>117</v>
      </c>
      <c r="BC148" s="13"/>
    </row>
  </sheetData>
  <mergeCells count="4">
    <mergeCell ref="A2:BC2"/>
    <mergeCell ref="B148:C148"/>
    <mergeCell ref="B138:BB139"/>
    <mergeCell ref="B140:BB140"/>
  </mergeCells>
  <hyperlinks>
    <hyperlink ref="B148:C148" r:id="rId1" display="Source: IPEDS C, Completions Survey"/>
    <hyperlink ref="B140" r:id="rId2"/>
    <hyperlink ref="B140:BB140" r:id="rId3" display="https://dhe.mo.gov/documents/performancefunding2018.pdf"/>
  </hyperlinks>
  <printOptions horizontalCentered="1"/>
  <pageMargins left="0.7" right="0.45" top="0.5" bottom="0.25" header="0.3" footer="0.3"/>
  <pageSetup orientation="portrait" r:id="rId4"/>
  <rowBreaks count="2" manualBreakCount="2">
    <brk id="52" max="16383" man="1"/>
    <brk id="113" max="16383" man="1"/>
  </rowBreaks>
  <ignoredErrors>
    <ignoredError sqref="AW132 AY131 BA1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UM System</vt:lpstr>
      <vt:lpstr>MU</vt:lpstr>
      <vt:lpstr>UMKC</vt:lpstr>
      <vt:lpstr>S&amp;T</vt:lpstr>
      <vt:lpstr>UMSL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2018-08-08T13:59:35Z</cp:lastPrinted>
  <dcterms:created xsi:type="dcterms:W3CDTF">2013-09-16T18:44:56Z</dcterms:created>
  <dcterms:modified xsi:type="dcterms:W3CDTF">2018-09-11T13:19:35Z</dcterms:modified>
</cp:coreProperties>
</file>