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45" windowHeight="6855" tabRatio="601" activeTab="0"/>
  </bookViews>
  <sheets>
    <sheet name="AAUP 13_14" sheetId="1" r:id="rId1"/>
    <sheet name="AAUP 12_13" sheetId="2" r:id="rId2"/>
    <sheet name="AAUP 11_12" sheetId="3" r:id="rId3"/>
    <sheet name="AAUP 10_11" sheetId="4" r:id="rId4"/>
    <sheet name="AAUP 09_10" sheetId="5" r:id="rId5"/>
    <sheet name="AAUP 08_09" sheetId="6" r:id="rId6"/>
    <sheet name="AAUP 07_08" sheetId="7" r:id="rId7"/>
  </sheets>
  <definedNames>
    <definedName name="_Order1" hidden="1">255</definedName>
    <definedName name="_Order2" hidden="1">0</definedName>
    <definedName name="_xlnm.Print_Area" localSheetId="6">'AAUP 07_08'!$A$1:$J$43</definedName>
    <definedName name="_xlnm.Print_Area" localSheetId="5">'AAUP 08_09'!$A$1:$J$43</definedName>
    <definedName name="_xlnm.Print_Area" localSheetId="4">'AAUP 09_10'!$A$1:$J$43</definedName>
    <definedName name="_xlnm.Print_Area" localSheetId="3">'AAUP 10_11'!$A$1:$J$43</definedName>
    <definedName name="_xlnm.Print_Area" localSheetId="2">'AAUP 11_12'!$A$1:$J$43</definedName>
    <definedName name="_xlnm.Print_Area" localSheetId="1">'AAUP 12_13'!$A$1:$J$43</definedName>
    <definedName name="_xlnm.Print_Area" localSheetId="0">'AAUP 13_14'!$A$1:$J$43</definedName>
  </definedNames>
  <calcPr fullCalcOnLoad="1"/>
</workbook>
</file>

<file path=xl/sharedStrings.xml><?xml version="1.0" encoding="utf-8"?>
<sst xmlns="http://schemas.openxmlformats.org/spreadsheetml/2006/main" count="400" uniqueCount="58">
  <si>
    <t>Annual</t>
  </si>
  <si>
    <t>PR</t>
  </si>
  <si>
    <t>AO</t>
  </si>
  <si>
    <t>AI</t>
  </si>
  <si>
    <t>IN</t>
  </si>
  <si>
    <t>Missouri, University of -- Columbia</t>
  </si>
  <si>
    <t>Pittsburgh, University of</t>
  </si>
  <si>
    <t>Missouri, University of -- Kansas City</t>
  </si>
  <si>
    <t>Missouri, University of -- Rolla</t>
  </si>
  <si>
    <t>Missouri, University of -- St. Louis</t>
  </si>
  <si>
    <t>All Ranks</t>
  </si>
  <si>
    <t>Mean Salary by Rank (1,000's $)</t>
  </si>
  <si>
    <t>Number of Faculty</t>
  </si>
  <si>
    <t>Salary</t>
  </si>
  <si>
    <t xml:space="preserve">Change </t>
  </si>
  <si>
    <t>AR</t>
  </si>
  <si>
    <t>University of Missouri</t>
  </si>
  <si>
    <r>
      <t xml:space="preserve">Source: </t>
    </r>
    <r>
      <rPr>
        <sz val="12"/>
        <rFont val="Times New Roman"/>
        <family val="1"/>
      </rPr>
      <t>AAUP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faculty salary surveys</t>
    </r>
  </si>
  <si>
    <t>Faculty</t>
  </si>
  <si>
    <t>P&amp;B 8/08</t>
  </si>
  <si>
    <t>Missouri University of Science &amp; Technology</t>
  </si>
  <si>
    <t>IR&amp;P 4/09</t>
  </si>
  <si>
    <t>IR&amp;P 4/10</t>
  </si>
  <si>
    <t>Alabama, University of -- Birmingham</t>
  </si>
  <si>
    <t>Wisconsin, University of -- Milwaukee</t>
  </si>
  <si>
    <t>Cincinnati, University of</t>
  </si>
  <si>
    <t>Cleveland State University</t>
  </si>
  <si>
    <t>Georgia State University</t>
  </si>
  <si>
    <t>Houston, University of</t>
  </si>
  <si>
    <t>Illinois, University of -- Chicago</t>
  </si>
  <si>
    <t>Indiana Univ.-Purdue Univ. -- Indianapolis</t>
  </si>
  <si>
    <t>Massachusetts, University of -- Boston</t>
  </si>
  <si>
    <t>Memphis, University of</t>
  </si>
  <si>
    <t>New Orleans, University of</t>
  </si>
  <si>
    <t>Portland State University</t>
  </si>
  <si>
    <t>Temple University</t>
  </si>
  <si>
    <t>Toledo, University of</t>
  </si>
  <si>
    <t>Virginia Commonwealth University</t>
  </si>
  <si>
    <t>Table 3.33</t>
  </si>
  <si>
    <t>Wayne State University</t>
  </si>
  <si>
    <t>Florida International University</t>
  </si>
  <si>
    <t>Average Faculty Salaries at Public Urban 21 Institutions  (2007-2008)</t>
  </si>
  <si>
    <t>Weighted average with UMKC &amp; UMSL</t>
  </si>
  <si>
    <t>Weighted average without UMKC &amp; UMSL</t>
  </si>
  <si>
    <t>City University of New York, City College</t>
  </si>
  <si>
    <t>N/A</t>
  </si>
  <si>
    <t>Required to Reach Mean w/o UMKC &amp; UMSL</t>
  </si>
  <si>
    <t>Average Faculty Salaries at Public Urban 21 Institutions  (2008-2009)</t>
  </si>
  <si>
    <t>Average Faculty Salaries at Public Urban 21 Institutions  (2009-2010)</t>
  </si>
  <si>
    <t>Average Faculty Salaries at Public Urban 21 Institutions  (2010-2011)</t>
  </si>
  <si>
    <t>IR&amp;P 4/11</t>
  </si>
  <si>
    <t>Average Faculty Salaries at Public Urban 21 Institutions  (2011-2012)</t>
  </si>
  <si>
    <t>City University of New York, City College (not currently available)</t>
  </si>
  <si>
    <t>Average Faculty Salaries at Public Urban 21 Institutions  (2012-2013)</t>
  </si>
  <si>
    <t>IR&amp;P 4/13</t>
  </si>
  <si>
    <t>IR&amp;P 8/12</t>
  </si>
  <si>
    <t>Average Faculty Salaries at Public Urban 21 Institutions  (2013-2014)</t>
  </si>
  <si>
    <t>IR&amp;P 5/14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</si>
</sst>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#,##0.0_);\(#,##0.0\)"/>
    <numFmt numFmtId="167" formatCode="#,##0.0"/>
    <numFmt numFmtId="168" formatCode="0.0"/>
    <numFmt numFmtId="169" formatCode="#,##0.000_);\(#,##0.000\)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1">
    <font>
      <sz val="12"/>
      <name val="Times New Roman"/>
      <family val="0"/>
    </font>
    <font>
      <sz val="11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0" xfId="0" applyNumberFormat="1" applyFont="1" applyBorder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centerContinuous"/>
      <protection/>
    </xf>
    <xf numFmtId="168" fontId="2" fillId="0" borderId="11" xfId="0" applyNumberFormat="1" applyFont="1" applyBorder="1" applyAlignment="1" applyProtection="1">
      <alignment horizontal="right"/>
      <protection/>
    </xf>
    <xf numFmtId="168" fontId="2" fillId="0" borderId="11" xfId="0" applyNumberFormat="1" applyFont="1" applyBorder="1" applyAlignment="1" applyProtection="1">
      <alignment/>
      <protection/>
    </xf>
    <xf numFmtId="168" fontId="0" fillId="0" borderId="11" xfId="0" applyNumberFormat="1" applyFont="1" applyBorder="1" applyAlignment="1" applyProtection="1">
      <alignment/>
      <protection/>
    </xf>
    <xf numFmtId="168" fontId="0" fillId="0" borderId="17" xfId="0" applyNumberFormat="1" applyFont="1" applyBorder="1" applyAlignment="1" applyProtection="1">
      <alignment/>
      <protection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>
      <alignment/>
    </xf>
    <xf numFmtId="167" fontId="0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16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167" fontId="0" fillId="0" borderId="17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37" fontId="4" fillId="0" borderId="12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centerContinuous"/>
    </xf>
    <xf numFmtId="167" fontId="2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17" xfId="0" applyNumberFormat="1" applyFont="1" applyBorder="1" applyAlignment="1">
      <alignment/>
    </xf>
    <xf numFmtId="167" fontId="0" fillId="0" borderId="17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68" fontId="0" fillId="0" borderId="0" xfId="0" applyNumberFormat="1" applyFont="1" applyFill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16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0" fillId="0" borderId="13" xfId="0" applyFont="1" applyFill="1" applyBorder="1" applyAlignment="1">
      <alignment horizontal="right"/>
    </xf>
    <xf numFmtId="168" fontId="0" fillId="0" borderId="10" xfId="0" applyNumberFormat="1" applyFont="1" applyFill="1" applyBorder="1" applyAlignment="1" applyProtection="1">
      <alignment/>
      <protection/>
    </xf>
    <xf numFmtId="168" fontId="2" fillId="0" borderId="11" xfId="0" applyNumberFormat="1" applyFont="1" applyFill="1" applyBorder="1" applyAlignment="1" applyProtection="1">
      <alignment horizontal="centerContinuous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11" xfId="0" applyNumberFormat="1" applyFont="1" applyFill="1" applyBorder="1" applyAlignment="1" applyProtection="1">
      <alignment horizontal="right"/>
      <protection/>
    </xf>
    <xf numFmtId="168" fontId="4" fillId="0" borderId="0" xfId="0" applyNumberFormat="1" applyFont="1" applyFill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168" fontId="0" fillId="0" borderId="17" xfId="0" applyNumberFormat="1" applyFont="1" applyFill="1" applyBorder="1" applyAlignment="1" applyProtection="1">
      <alignment/>
      <protection/>
    </xf>
    <xf numFmtId="168" fontId="0" fillId="0" borderId="0" xfId="0" applyNumberFormat="1" applyFont="1" applyFill="1" applyAlignment="1">
      <alignment/>
    </xf>
    <xf numFmtId="3" fontId="0" fillId="0" borderId="0" xfId="0" applyNumberFormat="1" applyFont="1" applyAlignment="1" applyProtection="1">
      <alignment/>
      <protection/>
    </xf>
    <xf numFmtId="167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Font="1" applyFill="1" applyAlignment="1" applyProtection="1">
      <alignment/>
      <protection/>
    </xf>
    <xf numFmtId="167" fontId="0" fillId="0" borderId="17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0" fontId="0" fillId="0" borderId="17" xfId="0" applyBorder="1" applyAlignment="1">
      <alignment/>
    </xf>
    <xf numFmtId="168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168" fontId="0" fillId="0" borderId="11" xfId="0" applyNumberFormat="1" applyFont="1" applyBorder="1" applyAlignment="1" applyProtection="1">
      <alignment/>
      <protection/>
    </xf>
    <xf numFmtId="168" fontId="0" fillId="0" borderId="17" xfId="0" applyNumberFormat="1" applyFont="1" applyFill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168" fontId="0" fillId="0" borderId="0" xfId="0" applyNumberFormat="1" applyFont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168" fontId="0" fillId="0" borderId="11" xfId="0" applyNumberFormat="1" applyFont="1" applyBorder="1" applyAlignment="1" applyProtection="1">
      <alignment/>
      <protection/>
    </xf>
    <xf numFmtId="168" fontId="0" fillId="0" borderId="17" xfId="0" applyNumberFormat="1" applyFont="1" applyFill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="75" zoomScaleNormal="75" zoomScalePageLayoutView="0" workbookViewId="0" topLeftCell="A1">
      <selection activeCell="B1" sqref="B1:I1"/>
    </sheetView>
  </sheetViews>
  <sheetFormatPr defaultColWidth="9.00390625" defaultRowHeight="15.75"/>
  <cols>
    <col min="1" max="1" width="2.625" style="15" customWidth="1"/>
    <col min="2" max="2" width="42.75390625" style="15" customWidth="1"/>
    <col min="3" max="6" width="11.375" style="40" customWidth="1"/>
    <col min="7" max="7" width="2.625" style="40" customWidth="1"/>
    <col min="8" max="8" width="11.375" style="90" customWidth="1"/>
    <col min="9" max="9" width="9.125" style="15" customWidth="1"/>
    <col min="10" max="11" width="2.625" style="15" customWidth="1"/>
    <col min="12" max="16" width="9.125" style="15" bestFit="1" customWidth="1"/>
    <col min="17" max="17" width="2.625" style="15" customWidth="1"/>
    <col min="18" max="18" width="11.375" style="42" bestFit="1" customWidth="1"/>
    <col min="19" max="19" width="9.75390625" style="15" customWidth="1"/>
    <col min="20" max="20" width="9.75390625" style="15" bestFit="1" customWidth="1"/>
    <col min="21" max="21" width="9.125" style="15" bestFit="1" customWidth="1"/>
    <col min="22" max="22" width="11.375" style="15" bestFit="1" customWidth="1"/>
    <col min="23" max="16384" width="9.00390625" style="15" customWidth="1"/>
  </cols>
  <sheetData>
    <row r="1" spans="1:11" ht="15.75">
      <c r="A1" s="13"/>
      <c r="B1" s="113" t="s">
        <v>38</v>
      </c>
      <c r="C1" s="113"/>
      <c r="D1" s="113"/>
      <c r="E1" s="113"/>
      <c r="F1" s="113"/>
      <c r="G1" s="113"/>
      <c r="H1" s="113"/>
      <c r="I1" s="113"/>
      <c r="J1" s="14"/>
      <c r="K1" s="31"/>
    </row>
    <row r="2" spans="1:11" ht="15.75">
      <c r="A2" s="17"/>
      <c r="B2" s="114" t="s">
        <v>56</v>
      </c>
      <c r="C2" s="114"/>
      <c r="D2" s="114"/>
      <c r="E2" s="114"/>
      <c r="F2" s="114"/>
      <c r="G2" s="114"/>
      <c r="H2" s="114"/>
      <c r="I2" s="114"/>
      <c r="J2" s="18"/>
      <c r="K2" s="31"/>
    </row>
    <row r="3" spans="1:22" ht="16.5" thickBot="1">
      <c r="A3" s="17"/>
      <c r="B3" s="2"/>
      <c r="C3" s="32"/>
      <c r="D3" s="32"/>
      <c r="E3" s="32"/>
      <c r="F3" s="32"/>
      <c r="G3" s="32"/>
      <c r="H3" s="83"/>
      <c r="I3" s="19"/>
      <c r="J3" s="18"/>
      <c r="K3" s="31"/>
      <c r="L3" s="19"/>
      <c r="M3" s="19"/>
      <c r="N3" s="19"/>
      <c r="O3" s="19"/>
      <c r="P3" s="19"/>
      <c r="Q3" s="19"/>
      <c r="R3" s="43"/>
      <c r="S3" s="19"/>
      <c r="T3" s="19"/>
      <c r="U3" s="19"/>
      <c r="V3" s="19"/>
    </row>
    <row r="4" spans="1:11" ht="16.5" thickTop="1">
      <c r="A4" s="17"/>
      <c r="B4" s="1"/>
      <c r="C4" s="33"/>
      <c r="D4" s="33"/>
      <c r="E4" s="33"/>
      <c r="F4" s="33"/>
      <c r="G4" s="33"/>
      <c r="H4" s="71"/>
      <c r="J4" s="18"/>
      <c r="K4" s="31"/>
    </row>
    <row r="5" spans="1:22" ht="15.75">
      <c r="A5" s="11"/>
      <c r="B5" s="1"/>
      <c r="C5" s="34"/>
      <c r="D5" s="34"/>
      <c r="E5" s="34"/>
      <c r="F5" s="34"/>
      <c r="G5" s="34"/>
      <c r="H5" s="84" t="s">
        <v>10</v>
      </c>
      <c r="I5" s="3"/>
      <c r="J5" s="10"/>
      <c r="K5" s="48"/>
      <c r="L5" s="1"/>
      <c r="M5" s="1"/>
      <c r="N5" s="1"/>
      <c r="O5" s="1"/>
      <c r="P5" s="1"/>
      <c r="Q5" s="1"/>
      <c r="R5" s="44"/>
      <c r="S5" s="1"/>
      <c r="T5" s="1"/>
      <c r="U5" s="1"/>
      <c r="V5" s="1"/>
    </row>
    <row r="6" spans="1:22" ht="15.75">
      <c r="A6" s="11"/>
      <c r="B6" s="1"/>
      <c r="C6" s="35" t="s">
        <v>11</v>
      </c>
      <c r="D6" s="35"/>
      <c r="E6" s="35"/>
      <c r="F6" s="35"/>
      <c r="G6" s="35"/>
      <c r="H6" s="85"/>
      <c r="I6" s="7" t="s">
        <v>0</v>
      </c>
      <c r="J6" s="10"/>
      <c r="K6" s="48"/>
      <c r="L6" s="3" t="s">
        <v>12</v>
      </c>
      <c r="M6" s="3"/>
      <c r="N6" s="3"/>
      <c r="O6" s="3"/>
      <c r="P6" s="3"/>
      <c r="Q6" s="4"/>
      <c r="R6" s="45"/>
      <c r="S6" s="4"/>
      <c r="T6" s="4"/>
      <c r="U6" s="4"/>
      <c r="V6" s="4"/>
    </row>
    <row r="7" spans="1:22" ht="15.75">
      <c r="A7" s="11"/>
      <c r="B7" s="5"/>
      <c r="C7" s="36" t="s">
        <v>1</v>
      </c>
      <c r="D7" s="36" t="s">
        <v>2</v>
      </c>
      <c r="E7" s="36" t="s">
        <v>3</v>
      </c>
      <c r="F7" s="36" t="s">
        <v>4</v>
      </c>
      <c r="G7" s="37"/>
      <c r="H7" s="86" t="s">
        <v>13</v>
      </c>
      <c r="I7" s="8" t="s">
        <v>14</v>
      </c>
      <c r="J7" s="10"/>
      <c r="K7" s="48"/>
      <c r="L7" s="8" t="s">
        <v>1</v>
      </c>
      <c r="M7" s="8" t="s">
        <v>2</v>
      </c>
      <c r="N7" s="8" t="s">
        <v>3</v>
      </c>
      <c r="O7" s="8" t="s">
        <v>4</v>
      </c>
      <c r="P7" s="9" t="s">
        <v>15</v>
      </c>
      <c r="Q7" s="48"/>
      <c r="R7" s="8" t="s">
        <v>1</v>
      </c>
      <c r="S7" s="8" t="s">
        <v>2</v>
      </c>
      <c r="T7" s="8" t="s">
        <v>3</v>
      </c>
      <c r="U7" s="8" t="s">
        <v>4</v>
      </c>
      <c r="V7" s="9" t="s">
        <v>15</v>
      </c>
    </row>
    <row r="8" spans="1:22" ht="15.75">
      <c r="A8" s="17"/>
      <c r="B8" s="1" t="s">
        <v>23</v>
      </c>
      <c r="C8" s="33">
        <v>130.9</v>
      </c>
      <c r="D8" s="33">
        <v>87.4</v>
      </c>
      <c r="E8" s="33">
        <v>75.1</v>
      </c>
      <c r="F8" s="33">
        <v>62.9</v>
      </c>
      <c r="G8" s="33"/>
      <c r="H8" s="71">
        <v>89.7</v>
      </c>
      <c r="I8" s="22">
        <f>(+H8)/'AAUP 12_13'!H8-1</f>
        <v>0.006734006734006925</v>
      </c>
      <c r="J8" s="23"/>
      <c r="K8" s="49"/>
      <c r="L8" s="20">
        <f>111+43</f>
        <v>154</v>
      </c>
      <c r="M8" s="20">
        <f>117+93</f>
        <v>210</v>
      </c>
      <c r="N8" s="20">
        <f>112+130</f>
        <v>242</v>
      </c>
      <c r="O8" s="20">
        <f>28+58</f>
        <v>86</v>
      </c>
      <c r="P8" s="20">
        <f aca="true" t="shared" si="0" ref="P8:P28">SUM(L8:O8)</f>
        <v>692</v>
      </c>
      <c r="Q8" s="20"/>
      <c r="R8" s="46">
        <f aca="true" t="shared" si="1" ref="R8:U28">C8*L8</f>
        <v>20158.600000000002</v>
      </c>
      <c r="S8" s="46">
        <f t="shared" si="1"/>
        <v>18354</v>
      </c>
      <c r="T8" s="46">
        <f t="shared" si="1"/>
        <v>18174.199999999997</v>
      </c>
      <c r="U8" s="46">
        <f t="shared" si="1"/>
        <v>5409.4</v>
      </c>
      <c r="V8" s="46">
        <f aca="true" t="shared" si="2" ref="V8:V28">H8*P8</f>
        <v>62072.4</v>
      </c>
    </row>
    <row r="9" spans="1:22" ht="15.75">
      <c r="A9" s="17"/>
      <c r="B9" s="1" t="s">
        <v>25</v>
      </c>
      <c r="C9" s="33">
        <v>111</v>
      </c>
      <c r="D9" s="33">
        <v>78.7</v>
      </c>
      <c r="E9" s="33">
        <v>63.8</v>
      </c>
      <c r="F9" s="33">
        <v>47.5</v>
      </c>
      <c r="G9" s="33"/>
      <c r="H9" s="71">
        <v>85.3</v>
      </c>
      <c r="I9" s="22">
        <f>(+H9)/'AAUP 12_13'!H9-1</f>
        <v>-0.002339181286549752</v>
      </c>
      <c r="J9" s="23"/>
      <c r="K9" s="49"/>
      <c r="L9" s="20">
        <f>303+118</f>
        <v>421</v>
      </c>
      <c r="M9" s="20">
        <f>202+195</f>
        <v>397</v>
      </c>
      <c r="N9" s="20">
        <f>162+179</f>
        <v>341</v>
      </c>
      <c r="O9" s="20">
        <f>7+16</f>
        <v>23</v>
      </c>
      <c r="P9" s="20">
        <f t="shared" si="0"/>
        <v>1182</v>
      </c>
      <c r="Q9" s="20"/>
      <c r="R9" s="46">
        <f t="shared" si="1"/>
        <v>46731</v>
      </c>
      <c r="S9" s="46">
        <f t="shared" si="1"/>
        <v>31243.9</v>
      </c>
      <c r="T9" s="46">
        <f t="shared" si="1"/>
        <v>21755.8</v>
      </c>
      <c r="U9" s="46">
        <f t="shared" si="1"/>
        <v>1092.5</v>
      </c>
      <c r="V9" s="46">
        <f t="shared" si="2"/>
        <v>100824.59999999999</v>
      </c>
    </row>
    <row r="10" spans="1:22" ht="15.75">
      <c r="A10" s="17"/>
      <c r="B10" s="1" t="s">
        <v>26</v>
      </c>
      <c r="C10" s="33">
        <v>100.1</v>
      </c>
      <c r="D10" s="33">
        <v>75</v>
      </c>
      <c r="E10" s="33">
        <v>70.8</v>
      </c>
      <c r="F10" s="33"/>
      <c r="G10" s="33"/>
      <c r="H10" s="71">
        <v>78</v>
      </c>
      <c r="I10" s="22">
        <f>(+H10)/'AAUP 12_13'!H10-1</f>
        <v>0.016949152542372836</v>
      </c>
      <c r="J10" s="23"/>
      <c r="K10" s="49"/>
      <c r="L10" s="20">
        <f>94+41</f>
        <v>135</v>
      </c>
      <c r="M10" s="20">
        <f>116+82</f>
        <v>198</v>
      </c>
      <c r="N10" s="20">
        <f>43+39</f>
        <v>82</v>
      </c>
      <c r="O10" s="20">
        <f>1+1</f>
        <v>2</v>
      </c>
      <c r="P10" s="20">
        <f t="shared" si="0"/>
        <v>417</v>
      </c>
      <c r="Q10" s="20"/>
      <c r="R10" s="46">
        <f t="shared" si="1"/>
        <v>13513.5</v>
      </c>
      <c r="S10" s="46">
        <f t="shared" si="1"/>
        <v>14850</v>
      </c>
      <c r="T10" s="46">
        <f t="shared" si="1"/>
        <v>5805.599999999999</v>
      </c>
      <c r="U10" s="46">
        <f t="shared" si="1"/>
        <v>0</v>
      </c>
      <c r="V10" s="46">
        <f t="shared" si="2"/>
        <v>32526</v>
      </c>
    </row>
    <row r="11" spans="1:22" ht="15.75">
      <c r="A11" s="17"/>
      <c r="B11" s="1" t="s">
        <v>52</v>
      </c>
      <c r="C11" s="33"/>
      <c r="D11" s="33"/>
      <c r="E11" s="33"/>
      <c r="F11" s="33"/>
      <c r="G11" s="33"/>
      <c r="H11" s="71"/>
      <c r="I11" s="22"/>
      <c r="J11" s="23"/>
      <c r="K11" s="49"/>
      <c r="L11" s="20"/>
      <c r="M11" s="20"/>
      <c r="N11" s="20"/>
      <c r="O11" s="20"/>
      <c r="P11" s="20">
        <f t="shared" si="0"/>
        <v>0</v>
      </c>
      <c r="Q11" s="20"/>
      <c r="R11" s="46">
        <f t="shared" si="1"/>
        <v>0</v>
      </c>
      <c r="S11" s="46">
        <f t="shared" si="1"/>
        <v>0</v>
      </c>
      <c r="T11" s="46">
        <f t="shared" si="1"/>
        <v>0</v>
      </c>
      <c r="U11" s="46">
        <f t="shared" si="1"/>
        <v>0</v>
      </c>
      <c r="V11" s="46">
        <f t="shared" si="2"/>
        <v>0</v>
      </c>
    </row>
    <row r="12" spans="1:22" ht="15.75">
      <c r="A12" s="17"/>
      <c r="B12" s="1" t="s">
        <v>40</v>
      </c>
      <c r="C12" s="33">
        <v>120.2</v>
      </c>
      <c r="D12" s="33">
        <v>90.3</v>
      </c>
      <c r="E12" s="33">
        <v>81.4</v>
      </c>
      <c r="F12" s="33">
        <v>59</v>
      </c>
      <c r="G12" s="33"/>
      <c r="H12" s="71">
        <v>87.5</v>
      </c>
      <c r="I12" s="22">
        <f>(+H12)/'AAUP 12_13'!H12-1</f>
        <v>0.03795966785290639</v>
      </c>
      <c r="J12" s="23"/>
      <c r="K12" s="49"/>
      <c r="L12" s="20">
        <f>185+62</f>
        <v>247</v>
      </c>
      <c r="M12" s="20">
        <f>166+104</f>
        <v>270</v>
      </c>
      <c r="N12" s="20">
        <f>146+150</f>
        <v>296</v>
      </c>
      <c r="O12" s="20">
        <f>107+109</f>
        <v>216</v>
      </c>
      <c r="P12" s="20">
        <f t="shared" si="0"/>
        <v>1029</v>
      </c>
      <c r="Q12" s="20"/>
      <c r="R12" s="46">
        <f t="shared" si="1"/>
        <v>29689.4</v>
      </c>
      <c r="S12" s="46">
        <f t="shared" si="1"/>
        <v>24381</v>
      </c>
      <c r="T12" s="46">
        <f t="shared" si="1"/>
        <v>24094.4</v>
      </c>
      <c r="U12" s="46">
        <f t="shared" si="1"/>
        <v>12744</v>
      </c>
      <c r="V12" s="46">
        <f t="shared" si="2"/>
        <v>90037.5</v>
      </c>
    </row>
    <row r="13" spans="1:22" s="16" customFormat="1" ht="15.75">
      <c r="A13" s="24"/>
      <c r="B13" s="1" t="s">
        <v>27</v>
      </c>
      <c r="C13" s="33">
        <v>120.7</v>
      </c>
      <c r="D13" s="33">
        <v>79.1</v>
      </c>
      <c r="E13" s="33">
        <v>75</v>
      </c>
      <c r="F13" s="33">
        <v>47.1</v>
      </c>
      <c r="G13" s="33"/>
      <c r="H13" s="71">
        <v>80.7</v>
      </c>
      <c r="I13" s="22">
        <f>(+H13)/'AAUP 12_13'!H13-1</f>
        <v>0.015094339622641506</v>
      </c>
      <c r="J13" s="25"/>
      <c r="K13" s="50"/>
      <c r="L13" s="20">
        <f>184+83</f>
        <v>267</v>
      </c>
      <c r="M13" s="20">
        <f>175+159</f>
        <v>334</v>
      </c>
      <c r="N13" s="20">
        <f>156+193</f>
        <v>349</v>
      </c>
      <c r="O13" s="21">
        <f>20+41</f>
        <v>61</v>
      </c>
      <c r="P13" s="20">
        <f t="shared" si="0"/>
        <v>1011</v>
      </c>
      <c r="Q13" s="21"/>
      <c r="R13" s="46">
        <f t="shared" si="1"/>
        <v>32226.9</v>
      </c>
      <c r="S13" s="46">
        <f t="shared" si="1"/>
        <v>26419.399999999998</v>
      </c>
      <c r="T13" s="46">
        <f t="shared" si="1"/>
        <v>26175</v>
      </c>
      <c r="U13" s="46">
        <f t="shared" si="1"/>
        <v>2873.1</v>
      </c>
      <c r="V13" s="46">
        <f t="shared" si="2"/>
        <v>81587.7</v>
      </c>
    </row>
    <row r="14" spans="1:22" ht="15.75">
      <c r="A14" s="17"/>
      <c r="B14" s="1" t="s">
        <v>28</v>
      </c>
      <c r="C14" s="33">
        <v>138.3</v>
      </c>
      <c r="D14" s="33">
        <v>92.8</v>
      </c>
      <c r="E14" s="33">
        <v>89.2</v>
      </c>
      <c r="F14" s="33"/>
      <c r="G14" s="33"/>
      <c r="H14" s="71">
        <v>95</v>
      </c>
      <c r="I14" s="22">
        <f>(+H14)/'AAUP 12_13'!H14-1</f>
        <v>0.03373231773667018</v>
      </c>
      <c r="J14" s="23"/>
      <c r="K14" s="49"/>
      <c r="L14" s="20">
        <f>322+69</f>
        <v>391</v>
      </c>
      <c r="M14" s="20">
        <f>196+110</f>
        <v>306</v>
      </c>
      <c r="N14" s="20">
        <f>124+101</f>
        <v>225</v>
      </c>
      <c r="O14" s="20"/>
      <c r="P14" s="20">
        <f t="shared" si="0"/>
        <v>922</v>
      </c>
      <c r="Q14" s="20"/>
      <c r="R14" s="46">
        <f t="shared" si="1"/>
        <v>54075.3</v>
      </c>
      <c r="S14" s="46">
        <f t="shared" si="1"/>
        <v>28396.8</v>
      </c>
      <c r="T14" s="46">
        <f t="shared" si="1"/>
        <v>20070</v>
      </c>
      <c r="U14" s="46">
        <f t="shared" si="1"/>
        <v>0</v>
      </c>
      <c r="V14" s="46">
        <f t="shared" si="2"/>
        <v>87590</v>
      </c>
    </row>
    <row r="15" spans="1:22" ht="15.75">
      <c r="A15" s="17"/>
      <c r="B15" s="1" t="s">
        <v>29</v>
      </c>
      <c r="C15" s="46">
        <v>131.6</v>
      </c>
      <c r="D15" s="46">
        <v>92.3</v>
      </c>
      <c r="E15" s="46">
        <v>79</v>
      </c>
      <c r="F15" s="33">
        <v>58</v>
      </c>
      <c r="G15" s="33"/>
      <c r="H15" s="71">
        <v>95.6</v>
      </c>
      <c r="I15" s="22">
        <f>(+H15)/'AAUP 12_13'!H15-1</f>
        <v>0</v>
      </c>
      <c r="J15" s="23"/>
      <c r="K15" s="49"/>
      <c r="L15" s="20">
        <f>242+101</f>
        <v>343</v>
      </c>
      <c r="M15" s="20">
        <f>176+170</f>
        <v>346</v>
      </c>
      <c r="N15" s="20">
        <f>143+164</f>
        <v>307</v>
      </c>
      <c r="O15" s="20">
        <f>6+18</f>
        <v>24</v>
      </c>
      <c r="P15" s="20">
        <f t="shared" si="0"/>
        <v>1020</v>
      </c>
      <c r="Q15" s="20"/>
      <c r="R15" s="46">
        <f t="shared" si="1"/>
        <v>45138.799999999996</v>
      </c>
      <c r="S15" s="46">
        <f t="shared" si="1"/>
        <v>31935.8</v>
      </c>
      <c r="T15" s="46">
        <f t="shared" si="1"/>
        <v>24253</v>
      </c>
      <c r="U15" s="46">
        <f t="shared" si="1"/>
        <v>1392</v>
      </c>
      <c r="V15" s="46">
        <f t="shared" si="2"/>
        <v>97512</v>
      </c>
    </row>
    <row r="16" spans="1:22" ht="15.75">
      <c r="A16" s="17"/>
      <c r="B16" s="1" t="s">
        <v>30</v>
      </c>
      <c r="C16" s="33">
        <v>113.6</v>
      </c>
      <c r="D16" s="33">
        <v>81.1</v>
      </c>
      <c r="E16" s="33">
        <v>68.8</v>
      </c>
      <c r="F16" s="33"/>
      <c r="G16" s="33"/>
      <c r="H16" s="71">
        <v>78.3</v>
      </c>
      <c r="I16" s="22">
        <f>(+H16)/'AAUP 12_13'!H16-1</f>
        <v>0.020860495436766602</v>
      </c>
      <c r="J16" s="23"/>
      <c r="K16" s="49"/>
      <c r="L16" s="20">
        <f>160+75</f>
        <v>235</v>
      </c>
      <c r="M16" s="20">
        <f>158+147</f>
        <v>305</v>
      </c>
      <c r="N16" s="20">
        <f>149+159</f>
        <v>308</v>
      </c>
      <c r="O16" s="20"/>
      <c r="P16" s="20">
        <f t="shared" si="0"/>
        <v>848</v>
      </c>
      <c r="Q16" s="20"/>
      <c r="R16" s="46">
        <f t="shared" si="1"/>
        <v>26696</v>
      </c>
      <c r="S16" s="46">
        <f t="shared" si="1"/>
        <v>24735.5</v>
      </c>
      <c r="T16" s="46">
        <f t="shared" si="1"/>
        <v>21190.399999999998</v>
      </c>
      <c r="U16" s="46">
        <f t="shared" si="1"/>
        <v>0</v>
      </c>
      <c r="V16" s="46">
        <f t="shared" si="2"/>
        <v>66398.4</v>
      </c>
    </row>
    <row r="17" spans="1:22" ht="15.75">
      <c r="A17" s="17"/>
      <c r="B17" s="1" t="s">
        <v>31</v>
      </c>
      <c r="C17" s="33">
        <v>126.4</v>
      </c>
      <c r="D17" s="33">
        <v>96.6</v>
      </c>
      <c r="E17" s="33">
        <v>84</v>
      </c>
      <c r="F17" s="33"/>
      <c r="G17" s="33"/>
      <c r="H17" s="71">
        <v>91.7</v>
      </c>
      <c r="I17" s="22">
        <f>(+H17)/'AAUP 12_13'!H17-1</f>
        <v>0.028026905829596327</v>
      </c>
      <c r="J17" s="23"/>
      <c r="K17" s="49"/>
      <c r="L17" s="20">
        <f>76+42</f>
        <v>118</v>
      </c>
      <c r="M17" s="20">
        <f>94+86</f>
        <v>180</v>
      </c>
      <c r="N17" s="20">
        <f>75+89</f>
        <v>164</v>
      </c>
      <c r="O17" s="20">
        <f>0+0</f>
        <v>0</v>
      </c>
      <c r="P17" s="20">
        <f t="shared" si="0"/>
        <v>462</v>
      </c>
      <c r="Q17" s="20"/>
      <c r="R17" s="46">
        <f t="shared" si="1"/>
        <v>14915.2</v>
      </c>
      <c r="S17" s="46">
        <f t="shared" si="1"/>
        <v>17388</v>
      </c>
      <c r="T17" s="46">
        <f t="shared" si="1"/>
        <v>13776</v>
      </c>
      <c r="U17" s="46">
        <f t="shared" si="1"/>
        <v>0</v>
      </c>
      <c r="V17" s="46">
        <f t="shared" si="2"/>
        <v>42365.4</v>
      </c>
    </row>
    <row r="18" spans="1:22" ht="15.75">
      <c r="A18" s="17"/>
      <c r="B18" s="1" t="s">
        <v>32</v>
      </c>
      <c r="C18" s="33">
        <v>108.1</v>
      </c>
      <c r="D18" s="33">
        <v>73.9</v>
      </c>
      <c r="E18" s="33">
        <v>64.5</v>
      </c>
      <c r="F18" s="33">
        <v>43.9</v>
      </c>
      <c r="G18" s="33"/>
      <c r="H18" s="71">
        <v>75.5</v>
      </c>
      <c r="I18" s="22">
        <f>(+H18)/'AAUP 12_13'!H18-1</f>
        <v>0.009358288770053624</v>
      </c>
      <c r="J18" s="23"/>
      <c r="K18" s="49"/>
      <c r="L18" s="20">
        <f>195+46</f>
        <v>241</v>
      </c>
      <c r="M18" s="20">
        <f>134+113</f>
        <v>247</v>
      </c>
      <c r="N18" s="20">
        <f>119+130</f>
        <v>249</v>
      </c>
      <c r="O18" s="20">
        <f>62+86</f>
        <v>148</v>
      </c>
      <c r="P18" s="20">
        <f t="shared" si="0"/>
        <v>885</v>
      </c>
      <c r="Q18" s="20"/>
      <c r="R18" s="46">
        <f t="shared" si="1"/>
        <v>26052.1</v>
      </c>
      <c r="S18" s="46">
        <f t="shared" si="1"/>
        <v>18253.300000000003</v>
      </c>
      <c r="T18" s="46">
        <f t="shared" si="1"/>
        <v>16060.5</v>
      </c>
      <c r="U18" s="46">
        <f t="shared" si="1"/>
        <v>6497.2</v>
      </c>
      <c r="V18" s="46">
        <f t="shared" si="2"/>
        <v>66817.5</v>
      </c>
    </row>
    <row r="19" spans="1:22" s="62" customFormat="1" ht="15.75">
      <c r="A19" s="12"/>
      <c r="B19" s="6" t="s">
        <v>7</v>
      </c>
      <c r="C19" s="54">
        <v>106.6</v>
      </c>
      <c r="D19" s="54">
        <v>78.1</v>
      </c>
      <c r="E19" s="54">
        <v>67.1</v>
      </c>
      <c r="F19" s="54"/>
      <c r="G19" s="54"/>
      <c r="H19" s="87">
        <v>82.7</v>
      </c>
      <c r="I19" s="22">
        <f>(+H19)/'AAUP 12_13'!H19-1</f>
        <v>0.024783147459727317</v>
      </c>
      <c r="J19" s="59"/>
      <c r="K19" s="60"/>
      <c r="L19" s="81">
        <f>116+56</f>
        <v>172</v>
      </c>
      <c r="M19" s="81">
        <f>123+99</f>
        <v>222</v>
      </c>
      <c r="N19" s="81">
        <f>101+95</f>
        <v>196</v>
      </c>
      <c r="O19" s="81">
        <f>0+0</f>
        <v>0</v>
      </c>
      <c r="P19" s="81">
        <f t="shared" si="0"/>
        <v>590</v>
      </c>
      <c r="Q19" s="81"/>
      <c r="R19" s="61">
        <f t="shared" si="1"/>
        <v>18335.2</v>
      </c>
      <c r="S19" s="61">
        <f t="shared" si="1"/>
        <v>17338.199999999997</v>
      </c>
      <c r="T19" s="61">
        <f t="shared" si="1"/>
        <v>13151.599999999999</v>
      </c>
      <c r="U19" s="61">
        <f t="shared" si="1"/>
        <v>0</v>
      </c>
      <c r="V19" s="61">
        <f t="shared" si="2"/>
        <v>48793</v>
      </c>
    </row>
    <row r="20" spans="1:22" s="62" customFormat="1" ht="15.75">
      <c r="A20" s="12"/>
      <c r="B20" s="6" t="s">
        <v>9</v>
      </c>
      <c r="C20" s="100">
        <v>98.2</v>
      </c>
      <c r="D20" s="100">
        <v>71.5</v>
      </c>
      <c r="E20" s="100">
        <v>60.8</v>
      </c>
      <c r="F20" s="100"/>
      <c r="G20" s="100"/>
      <c r="H20" s="101">
        <v>77.2</v>
      </c>
      <c r="I20" s="22">
        <f>(+H20)/'AAUP 12_13'!H20-1</f>
        <v>0.044654939106901104</v>
      </c>
      <c r="J20" s="59"/>
      <c r="K20" s="60"/>
      <c r="L20" s="98">
        <f>86+49</f>
        <v>135</v>
      </c>
      <c r="M20" s="98">
        <f>81+98</f>
        <v>179</v>
      </c>
      <c r="N20" s="98">
        <f>41+71</f>
        <v>112</v>
      </c>
      <c r="O20" s="81">
        <f>0+0</f>
        <v>0</v>
      </c>
      <c r="P20" s="81">
        <f>SUM(L20:O20)</f>
        <v>426</v>
      </c>
      <c r="Q20" s="81"/>
      <c r="R20" s="61">
        <f>C20*L20</f>
        <v>13257</v>
      </c>
      <c r="S20" s="61">
        <f>D20*M20</f>
        <v>12798.5</v>
      </c>
      <c r="T20" s="61">
        <f>E20*N20</f>
        <v>6809.599999999999</v>
      </c>
      <c r="U20" s="61">
        <f>F20*O20</f>
        <v>0</v>
      </c>
      <c r="V20" s="61">
        <f>H20*P20</f>
        <v>32887.200000000004</v>
      </c>
    </row>
    <row r="21" spans="1:22" ht="15.75">
      <c r="A21" s="17"/>
      <c r="B21" s="1" t="s">
        <v>33</v>
      </c>
      <c r="C21" s="33">
        <v>87.5</v>
      </c>
      <c r="D21" s="33">
        <v>66.7</v>
      </c>
      <c r="E21" s="33">
        <v>62.4</v>
      </c>
      <c r="F21" s="33">
        <v>39.2</v>
      </c>
      <c r="G21" s="33"/>
      <c r="H21" s="71">
        <v>67.3</v>
      </c>
      <c r="I21" s="22">
        <f>(+H21)/'AAUP 12_13'!H21-1</f>
        <v>-0.007374631268436627</v>
      </c>
      <c r="J21" s="23"/>
      <c r="K21" s="49"/>
      <c r="L21" s="20">
        <f>73+21</f>
        <v>94</v>
      </c>
      <c r="M21" s="20">
        <f>48+31</f>
        <v>79</v>
      </c>
      <c r="N21" s="20">
        <f>39+20</f>
        <v>59</v>
      </c>
      <c r="O21" s="20">
        <f>20+35</f>
        <v>55</v>
      </c>
      <c r="P21" s="20">
        <f t="shared" si="0"/>
        <v>287</v>
      </c>
      <c r="Q21" s="20"/>
      <c r="R21" s="46">
        <f t="shared" si="1"/>
        <v>8225</v>
      </c>
      <c r="S21" s="46">
        <f t="shared" si="1"/>
        <v>5269.3</v>
      </c>
      <c r="T21" s="46">
        <f t="shared" si="1"/>
        <v>3681.6</v>
      </c>
      <c r="U21" s="46">
        <f t="shared" si="1"/>
        <v>2156</v>
      </c>
      <c r="V21" s="46">
        <f t="shared" si="2"/>
        <v>19315.1</v>
      </c>
    </row>
    <row r="22" spans="1:22" ht="15.75">
      <c r="A22" s="17"/>
      <c r="B22" s="1" t="s">
        <v>6</v>
      </c>
      <c r="C22" s="106">
        <v>140.2</v>
      </c>
      <c r="D22" s="106">
        <v>93</v>
      </c>
      <c r="E22" s="106">
        <v>77.8</v>
      </c>
      <c r="F22" s="106">
        <v>45.9</v>
      </c>
      <c r="G22" s="106"/>
      <c r="H22" s="107">
        <v>93.7</v>
      </c>
      <c r="I22" s="22">
        <f>(+H22)/'AAUP 12_13'!H22-1</f>
        <v>0.021810250817884347</v>
      </c>
      <c r="J22" s="23"/>
      <c r="K22" s="49"/>
      <c r="L22" s="110">
        <f>342+111</f>
        <v>453</v>
      </c>
      <c r="M22" s="110">
        <f>244+156</f>
        <v>400</v>
      </c>
      <c r="N22" s="110">
        <f>223+275</f>
        <v>498</v>
      </c>
      <c r="O22" s="110">
        <f>19+62</f>
        <v>81</v>
      </c>
      <c r="P22" s="20">
        <f t="shared" si="0"/>
        <v>1432</v>
      </c>
      <c r="Q22" s="20"/>
      <c r="R22" s="46">
        <f t="shared" si="1"/>
        <v>63510.59999999999</v>
      </c>
      <c r="S22" s="46">
        <f t="shared" si="1"/>
        <v>37200</v>
      </c>
      <c r="T22" s="46">
        <f t="shared" si="1"/>
        <v>38744.4</v>
      </c>
      <c r="U22" s="46">
        <f t="shared" si="1"/>
        <v>3717.9</v>
      </c>
      <c r="V22" s="46">
        <f t="shared" si="2"/>
        <v>134178.4</v>
      </c>
    </row>
    <row r="23" spans="1:22" s="77" customFormat="1" ht="15.75">
      <c r="A23" s="82"/>
      <c r="B23" s="1" t="s">
        <v>34</v>
      </c>
      <c r="C23" s="71">
        <v>101.6</v>
      </c>
      <c r="D23" s="71">
        <v>76.3</v>
      </c>
      <c r="E23" s="71">
        <v>65.5</v>
      </c>
      <c r="F23" s="71">
        <v>45.6</v>
      </c>
      <c r="G23" s="71"/>
      <c r="H23" s="71">
        <v>74.6</v>
      </c>
      <c r="I23" s="22">
        <f>(+H23)/'AAUP 12_13'!H23-1</f>
        <v>0.03038674033149147</v>
      </c>
      <c r="J23" s="73"/>
      <c r="K23" s="74"/>
      <c r="L23" s="75">
        <f>158+64</f>
        <v>222</v>
      </c>
      <c r="M23" s="75">
        <f>101+75</f>
        <v>176</v>
      </c>
      <c r="N23" s="75">
        <f>89+108</f>
        <v>197</v>
      </c>
      <c r="O23" s="75">
        <f>49+96</f>
        <v>145</v>
      </c>
      <c r="P23" s="75">
        <f t="shared" si="0"/>
        <v>740</v>
      </c>
      <c r="Q23" s="75"/>
      <c r="R23" s="76">
        <f t="shared" si="1"/>
        <v>22555.199999999997</v>
      </c>
      <c r="S23" s="76">
        <f t="shared" si="1"/>
        <v>13428.8</v>
      </c>
      <c r="T23" s="76">
        <f t="shared" si="1"/>
        <v>12903.5</v>
      </c>
      <c r="U23" s="76">
        <f t="shared" si="1"/>
        <v>6612</v>
      </c>
      <c r="V23" s="76">
        <f t="shared" si="2"/>
        <v>55203.99999999999</v>
      </c>
    </row>
    <row r="24" spans="1:22" s="77" customFormat="1" ht="15.75">
      <c r="A24" s="69"/>
      <c r="B24" s="1" t="s">
        <v>35</v>
      </c>
      <c r="C24" s="71">
        <v>139.7</v>
      </c>
      <c r="D24" s="71">
        <v>95.8</v>
      </c>
      <c r="E24" s="71">
        <v>72.9</v>
      </c>
      <c r="F24" s="71">
        <v>57.3</v>
      </c>
      <c r="G24" s="71"/>
      <c r="H24" s="71">
        <v>96</v>
      </c>
      <c r="I24" s="22">
        <f>(+H24)/'AAUP 12_13'!H24-1</f>
        <v>0.015873015873015817</v>
      </c>
      <c r="J24" s="73"/>
      <c r="K24" s="74"/>
      <c r="L24" s="75">
        <f>286+99</f>
        <v>385</v>
      </c>
      <c r="M24" s="75">
        <f>247+173</f>
        <v>420</v>
      </c>
      <c r="N24" s="75">
        <f>305+278</f>
        <v>583</v>
      </c>
      <c r="O24" s="75">
        <f>38+48</f>
        <v>86</v>
      </c>
      <c r="P24" s="75">
        <f t="shared" si="0"/>
        <v>1474</v>
      </c>
      <c r="Q24" s="75"/>
      <c r="R24" s="76">
        <f t="shared" si="1"/>
        <v>53784.49999999999</v>
      </c>
      <c r="S24" s="76">
        <f t="shared" si="1"/>
        <v>40236</v>
      </c>
      <c r="T24" s="76">
        <f t="shared" si="1"/>
        <v>42500.700000000004</v>
      </c>
      <c r="U24" s="76">
        <f t="shared" si="1"/>
        <v>4927.8</v>
      </c>
      <c r="V24" s="76">
        <f t="shared" si="2"/>
        <v>141504</v>
      </c>
    </row>
    <row r="25" spans="1:22" s="77" customFormat="1" ht="15.75">
      <c r="A25" s="82"/>
      <c r="B25" s="1" t="s">
        <v>36</v>
      </c>
      <c r="C25" s="71">
        <v>106.5</v>
      </c>
      <c r="D25" s="71">
        <v>83.7</v>
      </c>
      <c r="E25" s="71">
        <v>73.3</v>
      </c>
      <c r="F25" s="71">
        <v>55.7</v>
      </c>
      <c r="G25" s="71"/>
      <c r="H25" s="71">
        <v>78.8</v>
      </c>
      <c r="I25" s="22">
        <f>(+H25)/'AAUP 12_13'!H25-1</f>
        <v>0.003821656050955413</v>
      </c>
      <c r="J25" s="73"/>
      <c r="K25" s="74"/>
      <c r="L25" s="75">
        <f>145+57</f>
        <v>202</v>
      </c>
      <c r="M25" s="75">
        <f>155+87</f>
        <v>242</v>
      </c>
      <c r="N25" s="75">
        <f>87+56</f>
        <v>143</v>
      </c>
      <c r="O25" s="75">
        <f>5+21</f>
        <v>26</v>
      </c>
      <c r="P25" s="75">
        <f t="shared" si="0"/>
        <v>613</v>
      </c>
      <c r="Q25" s="75"/>
      <c r="R25" s="76">
        <f t="shared" si="1"/>
        <v>21513</v>
      </c>
      <c r="S25" s="76">
        <f t="shared" si="1"/>
        <v>20255.4</v>
      </c>
      <c r="T25" s="76">
        <f t="shared" si="1"/>
        <v>10481.9</v>
      </c>
      <c r="U25" s="76">
        <f t="shared" si="1"/>
        <v>1448.2</v>
      </c>
      <c r="V25" s="76">
        <f t="shared" si="2"/>
        <v>48304.4</v>
      </c>
    </row>
    <row r="26" spans="1:22" s="77" customFormat="1" ht="15.75">
      <c r="A26" s="69"/>
      <c r="B26" s="70" t="s">
        <v>37</v>
      </c>
      <c r="C26" s="71">
        <v>118</v>
      </c>
      <c r="D26" s="71">
        <v>82.9</v>
      </c>
      <c r="E26" s="71">
        <v>71.7</v>
      </c>
      <c r="F26" s="71">
        <v>46.3</v>
      </c>
      <c r="G26" s="71"/>
      <c r="H26" s="71">
        <v>79.1</v>
      </c>
      <c r="I26" s="22">
        <f>(+H26)/'AAUP 12_13'!H26-1</f>
        <v>0.007643312101910826</v>
      </c>
      <c r="J26" s="73"/>
      <c r="K26" s="74"/>
      <c r="L26" s="75">
        <f>146+59</f>
        <v>205</v>
      </c>
      <c r="M26" s="75">
        <f>190+144</f>
        <v>334</v>
      </c>
      <c r="N26" s="75">
        <f>199+223</f>
        <v>422</v>
      </c>
      <c r="O26" s="75">
        <f>82+104</f>
        <v>186</v>
      </c>
      <c r="P26" s="75">
        <f t="shared" si="0"/>
        <v>1147</v>
      </c>
      <c r="Q26" s="75"/>
      <c r="R26" s="76">
        <f t="shared" si="1"/>
        <v>24190</v>
      </c>
      <c r="S26" s="76">
        <f t="shared" si="1"/>
        <v>27688.600000000002</v>
      </c>
      <c r="T26" s="76">
        <f t="shared" si="1"/>
        <v>30257.4</v>
      </c>
      <c r="U26" s="76">
        <f t="shared" si="1"/>
        <v>8611.8</v>
      </c>
      <c r="V26" s="76">
        <f t="shared" si="2"/>
        <v>90727.7</v>
      </c>
    </row>
    <row r="27" spans="1:22" s="77" customFormat="1" ht="15.75">
      <c r="A27" s="69"/>
      <c r="B27" s="70" t="s">
        <v>39</v>
      </c>
      <c r="C27" s="71">
        <v>121.3</v>
      </c>
      <c r="D27" s="71">
        <v>90.3</v>
      </c>
      <c r="E27" s="71">
        <v>77.1</v>
      </c>
      <c r="F27" s="71">
        <v>70.4</v>
      </c>
      <c r="G27" s="71"/>
      <c r="H27" s="71">
        <v>89.5</v>
      </c>
      <c r="I27" s="22">
        <f>(+H27)/'AAUP 12_13'!H27-1</f>
        <v>0.03587962962962954</v>
      </c>
      <c r="J27" s="73"/>
      <c r="K27" s="74"/>
      <c r="L27" s="75">
        <f>221+56</f>
        <v>277</v>
      </c>
      <c r="M27" s="75">
        <f>176+128</f>
        <v>304</v>
      </c>
      <c r="N27" s="75">
        <f>127+161</f>
        <v>288</v>
      </c>
      <c r="O27" s="75">
        <f>3+28</f>
        <v>31</v>
      </c>
      <c r="P27" s="75">
        <f t="shared" si="0"/>
        <v>900</v>
      </c>
      <c r="Q27" s="75"/>
      <c r="R27" s="76">
        <f t="shared" si="1"/>
        <v>33600.1</v>
      </c>
      <c r="S27" s="76">
        <f t="shared" si="1"/>
        <v>27451.2</v>
      </c>
      <c r="T27" s="76">
        <f t="shared" si="1"/>
        <v>22204.8</v>
      </c>
      <c r="U27" s="76">
        <f t="shared" si="1"/>
        <v>2182.4</v>
      </c>
      <c r="V27" s="76">
        <f t="shared" si="2"/>
        <v>80550</v>
      </c>
    </row>
    <row r="28" spans="1:22" s="77" customFormat="1" ht="15.75">
      <c r="A28" s="69"/>
      <c r="B28" s="70" t="s">
        <v>24</v>
      </c>
      <c r="C28" s="71">
        <v>101.7</v>
      </c>
      <c r="D28" s="71">
        <v>75.2</v>
      </c>
      <c r="E28" s="71">
        <v>70.7</v>
      </c>
      <c r="F28" s="71">
        <v>53.3</v>
      </c>
      <c r="G28" s="71"/>
      <c r="H28" s="71">
        <v>73</v>
      </c>
      <c r="I28" s="22">
        <f>(+H28)/'AAUP 12_13'!H28-1</f>
        <v>0.02961918194640334</v>
      </c>
      <c r="J28" s="73"/>
      <c r="K28" s="74"/>
      <c r="L28" s="75">
        <f>147+63</f>
        <v>210</v>
      </c>
      <c r="M28" s="75">
        <f>192+159</f>
        <v>351</v>
      </c>
      <c r="N28" s="75">
        <f>115+144</f>
        <v>259</v>
      </c>
      <c r="O28" s="75">
        <f>3+7</f>
        <v>10</v>
      </c>
      <c r="P28" s="75">
        <f t="shared" si="0"/>
        <v>830</v>
      </c>
      <c r="Q28" s="75"/>
      <c r="R28" s="76">
        <f t="shared" si="1"/>
        <v>21357</v>
      </c>
      <c r="S28" s="76">
        <f t="shared" si="1"/>
        <v>26395.2</v>
      </c>
      <c r="T28" s="76">
        <f t="shared" si="1"/>
        <v>18311.3</v>
      </c>
      <c r="U28" s="76">
        <f t="shared" si="1"/>
        <v>533</v>
      </c>
      <c r="V28" s="76">
        <f t="shared" si="2"/>
        <v>60590</v>
      </c>
    </row>
    <row r="29" spans="1:22" s="77" customFormat="1" ht="15.75">
      <c r="A29" s="69"/>
      <c r="B29" s="70"/>
      <c r="C29" s="71"/>
      <c r="D29" s="71"/>
      <c r="E29" s="71"/>
      <c r="F29" s="71"/>
      <c r="G29" s="71"/>
      <c r="H29" s="71"/>
      <c r="I29" s="75"/>
      <c r="J29" s="73"/>
      <c r="K29" s="74"/>
      <c r="L29" s="75"/>
      <c r="M29" s="75"/>
      <c r="N29" s="75"/>
      <c r="O29" s="75"/>
      <c r="P29" s="75"/>
      <c r="Q29" s="75"/>
      <c r="R29" s="76"/>
      <c r="S29" s="76"/>
      <c r="T29" s="76"/>
      <c r="U29" s="76"/>
      <c r="V29" s="76"/>
    </row>
    <row r="30" spans="1:22" s="77" customFormat="1" ht="15.75">
      <c r="A30" s="69"/>
      <c r="B30" s="78" t="s">
        <v>42</v>
      </c>
      <c r="C30" s="71">
        <f aca="true" t="shared" si="3" ref="C30:F31">R30/L30</f>
        <v>120.13947422050133</v>
      </c>
      <c r="D30" s="71">
        <f t="shared" si="3"/>
        <v>84.36707272727273</v>
      </c>
      <c r="E30" s="71">
        <f>T30/N30</f>
        <v>73.38377819548873</v>
      </c>
      <c r="F30" s="71">
        <f t="shared" si="3"/>
        <v>51.01466101694915</v>
      </c>
      <c r="G30" s="71"/>
      <c r="H30" s="71">
        <f>V30/P30</f>
        <v>85.15912343999526</v>
      </c>
      <c r="I30" s="22">
        <f>(+H30)/'AAUP 12_13'!H30-1</f>
        <v>0.0191663764799328</v>
      </c>
      <c r="J30" s="73"/>
      <c r="K30" s="74"/>
      <c r="L30" s="79">
        <f>SUM(L8:L28)</f>
        <v>4907</v>
      </c>
      <c r="M30" s="79">
        <f>SUM(M8:M28)</f>
        <v>5500</v>
      </c>
      <c r="N30" s="79">
        <f>SUM(N8:N28)</f>
        <v>5320</v>
      </c>
      <c r="O30" s="79">
        <f>SUM(O8:O28)</f>
        <v>1180</v>
      </c>
      <c r="P30" s="79">
        <f>SUM(L30:O30)</f>
        <v>16907</v>
      </c>
      <c r="Q30" s="75"/>
      <c r="R30" s="76">
        <f>SUM(R8:R28)</f>
        <v>589524.4</v>
      </c>
      <c r="S30" s="76">
        <f>SUM(S8:S28)</f>
        <v>464018.89999999997</v>
      </c>
      <c r="T30" s="76">
        <f>SUM(T8:T28)</f>
        <v>390401.7</v>
      </c>
      <c r="U30" s="76">
        <f>SUM(U8:U28)</f>
        <v>60197.299999999996</v>
      </c>
      <c r="V30" s="76">
        <f>SUM(V8:V28)</f>
        <v>1439785.2999999998</v>
      </c>
    </row>
    <row r="31" spans="1:22" s="77" customFormat="1" ht="15.75">
      <c r="A31" s="69"/>
      <c r="B31" s="78" t="s">
        <v>43</v>
      </c>
      <c r="C31" s="71">
        <f>R31/L31</f>
        <v>121.28960869565219</v>
      </c>
      <c r="D31" s="71">
        <f>S31/M31</f>
        <v>85.09162580898214</v>
      </c>
      <c r="E31" s="71">
        <f>T31/N31</f>
        <v>73.91071428571429</v>
      </c>
      <c r="F31" s="71">
        <f t="shared" si="3"/>
        <v>51.01466101694915</v>
      </c>
      <c r="G31" s="71"/>
      <c r="H31" s="71">
        <f>V31/P31</f>
        <v>85.46379082499527</v>
      </c>
      <c r="I31" s="22">
        <f>(+H31)/'AAUP 12_13'!H31-1</f>
        <v>0.018316625768620254</v>
      </c>
      <c r="J31" s="73"/>
      <c r="K31" s="74"/>
      <c r="L31" s="75">
        <f>L30-(L19+L20)</f>
        <v>4600</v>
      </c>
      <c r="M31" s="75">
        <f>M30-(M19+M20)</f>
        <v>5099</v>
      </c>
      <c r="N31" s="75">
        <f>N30-(N19+N20)</f>
        <v>5012</v>
      </c>
      <c r="O31" s="75">
        <f>O30-(O19+O20)</f>
        <v>1180</v>
      </c>
      <c r="P31" s="75">
        <f>SUM(L31:O31)</f>
        <v>15891</v>
      </c>
      <c r="Q31" s="75"/>
      <c r="R31" s="76">
        <f>R30-(R19+R20)</f>
        <v>557932.2000000001</v>
      </c>
      <c r="S31" s="76">
        <f>S30-(S19+S20)</f>
        <v>433882.19999999995</v>
      </c>
      <c r="T31" s="76">
        <f>T30-(T19+T20)</f>
        <v>370440.5</v>
      </c>
      <c r="U31" s="76">
        <f>U30-(U19+U20)</f>
        <v>60197.299999999996</v>
      </c>
      <c r="V31" s="76">
        <f>V30-(V19+V20)</f>
        <v>1358105.0999999999</v>
      </c>
    </row>
    <row r="32" spans="1:22" ht="15.75">
      <c r="A32" s="17"/>
      <c r="B32" s="1"/>
      <c r="C32" s="33"/>
      <c r="D32" s="33"/>
      <c r="E32" s="33"/>
      <c r="F32" s="33"/>
      <c r="G32" s="33"/>
      <c r="H32" s="71"/>
      <c r="I32" s="20"/>
      <c r="J32" s="23"/>
      <c r="K32" s="49"/>
      <c r="L32" s="20"/>
      <c r="M32" s="20"/>
      <c r="N32" s="20"/>
      <c r="O32" s="20"/>
      <c r="P32" s="20"/>
      <c r="Q32" s="20"/>
      <c r="R32" s="46"/>
      <c r="S32" s="20"/>
      <c r="T32" s="20"/>
      <c r="U32" s="20"/>
      <c r="V32" s="20"/>
    </row>
    <row r="33" spans="1:24" ht="15.75">
      <c r="A33" s="17"/>
      <c r="B33" s="1" t="s">
        <v>5</v>
      </c>
      <c r="C33" s="41">
        <v>117.5</v>
      </c>
      <c r="D33" s="41">
        <v>78.2</v>
      </c>
      <c r="E33" s="41">
        <v>64.7</v>
      </c>
      <c r="F33" s="41"/>
      <c r="G33" s="41"/>
      <c r="H33" s="88">
        <v>87.3</v>
      </c>
      <c r="I33" s="22">
        <f>(+H33)/'AAUP 12_13'!H33-1</f>
        <v>0.011587485515643037</v>
      </c>
      <c r="J33" s="55"/>
      <c r="K33" s="57"/>
      <c r="L33" s="47">
        <v>408</v>
      </c>
      <c r="M33" s="47">
        <v>418</v>
      </c>
      <c r="N33" s="47">
        <v>377</v>
      </c>
      <c r="O33" s="47"/>
      <c r="P33" s="47">
        <f>SUM(L33:O33)</f>
        <v>1203</v>
      </c>
      <c r="Q33" s="47"/>
      <c r="R33" s="56">
        <f aca="true" t="shared" si="4" ref="R33:U36">C33*L33</f>
        <v>47940</v>
      </c>
      <c r="S33" s="56">
        <f t="shared" si="4"/>
        <v>32687.600000000002</v>
      </c>
      <c r="T33" s="56">
        <f t="shared" si="4"/>
        <v>24391.9</v>
      </c>
      <c r="U33" s="56">
        <f t="shared" si="4"/>
        <v>0</v>
      </c>
      <c r="V33" s="56">
        <f>H33*P33</f>
        <v>105021.9</v>
      </c>
      <c r="X33" s="16"/>
    </row>
    <row r="34" spans="1:24" ht="15.75">
      <c r="A34" s="17"/>
      <c r="B34" s="1" t="s">
        <v>7</v>
      </c>
      <c r="C34" s="106">
        <v>106.6</v>
      </c>
      <c r="D34" s="106">
        <v>78.1</v>
      </c>
      <c r="E34" s="106">
        <v>67.1</v>
      </c>
      <c r="F34" s="106"/>
      <c r="G34" s="106"/>
      <c r="H34" s="107">
        <v>82.7</v>
      </c>
      <c r="I34" s="22">
        <f>(+H34)/'AAUP 12_13'!H34-1</f>
        <v>0.024783147459727317</v>
      </c>
      <c r="J34" s="23"/>
      <c r="K34" s="49"/>
      <c r="L34" s="110">
        <v>172</v>
      </c>
      <c r="M34" s="110">
        <v>222</v>
      </c>
      <c r="N34" s="110">
        <v>196</v>
      </c>
      <c r="O34" s="20"/>
      <c r="P34" s="20">
        <f>SUM(L34:O34)</f>
        <v>590</v>
      </c>
      <c r="Q34" s="20"/>
      <c r="R34" s="46">
        <f t="shared" si="4"/>
        <v>18335.2</v>
      </c>
      <c r="S34" s="46">
        <f t="shared" si="4"/>
        <v>17338.199999999997</v>
      </c>
      <c r="T34" s="46">
        <f t="shared" si="4"/>
        <v>13151.599999999999</v>
      </c>
      <c r="U34" s="46">
        <f t="shared" si="4"/>
        <v>0</v>
      </c>
      <c r="V34" s="46">
        <f>H34*P34</f>
        <v>48793</v>
      </c>
      <c r="X34" s="16"/>
    </row>
    <row r="35" spans="1:24" ht="15.75">
      <c r="A35" s="17"/>
      <c r="B35" s="1" t="s">
        <v>20</v>
      </c>
      <c r="C35" s="106">
        <v>121.5</v>
      </c>
      <c r="D35" s="106">
        <v>82.9</v>
      </c>
      <c r="E35" s="106">
        <v>73</v>
      </c>
      <c r="F35" s="106"/>
      <c r="G35" s="106"/>
      <c r="H35" s="107">
        <v>93.4</v>
      </c>
      <c r="I35" s="22">
        <f>(+H35)/'AAUP 12_13'!H35-1</f>
        <v>0.019650655021834273</v>
      </c>
      <c r="J35" s="23"/>
      <c r="K35" s="49"/>
      <c r="L35" s="111">
        <v>112</v>
      </c>
      <c r="M35" s="111">
        <v>101</v>
      </c>
      <c r="N35" s="111">
        <v>103</v>
      </c>
      <c r="O35" s="20"/>
      <c r="P35" s="20">
        <f>SUM(L35:O35)</f>
        <v>316</v>
      </c>
      <c r="Q35" s="20"/>
      <c r="R35" s="46">
        <f t="shared" si="4"/>
        <v>13608</v>
      </c>
      <c r="S35" s="46">
        <f t="shared" si="4"/>
        <v>8372.900000000001</v>
      </c>
      <c r="T35" s="46">
        <f t="shared" si="4"/>
        <v>7519</v>
      </c>
      <c r="U35" s="46">
        <f t="shared" si="4"/>
        <v>0</v>
      </c>
      <c r="V35" s="46">
        <f>H35*P35</f>
        <v>29514.4</v>
      </c>
      <c r="X35" s="16"/>
    </row>
    <row r="36" spans="1:24" ht="15.75">
      <c r="A36" s="17"/>
      <c r="B36" s="5" t="s">
        <v>9</v>
      </c>
      <c r="C36" s="108">
        <v>98.2</v>
      </c>
      <c r="D36" s="108">
        <v>71.5</v>
      </c>
      <c r="E36" s="108">
        <v>60.8</v>
      </c>
      <c r="F36" s="108"/>
      <c r="G36" s="108"/>
      <c r="H36" s="109">
        <v>77.2</v>
      </c>
      <c r="I36" s="22">
        <f>(+H36)/'AAUP 12_13'!H36-1</f>
        <v>0.044654939106901104</v>
      </c>
      <c r="J36" s="23"/>
      <c r="K36" s="49"/>
      <c r="L36" s="112">
        <v>135</v>
      </c>
      <c r="M36" s="112">
        <v>179</v>
      </c>
      <c r="N36" s="112">
        <v>112</v>
      </c>
      <c r="O36" s="26"/>
      <c r="P36" s="26">
        <f>SUM(L36:O36)</f>
        <v>426</v>
      </c>
      <c r="Q36" s="26"/>
      <c r="R36" s="51">
        <f t="shared" si="4"/>
        <v>13257</v>
      </c>
      <c r="S36" s="51">
        <f t="shared" si="4"/>
        <v>12798.5</v>
      </c>
      <c r="T36" s="51">
        <f t="shared" si="4"/>
        <v>6809.599999999999</v>
      </c>
      <c r="U36" s="51">
        <f t="shared" si="4"/>
        <v>0</v>
      </c>
      <c r="V36" s="51">
        <f>H36*P36</f>
        <v>32887.200000000004</v>
      </c>
      <c r="X36" s="16"/>
    </row>
    <row r="37" spans="1:24" ht="15.75">
      <c r="A37" s="17"/>
      <c r="B37" s="7" t="s">
        <v>16</v>
      </c>
      <c r="C37" s="33">
        <f>R37/L37</f>
        <v>112.6241837968561</v>
      </c>
      <c r="D37" s="33">
        <f>S37/M37</f>
        <v>77.38826086956523</v>
      </c>
      <c r="E37" s="33">
        <f>T37/N37</f>
        <v>65.82753807106599</v>
      </c>
      <c r="F37" s="33"/>
      <c r="G37" s="33"/>
      <c r="H37" s="71">
        <f>V37/P37</f>
        <v>85.29250493096647</v>
      </c>
      <c r="I37" s="22">
        <f>(+H37)/'AAUP 12_13'!H37-1</f>
        <v>0.020865031848982696</v>
      </c>
      <c r="J37" s="23"/>
      <c r="K37" s="49"/>
      <c r="L37" s="20">
        <f>SUM(L33:L36)</f>
        <v>827</v>
      </c>
      <c r="M37" s="20">
        <f>SUM(M33:M36)</f>
        <v>920</v>
      </c>
      <c r="N37" s="20">
        <f>SUM(N33:N36)</f>
        <v>788</v>
      </c>
      <c r="O37" s="20">
        <f>SUM(O33:O36)</f>
        <v>0</v>
      </c>
      <c r="P37" s="20">
        <f>SUM(P33:P36)</f>
        <v>2535</v>
      </c>
      <c r="Q37" s="20"/>
      <c r="R37" s="46">
        <f>SUM(R33:R36)</f>
        <v>93140.2</v>
      </c>
      <c r="S37" s="46">
        <f>SUM(S33:S36)</f>
        <v>71197.20000000001</v>
      </c>
      <c r="T37" s="46">
        <f>SUM(T33:T36)</f>
        <v>51872.1</v>
      </c>
      <c r="U37" s="46">
        <f>SUM(U33:U36)</f>
        <v>0</v>
      </c>
      <c r="V37" s="46">
        <f>SUM(V33:V36)</f>
        <v>216216.5</v>
      </c>
      <c r="X37" s="16"/>
    </row>
    <row r="38" spans="1:11" ht="15.75">
      <c r="A38" s="17"/>
      <c r="B38" s="7" t="s">
        <v>46</v>
      </c>
      <c r="C38" s="22">
        <f>C31/C37-1</f>
        <v>0.07694106724383643</v>
      </c>
      <c r="D38" s="22">
        <f>D31/D37-1</f>
        <v>0.0995417761409656</v>
      </c>
      <c r="E38" s="22">
        <f>E31/E37-1</f>
        <v>0.12279323291601574</v>
      </c>
      <c r="F38" s="22"/>
      <c r="G38" s="33"/>
      <c r="H38" s="72">
        <f>H31/H37-1</f>
        <v>0.0020082174180184875</v>
      </c>
      <c r="J38" s="18"/>
      <c r="K38" s="31"/>
    </row>
    <row r="39" spans="1:29" ht="16.5" thickBot="1">
      <c r="A39" s="17"/>
      <c r="B39" s="2"/>
      <c r="C39" s="32"/>
      <c r="D39" s="32"/>
      <c r="E39" s="32"/>
      <c r="F39" s="32"/>
      <c r="G39" s="32"/>
      <c r="H39" s="83"/>
      <c r="I39" s="19"/>
      <c r="J39" s="18"/>
      <c r="K39" s="31"/>
      <c r="L39" s="31"/>
      <c r="M39" s="31"/>
      <c r="N39" s="31"/>
      <c r="O39" s="31"/>
      <c r="P39" s="31"/>
      <c r="Q39" s="31"/>
      <c r="R39" s="5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6.5" thickTop="1">
      <c r="A40" s="17"/>
      <c r="B40" s="15" t="s">
        <v>17</v>
      </c>
      <c r="C40" s="33"/>
      <c r="D40" s="33"/>
      <c r="E40" s="33"/>
      <c r="F40" s="33"/>
      <c r="G40" s="33"/>
      <c r="H40" s="71"/>
      <c r="J40" s="18"/>
      <c r="K40" s="31"/>
      <c r="L40" s="31"/>
      <c r="M40" s="31"/>
      <c r="N40" s="31"/>
      <c r="O40" s="31"/>
      <c r="P40" s="31"/>
      <c r="Q40" s="31"/>
      <c r="R40" s="5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5.75">
      <c r="A41" s="17"/>
      <c r="B41" s="80"/>
      <c r="C41" s="33"/>
      <c r="D41" s="33"/>
      <c r="E41" s="33"/>
      <c r="F41" s="33"/>
      <c r="G41" s="33"/>
      <c r="H41" s="71"/>
      <c r="J41" s="18"/>
      <c r="K41" s="31"/>
      <c r="L41" s="31"/>
      <c r="M41" s="31"/>
      <c r="N41" s="31"/>
      <c r="O41" s="31"/>
      <c r="P41" s="31"/>
      <c r="Q41" s="31"/>
      <c r="R41" s="5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5.75">
      <c r="A42" s="17"/>
      <c r="B42" s="1"/>
      <c r="C42" s="33"/>
      <c r="D42" s="33"/>
      <c r="E42" s="33"/>
      <c r="F42" s="33"/>
      <c r="G42" s="33"/>
      <c r="H42" s="71"/>
      <c r="J42" s="18"/>
      <c r="K42" s="31"/>
      <c r="L42" s="31"/>
      <c r="M42" s="31"/>
      <c r="N42" s="31"/>
      <c r="O42" s="31"/>
      <c r="P42" s="31"/>
      <c r="Q42" s="31"/>
      <c r="R42" s="5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11" ht="15.75">
      <c r="A43" s="27"/>
      <c r="B43" s="28"/>
      <c r="C43" s="39"/>
      <c r="D43" s="39"/>
      <c r="E43" s="39"/>
      <c r="F43" s="39"/>
      <c r="G43" s="39"/>
      <c r="H43" s="89"/>
      <c r="I43" s="105" t="s">
        <v>57</v>
      </c>
      <c r="J43" s="30"/>
      <c r="K43" s="31"/>
    </row>
  </sheetData>
  <sheetProtection/>
  <mergeCells count="2">
    <mergeCell ref="B1:I1"/>
    <mergeCell ref="B2:I2"/>
  </mergeCells>
  <printOptions/>
  <pageMargins left="0.75" right="0.5" top="0.5" bottom="0.5" header="0.5" footer="0.5"/>
  <pageSetup horizontalDpi="300" verticalDpi="300" orientation="portrait" scale="74" r:id="rId1"/>
  <ignoredErrors>
    <ignoredError sqref="O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5.75"/>
  <cols>
    <col min="1" max="1" width="2.625" style="15" customWidth="1"/>
    <col min="2" max="2" width="42.75390625" style="15" customWidth="1"/>
    <col min="3" max="6" width="11.375" style="40" customWidth="1"/>
    <col min="7" max="7" width="2.625" style="40" customWidth="1"/>
    <col min="8" max="8" width="11.375" style="90" customWidth="1"/>
    <col min="9" max="9" width="9.125" style="15" customWidth="1"/>
    <col min="10" max="11" width="2.625" style="15" customWidth="1"/>
    <col min="12" max="16" width="9.125" style="15" bestFit="1" customWidth="1"/>
    <col min="17" max="17" width="2.625" style="15" customWidth="1"/>
    <col min="18" max="18" width="11.375" style="42" bestFit="1" customWidth="1"/>
    <col min="19" max="19" width="9.75390625" style="15" customWidth="1"/>
    <col min="20" max="20" width="9.75390625" style="15" bestFit="1" customWidth="1"/>
    <col min="21" max="21" width="9.125" style="15" bestFit="1" customWidth="1"/>
    <col min="22" max="22" width="11.375" style="15" bestFit="1" customWidth="1"/>
    <col min="23" max="16384" width="9.00390625" style="15" customWidth="1"/>
  </cols>
  <sheetData>
    <row r="1" spans="1:11" ht="15.75">
      <c r="A1" s="13"/>
      <c r="B1" s="113" t="s">
        <v>38</v>
      </c>
      <c r="C1" s="113"/>
      <c r="D1" s="113"/>
      <c r="E1" s="113"/>
      <c r="F1" s="113"/>
      <c r="G1" s="113"/>
      <c r="H1" s="113"/>
      <c r="I1" s="113"/>
      <c r="J1" s="14"/>
      <c r="K1" s="31"/>
    </row>
    <row r="2" spans="1:11" ht="15.75">
      <c r="A2" s="17"/>
      <c r="B2" s="114" t="s">
        <v>53</v>
      </c>
      <c r="C2" s="114"/>
      <c r="D2" s="114"/>
      <c r="E2" s="114"/>
      <c r="F2" s="114"/>
      <c r="G2" s="114"/>
      <c r="H2" s="114"/>
      <c r="I2" s="114"/>
      <c r="J2" s="18"/>
      <c r="K2" s="31"/>
    </row>
    <row r="3" spans="1:22" ht="16.5" thickBot="1">
      <c r="A3" s="17"/>
      <c r="B3" s="2"/>
      <c r="C3" s="32"/>
      <c r="D3" s="32"/>
      <c r="E3" s="32"/>
      <c r="F3" s="32"/>
      <c r="G3" s="32"/>
      <c r="H3" s="83"/>
      <c r="I3" s="19"/>
      <c r="J3" s="18"/>
      <c r="K3" s="31"/>
      <c r="L3" s="19"/>
      <c r="M3" s="19"/>
      <c r="N3" s="19"/>
      <c r="O3" s="19"/>
      <c r="P3" s="19"/>
      <c r="Q3" s="19"/>
      <c r="R3" s="43"/>
      <c r="S3" s="19"/>
      <c r="T3" s="19"/>
      <c r="U3" s="19"/>
      <c r="V3" s="19"/>
    </row>
    <row r="4" spans="1:11" ht="16.5" thickTop="1">
      <c r="A4" s="17"/>
      <c r="B4" s="1"/>
      <c r="C4" s="33"/>
      <c r="D4" s="33"/>
      <c r="E4" s="33"/>
      <c r="F4" s="33"/>
      <c r="G4" s="33"/>
      <c r="H4" s="71"/>
      <c r="J4" s="18"/>
      <c r="K4" s="31"/>
    </row>
    <row r="5" spans="1:22" ht="15.75">
      <c r="A5" s="11"/>
      <c r="B5" s="1"/>
      <c r="C5" s="34"/>
      <c r="D5" s="34"/>
      <c r="E5" s="34"/>
      <c r="F5" s="34"/>
      <c r="G5" s="34"/>
      <c r="H5" s="84" t="s">
        <v>10</v>
      </c>
      <c r="I5" s="3"/>
      <c r="J5" s="10"/>
      <c r="K5" s="48"/>
      <c r="L5" s="1"/>
      <c r="M5" s="1"/>
      <c r="N5" s="1"/>
      <c r="O5" s="1"/>
      <c r="P5" s="1"/>
      <c r="Q5" s="1"/>
      <c r="R5" s="44"/>
      <c r="S5" s="1"/>
      <c r="T5" s="1"/>
      <c r="U5" s="1"/>
      <c r="V5" s="1"/>
    </row>
    <row r="6" spans="1:22" ht="15.75">
      <c r="A6" s="11"/>
      <c r="B6" s="1"/>
      <c r="C6" s="35" t="s">
        <v>11</v>
      </c>
      <c r="D6" s="35"/>
      <c r="E6" s="35"/>
      <c r="F6" s="35"/>
      <c r="G6" s="35"/>
      <c r="H6" s="85"/>
      <c r="I6" s="7" t="s">
        <v>0</v>
      </c>
      <c r="J6" s="10"/>
      <c r="K6" s="48"/>
      <c r="L6" s="3" t="s">
        <v>12</v>
      </c>
      <c r="M6" s="3"/>
      <c r="N6" s="3"/>
      <c r="O6" s="3"/>
      <c r="P6" s="3"/>
      <c r="Q6" s="4"/>
      <c r="R6" s="45"/>
      <c r="S6" s="4"/>
      <c r="T6" s="4"/>
      <c r="U6" s="4"/>
      <c r="V6" s="4"/>
    </row>
    <row r="7" spans="1:22" ht="15.75">
      <c r="A7" s="11"/>
      <c r="B7" s="5"/>
      <c r="C7" s="36" t="s">
        <v>1</v>
      </c>
      <c r="D7" s="36" t="s">
        <v>2</v>
      </c>
      <c r="E7" s="36" t="s">
        <v>3</v>
      </c>
      <c r="F7" s="36" t="s">
        <v>4</v>
      </c>
      <c r="G7" s="37"/>
      <c r="H7" s="86" t="s">
        <v>13</v>
      </c>
      <c r="I7" s="8" t="s">
        <v>14</v>
      </c>
      <c r="J7" s="10"/>
      <c r="K7" s="48"/>
      <c r="L7" s="8" t="s">
        <v>1</v>
      </c>
      <c r="M7" s="8" t="s">
        <v>2</v>
      </c>
      <c r="N7" s="8" t="s">
        <v>3</v>
      </c>
      <c r="O7" s="8" t="s">
        <v>4</v>
      </c>
      <c r="P7" s="9" t="s">
        <v>15</v>
      </c>
      <c r="Q7" s="48"/>
      <c r="R7" s="8" t="s">
        <v>1</v>
      </c>
      <c r="S7" s="8" t="s">
        <v>2</v>
      </c>
      <c r="T7" s="8" t="s">
        <v>3</v>
      </c>
      <c r="U7" s="8" t="s">
        <v>4</v>
      </c>
      <c r="V7" s="9" t="s">
        <v>15</v>
      </c>
    </row>
    <row r="8" spans="1:22" ht="15.75">
      <c r="A8" s="17"/>
      <c r="B8" s="1" t="s">
        <v>23</v>
      </c>
      <c r="C8" s="33">
        <v>127.3</v>
      </c>
      <c r="D8" s="33">
        <v>85.4</v>
      </c>
      <c r="E8" s="33">
        <v>73.7</v>
      </c>
      <c r="F8" s="33">
        <v>61.8</v>
      </c>
      <c r="G8" s="33"/>
      <c r="H8" s="71">
        <v>89.1</v>
      </c>
      <c r="I8" s="22">
        <f>(+H8)/'AAUP 11_12'!H8-1</f>
        <v>0.025316455696202445</v>
      </c>
      <c r="J8" s="23"/>
      <c r="K8" s="49"/>
      <c r="L8" s="20">
        <f>120+45</f>
        <v>165</v>
      </c>
      <c r="M8" s="20">
        <f>102+86</f>
        <v>188</v>
      </c>
      <c r="N8" s="20">
        <f>106+121</f>
        <v>227</v>
      </c>
      <c r="O8" s="20">
        <f>21+56</f>
        <v>77</v>
      </c>
      <c r="P8" s="20">
        <f aca="true" t="shared" si="0" ref="P8:P28">SUM(L8:O8)</f>
        <v>657</v>
      </c>
      <c r="Q8" s="20"/>
      <c r="R8" s="46">
        <f aca="true" t="shared" si="1" ref="R8:U28">C8*L8</f>
        <v>21004.5</v>
      </c>
      <c r="S8" s="46">
        <f t="shared" si="1"/>
        <v>16055.2</v>
      </c>
      <c r="T8" s="46">
        <f t="shared" si="1"/>
        <v>16729.9</v>
      </c>
      <c r="U8" s="46">
        <f t="shared" si="1"/>
        <v>4758.599999999999</v>
      </c>
      <c r="V8" s="46">
        <f aca="true" t="shared" si="2" ref="V8:V28">H8*P8</f>
        <v>58538.7</v>
      </c>
    </row>
    <row r="9" spans="1:22" ht="15.75">
      <c r="A9" s="17"/>
      <c r="B9" s="1" t="s">
        <v>25</v>
      </c>
      <c r="C9" s="33">
        <v>110.8</v>
      </c>
      <c r="D9" s="33">
        <v>80.2</v>
      </c>
      <c r="E9" s="33">
        <v>63.5</v>
      </c>
      <c r="F9" s="33">
        <v>48.6</v>
      </c>
      <c r="G9" s="33"/>
      <c r="H9" s="71">
        <v>85.5</v>
      </c>
      <c r="I9" s="22">
        <f>(+H9)/'AAUP 11_12'!H9-1</f>
        <v>0.014234875444839812</v>
      </c>
      <c r="J9" s="23"/>
      <c r="K9" s="49"/>
      <c r="L9" s="20">
        <f>304+119</f>
        <v>423</v>
      </c>
      <c r="M9" s="20">
        <f>213+188</f>
        <v>401</v>
      </c>
      <c r="N9" s="20">
        <f>149+193</f>
        <v>342</v>
      </c>
      <c r="O9" s="20">
        <f>4+24</f>
        <v>28</v>
      </c>
      <c r="P9" s="20">
        <f t="shared" si="0"/>
        <v>1194</v>
      </c>
      <c r="Q9" s="20"/>
      <c r="R9" s="46">
        <f t="shared" si="1"/>
        <v>46868.4</v>
      </c>
      <c r="S9" s="46">
        <f t="shared" si="1"/>
        <v>32160.2</v>
      </c>
      <c r="T9" s="46">
        <f t="shared" si="1"/>
        <v>21717</v>
      </c>
      <c r="U9" s="46">
        <f t="shared" si="1"/>
        <v>1360.8</v>
      </c>
      <c r="V9" s="46">
        <f t="shared" si="2"/>
        <v>102087</v>
      </c>
    </row>
    <row r="10" spans="1:22" ht="15.75">
      <c r="A10" s="17"/>
      <c r="B10" s="1" t="s">
        <v>26</v>
      </c>
      <c r="C10" s="33">
        <v>98.4</v>
      </c>
      <c r="D10" s="33">
        <v>73.2</v>
      </c>
      <c r="E10" s="33">
        <v>67.4</v>
      </c>
      <c r="F10" s="33">
        <v>56</v>
      </c>
      <c r="G10" s="33"/>
      <c r="H10" s="71">
        <v>76.7</v>
      </c>
      <c r="I10" s="22">
        <f>(+H10)/'AAUP 11_12'!H10-1</f>
        <v>0.006561679790026309</v>
      </c>
      <c r="J10" s="23"/>
      <c r="K10" s="49"/>
      <c r="L10" s="20">
        <f>103+41</f>
        <v>144</v>
      </c>
      <c r="M10" s="20">
        <f>126+84</f>
        <v>210</v>
      </c>
      <c r="N10" s="20">
        <f>44+43</f>
        <v>87</v>
      </c>
      <c r="O10" s="20">
        <f>6+1</f>
        <v>7</v>
      </c>
      <c r="P10" s="20">
        <f t="shared" si="0"/>
        <v>448</v>
      </c>
      <c r="Q10" s="20"/>
      <c r="R10" s="46">
        <f t="shared" si="1"/>
        <v>14169.6</v>
      </c>
      <c r="S10" s="46">
        <f t="shared" si="1"/>
        <v>15372</v>
      </c>
      <c r="T10" s="46">
        <f t="shared" si="1"/>
        <v>5863.8</v>
      </c>
      <c r="U10" s="46">
        <f t="shared" si="1"/>
        <v>392</v>
      </c>
      <c r="V10" s="46">
        <f t="shared" si="2"/>
        <v>34361.6</v>
      </c>
    </row>
    <row r="11" spans="1:22" ht="15.75">
      <c r="A11" s="17"/>
      <c r="B11" s="1" t="s">
        <v>52</v>
      </c>
      <c r="C11" s="33"/>
      <c r="D11" s="33"/>
      <c r="E11" s="33"/>
      <c r="F11" s="33"/>
      <c r="G11" s="33"/>
      <c r="H11" s="71"/>
      <c r="I11" s="22"/>
      <c r="J11" s="23"/>
      <c r="K11" s="49"/>
      <c r="L11" s="20"/>
      <c r="M11" s="20"/>
      <c r="N11" s="20"/>
      <c r="O11" s="20"/>
      <c r="P11" s="20">
        <f t="shared" si="0"/>
        <v>0</v>
      </c>
      <c r="Q11" s="20"/>
      <c r="R11" s="46">
        <f t="shared" si="1"/>
        <v>0</v>
      </c>
      <c r="S11" s="46">
        <f t="shared" si="1"/>
        <v>0</v>
      </c>
      <c r="T11" s="46">
        <f t="shared" si="1"/>
        <v>0</v>
      </c>
      <c r="U11" s="46">
        <f t="shared" si="1"/>
        <v>0</v>
      </c>
      <c r="V11" s="46">
        <f t="shared" si="2"/>
        <v>0</v>
      </c>
    </row>
    <row r="12" spans="1:22" ht="15.75">
      <c r="A12" s="17"/>
      <c r="B12" s="1" t="s">
        <v>40</v>
      </c>
      <c r="C12" s="33">
        <v>117.3</v>
      </c>
      <c r="D12" s="33">
        <v>88.1</v>
      </c>
      <c r="E12" s="33">
        <v>76.5</v>
      </c>
      <c r="F12" s="33">
        <v>56.3</v>
      </c>
      <c r="G12" s="33"/>
      <c r="H12" s="71">
        <v>84.3</v>
      </c>
      <c r="I12" s="22">
        <f>(+H12)/'AAUP 11_12'!H12-1</f>
        <v>0</v>
      </c>
      <c r="J12" s="23"/>
      <c r="K12" s="49"/>
      <c r="L12" s="20">
        <f>179+55</f>
        <v>234</v>
      </c>
      <c r="M12" s="20">
        <f>171+97</f>
        <v>268</v>
      </c>
      <c r="N12" s="20">
        <f>150+148</f>
        <v>298</v>
      </c>
      <c r="O12" s="20">
        <f>97+99</f>
        <v>196</v>
      </c>
      <c r="P12" s="20">
        <f t="shared" si="0"/>
        <v>996</v>
      </c>
      <c r="Q12" s="20"/>
      <c r="R12" s="46">
        <f t="shared" si="1"/>
        <v>27448.2</v>
      </c>
      <c r="S12" s="46">
        <f t="shared" si="1"/>
        <v>23610.8</v>
      </c>
      <c r="T12" s="46">
        <f t="shared" si="1"/>
        <v>22797</v>
      </c>
      <c r="U12" s="46">
        <f t="shared" si="1"/>
        <v>11034.8</v>
      </c>
      <c r="V12" s="46">
        <f t="shared" si="2"/>
        <v>83962.8</v>
      </c>
    </row>
    <row r="13" spans="1:22" s="16" customFormat="1" ht="15.75">
      <c r="A13" s="24"/>
      <c r="B13" s="1" t="s">
        <v>27</v>
      </c>
      <c r="C13" s="33">
        <v>121.7</v>
      </c>
      <c r="D13" s="33">
        <v>80.1</v>
      </c>
      <c r="E13" s="33">
        <v>72.2</v>
      </c>
      <c r="F13" s="33">
        <v>48.7</v>
      </c>
      <c r="G13" s="33"/>
      <c r="H13" s="71">
        <v>79.5</v>
      </c>
      <c r="I13" s="22">
        <f>(+H13)/'AAUP 11_12'!H13-1</f>
        <v>0.0037878787878786735</v>
      </c>
      <c r="J13" s="25"/>
      <c r="K13" s="50"/>
      <c r="L13" s="20">
        <f>172+69</f>
        <v>241</v>
      </c>
      <c r="M13" s="20">
        <f>176+161</f>
        <v>337</v>
      </c>
      <c r="N13" s="20">
        <f>162+195</f>
        <v>357</v>
      </c>
      <c r="O13" s="21">
        <f>19+41</f>
        <v>60</v>
      </c>
      <c r="P13" s="20">
        <f t="shared" si="0"/>
        <v>995</v>
      </c>
      <c r="Q13" s="21"/>
      <c r="R13" s="46">
        <f t="shared" si="1"/>
        <v>29329.7</v>
      </c>
      <c r="S13" s="46">
        <f t="shared" si="1"/>
        <v>26993.699999999997</v>
      </c>
      <c r="T13" s="46">
        <f t="shared" si="1"/>
        <v>25775.4</v>
      </c>
      <c r="U13" s="46">
        <f t="shared" si="1"/>
        <v>2922</v>
      </c>
      <c r="V13" s="46">
        <f t="shared" si="2"/>
        <v>79102.5</v>
      </c>
    </row>
    <row r="14" spans="1:22" ht="15.75">
      <c r="A14" s="17"/>
      <c r="B14" s="1" t="s">
        <v>28</v>
      </c>
      <c r="C14" s="33">
        <v>134.1</v>
      </c>
      <c r="D14" s="33">
        <v>88.7</v>
      </c>
      <c r="E14" s="33">
        <v>86.1</v>
      </c>
      <c r="F14" s="33"/>
      <c r="G14" s="33"/>
      <c r="H14" s="71">
        <v>91.9</v>
      </c>
      <c r="I14" s="22">
        <f>(+H14)/'AAUP 11_12'!H14-1</f>
        <v>0.024526198439241975</v>
      </c>
      <c r="J14" s="23"/>
      <c r="K14" s="49"/>
      <c r="L14" s="20">
        <f>320+68</f>
        <v>388</v>
      </c>
      <c r="M14" s="20">
        <f>193+120</f>
        <v>313</v>
      </c>
      <c r="N14" s="20">
        <f>121+94</f>
        <v>215</v>
      </c>
      <c r="O14" s="20">
        <f>0+0</f>
        <v>0</v>
      </c>
      <c r="P14" s="20">
        <f t="shared" si="0"/>
        <v>916</v>
      </c>
      <c r="Q14" s="20"/>
      <c r="R14" s="46">
        <f t="shared" si="1"/>
        <v>52030.799999999996</v>
      </c>
      <c r="S14" s="46">
        <f t="shared" si="1"/>
        <v>27763.100000000002</v>
      </c>
      <c r="T14" s="46">
        <f t="shared" si="1"/>
        <v>18511.5</v>
      </c>
      <c r="U14" s="46">
        <f t="shared" si="1"/>
        <v>0</v>
      </c>
      <c r="V14" s="46">
        <f t="shared" si="2"/>
        <v>84180.40000000001</v>
      </c>
    </row>
    <row r="15" spans="1:22" ht="15.75">
      <c r="A15" s="17"/>
      <c r="B15" s="1" t="s">
        <v>29</v>
      </c>
      <c r="C15" s="46">
        <v>132.8</v>
      </c>
      <c r="D15" s="46">
        <v>90.7</v>
      </c>
      <c r="E15" s="46">
        <v>78.1</v>
      </c>
      <c r="F15" s="33">
        <v>61.4</v>
      </c>
      <c r="G15" s="33"/>
      <c r="H15" s="71">
        <v>95.6</v>
      </c>
      <c r="I15" s="22">
        <f>(+H15)/'AAUP 11_12'!H15-1</f>
        <v>0.010570824524312794</v>
      </c>
      <c r="J15" s="23"/>
      <c r="K15" s="49"/>
      <c r="L15" s="20">
        <f>235+95</f>
        <v>330</v>
      </c>
      <c r="M15" s="20">
        <f>185+148</f>
        <v>333</v>
      </c>
      <c r="N15" s="20">
        <f>128+162</f>
        <v>290</v>
      </c>
      <c r="O15" s="20">
        <f>2+15</f>
        <v>17</v>
      </c>
      <c r="P15" s="20">
        <f t="shared" si="0"/>
        <v>970</v>
      </c>
      <c r="Q15" s="20"/>
      <c r="R15" s="46">
        <f t="shared" si="1"/>
        <v>43824.00000000001</v>
      </c>
      <c r="S15" s="46">
        <f t="shared" si="1"/>
        <v>30203.100000000002</v>
      </c>
      <c r="T15" s="46">
        <f t="shared" si="1"/>
        <v>22649</v>
      </c>
      <c r="U15" s="46">
        <f t="shared" si="1"/>
        <v>1043.8</v>
      </c>
      <c r="V15" s="46">
        <f t="shared" si="2"/>
        <v>92732</v>
      </c>
    </row>
    <row r="16" spans="1:22" ht="15.75">
      <c r="A16" s="17"/>
      <c r="B16" s="1" t="s">
        <v>30</v>
      </c>
      <c r="C16" s="33">
        <v>110</v>
      </c>
      <c r="D16" s="33">
        <v>79.9</v>
      </c>
      <c r="E16" s="33">
        <v>67.3</v>
      </c>
      <c r="F16" s="33"/>
      <c r="G16" s="33"/>
      <c r="H16" s="71">
        <v>76.7</v>
      </c>
      <c r="I16" s="22">
        <f>(+H16)/'AAUP 11_12'!H16-1</f>
        <v>0.030913978494623517</v>
      </c>
      <c r="J16" s="23"/>
      <c r="K16" s="49"/>
      <c r="L16" s="20">
        <f>156+73</f>
        <v>229</v>
      </c>
      <c r="M16" s="20">
        <f>167+151</f>
        <v>318</v>
      </c>
      <c r="N16" s="20">
        <f>141+159</f>
        <v>300</v>
      </c>
      <c r="O16" s="20">
        <f>1+0</f>
        <v>1</v>
      </c>
      <c r="P16" s="20">
        <f t="shared" si="0"/>
        <v>848</v>
      </c>
      <c r="Q16" s="20"/>
      <c r="R16" s="46">
        <f t="shared" si="1"/>
        <v>25190</v>
      </c>
      <c r="S16" s="46">
        <f t="shared" si="1"/>
        <v>25408.2</v>
      </c>
      <c r="T16" s="46">
        <f t="shared" si="1"/>
        <v>20190</v>
      </c>
      <c r="U16" s="46">
        <f t="shared" si="1"/>
        <v>0</v>
      </c>
      <c r="V16" s="46">
        <f t="shared" si="2"/>
        <v>65041.600000000006</v>
      </c>
    </row>
    <row r="17" spans="1:22" ht="15.75">
      <c r="A17" s="17"/>
      <c r="B17" s="1" t="s">
        <v>31</v>
      </c>
      <c r="C17" s="33">
        <v>132.8</v>
      </c>
      <c r="D17" s="33">
        <v>93.4</v>
      </c>
      <c r="E17" s="33">
        <v>80.4</v>
      </c>
      <c r="F17" s="33"/>
      <c r="G17" s="33"/>
      <c r="H17" s="71">
        <v>89.2</v>
      </c>
      <c r="I17" s="22">
        <f>(+H17)/'AAUP 11_12'!H17-1</f>
        <v>0.06317044100119196</v>
      </c>
      <c r="J17" s="23"/>
      <c r="K17" s="49"/>
      <c r="L17" s="20">
        <f>78+49</f>
        <v>127</v>
      </c>
      <c r="M17" s="20">
        <f>86+87</f>
        <v>173</v>
      </c>
      <c r="N17" s="20">
        <f>72+80</f>
        <v>152</v>
      </c>
      <c r="O17" s="20">
        <f>0+0</f>
        <v>0</v>
      </c>
      <c r="P17" s="20">
        <f t="shared" si="0"/>
        <v>452</v>
      </c>
      <c r="Q17" s="20"/>
      <c r="R17" s="46">
        <f t="shared" si="1"/>
        <v>16865.600000000002</v>
      </c>
      <c r="S17" s="46">
        <f t="shared" si="1"/>
        <v>16158.2</v>
      </c>
      <c r="T17" s="46">
        <f t="shared" si="1"/>
        <v>12220.800000000001</v>
      </c>
      <c r="U17" s="46">
        <f t="shared" si="1"/>
        <v>0</v>
      </c>
      <c r="V17" s="46">
        <f t="shared" si="2"/>
        <v>40318.4</v>
      </c>
    </row>
    <row r="18" spans="1:22" ht="15.75">
      <c r="A18" s="17"/>
      <c r="B18" s="1" t="s">
        <v>32</v>
      </c>
      <c r="C18" s="33">
        <v>105.5</v>
      </c>
      <c r="D18" s="33">
        <v>74.6</v>
      </c>
      <c r="E18" s="33">
        <v>63.2</v>
      </c>
      <c r="F18" s="33">
        <v>43.2</v>
      </c>
      <c r="G18" s="33"/>
      <c r="H18" s="71">
        <v>74.8</v>
      </c>
      <c r="I18" s="22">
        <f>(+H18)/'AAUP 11_12'!H18-1</f>
        <v>0.027472527472527375</v>
      </c>
      <c r="J18" s="23"/>
      <c r="K18" s="49"/>
      <c r="L18" s="20">
        <f>189+46</f>
        <v>235</v>
      </c>
      <c r="M18" s="20">
        <f>147+100</f>
        <v>247</v>
      </c>
      <c r="N18" s="20">
        <f>112+130</f>
        <v>242</v>
      </c>
      <c r="O18" s="20">
        <f>59+76</f>
        <v>135</v>
      </c>
      <c r="P18" s="20">
        <f t="shared" si="0"/>
        <v>859</v>
      </c>
      <c r="Q18" s="20"/>
      <c r="R18" s="46">
        <f t="shared" si="1"/>
        <v>24792.5</v>
      </c>
      <c r="S18" s="46">
        <f t="shared" si="1"/>
        <v>18426.199999999997</v>
      </c>
      <c r="T18" s="46">
        <f t="shared" si="1"/>
        <v>15294.400000000001</v>
      </c>
      <c r="U18" s="46">
        <f t="shared" si="1"/>
        <v>5832</v>
      </c>
      <c r="V18" s="46">
        <f t="shared" si="2"/>
        <v>64253.2</v>
      </c>
    </row>
    <row r="19" spans="1:22" s="62" customFormat="1" ht="15.75">
      <c r="A19" s="12"/>
      <c r="B19" s="6" t="s">
        <v>7</v>
      </c>
      <c r="C19" s="54">
        <v>106</v>
      </c>
      <c r="D19" s="54">
        <v>77.4</v>
      </c>
      <c r="E19" s="54">
        <v>64</v>
      </c>
      <c r="F19" s="54"/>
      <c r="G19" s="54"/>
      <c r="H19" s="87">
        <v>80.7</v>
      </c>
      <c r="I19" s="53">
        <f>(+H19)/'AAUP 11_12'!H19-1</f>
        <v>-0.0024721878862793423</v>
      </c>
      <c r="J19" s="59"/>
      <c r="K19" s="60"/>
      <c r="L19" s="81">
        <f>112+48</f>
        <v>160</v>
      </c>
      <c r="M19" s="81">
        <f>131+93</f>
        <v>224</v>
      </c>
      <c r="N19" s="81">
        <f>95+103</f>
        <v>198</v>
      </c>
      <c r="O19" s="81">
        <f>0+0</f>
        <v>0</v>
      </c>
      <c r="P19" s="81">
        <f t="shared" si="0"/>
        <v>582</v>
      </c>
      <c r="Q19" s="81"/>
      <c r="R19" s="61">
        <f t="shared" si="1"/>
        <v>16960</v>
      </c>
      <c r="S19" s="61">
        <f t="shared" si="1"/>
        <v>17337.600000000002</v>
      </c>
      <c r="T19" s="61">
        <f t="shared" si="1"/>
        <v>12672</v>
      </c>
      <c r="U19" s="61">
        <f t="shared" si="1"/>
        <v>0</v>
      </c>
      <c r="V19" s="61">
        <f t="shared" si="2"/>
        <v>46967.4</v>
      </c>
    </row>
    <row r="20" spans="1:22" s="62" customFormat="1" ht="15.75">
      <c r="A20" s="12"/>
      <c r="B20" s="6" t="s">
        <v>9</v>
      </c>
      <c r="C20" s="100">
        <v>96.7</v>
      </c>
      <c r="D20" s="100">
        <v>69.7</v>
      </c>
      <c r="E20" s="100">
        <v>57.1</v>
      </c>
      <c r="F20" s="100"/>
      <c r="G20" s="100"/>
      <c r="H20" s="101">
        <v>73.9</v>
      </c>
      <c r="I20" s="53">
        <f>(+H20)/'AAUP 11_12'!H20-1</f>
        <v>-0.0026990553306340814</v>
      </c>
      <c r="J20" s="59"/>
      <c r="K20" s="60"/>
      <c r="L20" s="98">
        <f>86+42</f>
        <v>128</v>
      </c>
      <c r="M20" s="98">
        <f>78+93</f>
        <v>171</v>
      </c>
      <c r="N20" s="98">
        <f>47+84</f>
        <v>131</v>
      </c>
      <c r="O20" s="81">
        <f>0+0</f>
        <v>0</v>
      </c>
      <c r="P20" s="81">
        <f>SUM(L20:O20)</f>
        <v>430</v>
      </c>
      <c r="Q20" s="81"/>
      <c r="R20" s="61">
        <f>C20*L20</f>
        <v>12377.6</v>
      </c>
      <c r="S20" s="61">
        <f>D20*M20</f>
        <v>11918.7</v>
      </c>
      <c r="T20" s="61">
        <f>E20*N20</f>
        <v>7480.1</v>
      </c>
      <c r="U20" s="61">
        <f>F20*O20</f>
        <v>0</v>
      </c>
      <c r="V20" s="61">
        <f>H20*P20</f>
        <v>31777.000000000004</v>
      </c>
    </row>
    <row r="21" spans="1:22" ht="15.75">
      <c r="A21" s="17"/>
      <c r="B21" s="1" t="s">
        <v>33</v>
      </c>
      <c r="C21" s="33">
        <v>88.3</v>
      </c>
      <c r="D21" s="33">
        <v>66.1</v>
      </c>
      <c r="E21" s="33">
        <v>61.9</v>
      </c>
      <c r="F21" s="33">
        <v>38.5</v>
      </c>
      <c r="G21" s="33"/>
      <c r="H21" s="71">
        <v>67.8</v>
      </c>
      <c r="I21" s="22">
        <f>(+H21)/'AAUP 11_12'!H21-1</f>
        <v>0.004444444444444473</v>
      </c>
      <c r="J21" s="23"/>
      <c r="K21" s="49"/>
      <c r="L21" s="20">
        <f>79+25</f>
        <v>104</v>
      </c>
      <c r="M21" s="20">
        <f>48+31</f>
        <v>79</v>
      </c>
      <c r="N21" s="20">
        <f>44+32</f>
        <v>76</v>
      </c>
      <c r="O21" s="20">
        <f>19+34</f>
        <v>53</v>
      </c>
      <c r="P21" s="20">
        <f t="shared" si="0"/>
        <v>312</v>
      </c>
      <c r="Q21" s="20"/>
      <c r="R21" s="46">
        <f t="shared" si="1"/>
        <v>9183.199999999999</v>
      </c>
      <c r="S21" s="46">
        <f t="shared" si="1"/>
        <v>5221.9</v>
      </c>
      <c r="T21" s="46">
        <f t="shared" si="1"/>
        <v>4704.4</v>
      </c>
      <c r="U21" s="46">
        <f t="shared" si="1"/>
        <v>2040.5</v>
      </c>
      <c r="V21" s="46">
        <f t="shared" si="2"/>
        <v>21153.6</v>
      </c>
    </row>
    <row r="22" spans="1:22" ht="15.75">
      <c r="A22" s="17"/>
      <c r="B22" s="1" t="s">
        <v>6</v>
      </c>
      <c r="C22" s="41">
        <v>135.9</v>
      </c>
      <c r="D22" s="41">
        <v>91.5</v>
      </c>
      <c r="E22" s="41">
        <v>75.8</v>
      </c>
      <c r="F22" s="41">
        <v>45.4</v>
      </c>
      <c r="G22" s="41"/>
      <c r="H22" s="88">
        <v>91.7</v>
      </c>
      <c r="I22" s="22">
        <f>(+H22)/'AAUP 11_12'!H22-1</f>
        <v>0.003282275711159688</v>
      </c>
      <c r="J22" s="23"/>
      <c r="K22" s="49"/>
      <c r="L22" s="47">
        <f>339+111</f>
        <v>450</v>
      </c>
      <c r="M22" s="47">
        <f>254+154</f>
        <v>408</v>
      </c>
      <c r="N22" s="47">
        <f>212+260</f>
        <v>472</v>
      </c>
      <c r="O22" s="47">
        <f>22+68</f>
        <v>90</v>
      </c>
      <c r="P22" s="20">
        <f t="shared" si="0"/>
        <v>1420</v>
      </c>
      <c r="Q22" s="20"/>
      <c r="R22" s="46">
        <f t="shared" si="1"/>
        <v>61155</v>
      </c>
      <c r="S22" s="46">
        <f t="shared" si="1"/>
        <v>37332</v>
      </c>
      <c r="T22" s="46">
        <f t="shared" si="1"/>
        <v>35777.6</v>
      </c>
      <c r="U22" s="46">
        <f t="shared" si="1"/>
        <v>4086</v>
      </c>
      <c r="V22" s="46">
        <f t="shared" si="2"/>
        <v>130214</v>
      </c>
    </row>
    <row r="23" spans="1:22" s="77" customFormat="1" ht="15.75">
      <c r="A23" s="82"/>
      <c r="B23" s="1" t="s">
        <v>34</v>
      </c>
      <c r="C23" s="71">
        <v>97.1</v>
      </c>
      <c r="D23" s="71">
        <v>73.9</v>
      </c>
      <c r="E23" s="71">
        <v>63</v>
      </c>
      <c r="F23" s="71">
        <v>43.5</v>
      </c>
      <c r="G23" s="71"/>
      <c r="H23" s="71">
        <v>72.4</v>
      </c>
      <c r="I23" s="22">
        <f>(+H23)/'AAUP 11_12'!H23-1</f>
        <v>0.04172661870503602</v>
      </c>
      <c r="J23" s="73"/>
      <c r="K23" s="74"/>
      <c r="L23" s="75">
        <f>163+68</f>
        <v>231</v>
      </c>
      <c r="M23" s="75">
        <f>107+77</f>
        <v>184</v>
      </c>
      <c r="N23" s="75">
        <f>88+111</f>
        <v>199</v>
      </c>
      <c r="O23" s="75">
        <f>48+95</f>
        <v>143</v>
      </c>
      <c r="P23" s="75">
        <f t="shared" si="0"/>
        <v>757</v>
      </c>
      <c r="Q23" s="75"/>
      <c r="R23" s="76">
        <f t="shared" si="1"/>
        <v>22430.1</v>
      </c>
      <c r="S23" s="76">
        <f t="shared" si="1"/>
        <v>13597.6</v>
      </c>
      <c r="T23" s="76">
        <f t="shared" si="1"/>
        <v>12537</v>
      </c>
      <c r="U23" s="76">
        <f t="shared" si="1"/>
        <v>6220.5</v>
      </c>
      <c r="V23" s="76">
        <f t="shared" si="2"/>
        <v>54806.8</v>
      </c>
    </row>
    <row r="24" spans="1:22" s="77" customFormat="1" ht="15.75">
      <c r="A24" s="69"/>
      <c r="B24" s="1" t="s">
        <v>35</v>
      </c>
      <c r="C24" s="71">
        <v>134.6</v>
      </c>
      <c r="D24" s="71">
        <v>94.9</v>
      </c>
      <c r="E24" s="71">
        <v>71</v>
      </c>
      <c r="F24" s="71">
        <v>55.6</v>
      </c>
      <c r="G24" s="71"/>
      <c r="H24" s="71">
        <v>94.5</v>
      </c>
      <c r="I24" s="22">
        <f>(+H24)/'AAUP 11_12'!H24-1</f>
        <v>0.0021208907741252503</v>
      </c>
      <c r="J24" s="73"/>
      <c r="K24" s="74"/>
      <c r="L24" s="75">
        <f>307+97</f>
        <v>404</v>
      </c>
      <c r="M24" s="75">
        <f>241+182</f>
        <v>423</v>
      </c>
      <c r="N24" s="75">
        <f>295+249</f>
        <v>544</v>
      </c>
      <c r="O24" s="75">
        <f>41+51</f>
        <v>92</v>
      </c>
      <c r="P24" s="75">
        <f t="shared" si="0"/>
        <v>1463</v>
      </c>
      <c r="Q24" s="75"/>
      <c r="R24" s="76">
        <f t="shared" si="1"/>
        <v>54378.399999999994</v>
      </c>
      <c r="S24" s="76">
        <f t="shared" si="1"/>
        <v>40142.700000000004</v>
      </c>
      <c r="T24" s="76">
        <f t="shared" si="1"/>
        <v>38624</v>
      </c>
      <c r="U24" s="76">
        <f t="shared" si="1"/>
        <v>5115.2</v>
      </c>
      <c r="V24" s="76">
        <f t="shared" si="2"/>
        <v>138253.5</v>
      </c>
    </row>
    <row r="25" spans="1:22" s="77" customFormat="1" ht="15.75">
      <c r="A25" s="82"/>
      <c r="B25" s="1" t="s">
        <v>36</v>
      </c>
      <c r="C25" s="71">
        <v>108.9</v>
      </c>
      <c r="D25" s="71">
        <v>83.3</v>
      </c>
      <c r="E25" s="71">
        <v>71.5</v>
      </c>
      <c r="F25" s="71">
        <v>57</v>
      </c>
      <c r="G25" s="71"/>
      <c r="H25" s="71">
        <v>78.5</v>
      </c>
      <c r="I25" s="22">
        <f>(+H25)/'AAUP 11_12'!H25-1</f>
        <v>0.030183727034120755</v>
      </c>
      <c r="J25" s="73"/>
      <c r="K25" s="74"/>
      <c r="L25" s="75">
        <f>168+61</f>
        <v>229</v>
      </c>
      <c r="M25" s="75">
        <f>164+92</f>
        <v>256</v>
      </c>
      <c r="N25" s="75">
        <f>100+62</f>
        <v>162</v>
      </c>
      <c r="O25" s="75">
        <f>3+20</f>
        <v>23</v>
      </c>
      <c r="P25" s="75">
        <f t="shared" si="0"/>
        <v>670</v>
      </c>
      <c r="Q25" s="75"/>
      <c r="R25" s="76">
        <f t="shared" si="1"/>
        <v>24938.100000000002</v>
      </c>
      <c r="S25" s="76">
        <f t="shared" si="1"/>
        <v>21324.8</v>
      </c>
      <c r="T25" s="76">
        <f t="shared" si="1"/>
        <v>11583</v>
      </c>
      <c r="U25" s="76">
        <f t="shared" si="1"/>
        <v>1311</v>
      </c>
      <c r="V25" s="76">
        <f t="shared" si="2"/>
        <v>52595</v>
      </c>
    </row>
    <row r="26" spans="1:22" s="77" customFormat="1" ht="15.75">
      <c r="A26" s="69"/>
      <c r="B26" s="70" t="s">
        <v>37</v>
      </c>
      <c r="C26" s="71">
        <v>114.8</v>
      </c>
      <c r="D26" s="71">
        <v>79.2</v>
      </c>
      <c r="E26" s="71">
        <v>70.1</v>
      </c>
      <c r="F26" s="71">
        <v>47.6</v>
      </c>
      <c r="G26" s="71"/>
      <c r="H26" s="71">
        <v>78.5</v>
      </c>
      <c r="I26" s="22">
        <f>(+H26)/'AAUP 11_12'!H26-1</f>
        <v>-0.019975031210986205</v>
      </c>
      <c r="J26" s="73"/>
      <c r="K26" s="74"/>
      <c r="L26" s="75">
        <f>146+63</f>
        <v>209</v>
      </c>
      <c r="M26" s="75">
        <f>189+138</f>
        <v>327</v>
      </c>
      <c r="N26" s="75">
        <f>180+222</f>
        <v>402</v>
      </c>
      <c r="O26" s="75">
        <f>64+79</f>
        <v>143</v>
      </c>
      <c r="P26" s="75">
        <f t="shared" si="0"/>
        <v>1081</v>
      </c>
      <c r="Q26" s="75"/>
      <c r="R26" s="76">
        <f t="shared" si="1"/>
        <v>23993.2</v>
      </c>
      <c r="S26" s="76">
        <f t="shared" si="1"/>
        <v>25898.4</v>
      </c>
      <c r="T26" s="76">
        <f t="shared" si="1"/>
        <v>28180.199999999997</v>
      </c>
      <c r="U26" s="76">
        <f t="shared" si="1"/>
        <v>6806.8</v>
      </c>
      <c r="V26" s="76">
        <f t="shared" si="2"/>
        <v>84858.5</v>
      </c>
    </row>
    <row r="27" spans="1:22" s="77" customFormat="1" ht="15.75">
      <c r="A27" s="69"/>
      <c r="B27" s="70" t="s">
        <v>39</v>
      </c>
      <c r="C27" s="71">
        <v>117.4</v>
      </c>
      <c r="D27" s="71">
        <v>86.9</v>
      </c>
      <c r="E27" s="71">
        <v>74.5</v>
      </c>
      <c r="F27" s="71">
        <v>65.4</v>
      </c>
      <c r="G27" s="71"/>
      <c r="H27" s="71">
        <v>86.4</v>
      </c>
      <c r="I27" s="22">
        <f>(+H27)/'AAUP 11_12'!H27-1</f>
        <v>0.002320185614849146</v>
      </c>
      <c r="J27" s="73"/>
      <c r="K27" s="74"/>
      <c r="L27" s="75">
        <f>222+55</f>
        <v>277</v>
      </c>
      <c r="M27" s="75">
        <f>175+119</f>
        <v>294</v>
      </c>
      <c r="N27" s="75">
        <f>139+175</f>
        <v>314</v>
      </c>
      <c r="O27" s="75">
        <f>2+29</f>
        <v>31</v>
      </c>
      <c r="P27" s="75">
        <f t="shared" si="0"/>
        <v>916</v>
      </c>
      <c r="Q27" s="75"/>
      <c r="R27" s="76">
        <f t="shared" si="1"/>
        <v>32519.800000000003</v>
      </c>
      <c r="S27" s="76">
        <f t="shared" si="1"/>
        <v>25548.600000000002</v>
      </c>
      <c r="T27" s="76">
        <f t="shared" si="1"/>
        <v>23393</v>
      </c>
      <c r="U27" s="76">
        <f t="shared" si="1"/>
        <v>2027.4</v>
      </c>
      <c r="V27" s="76">
        <f t="shared" si="2"/>
        <v>79142.40000000001</v>
      </c>
    </row>
    <row r="28" spans="1:22" s="77" customFormat="1" ht="15.75">
      <c r="A28" s="69"/>
      <c r="B28" s="70" t="s">
        <v>24</v>
      </c>
      <c r="C28" s="71">
        <v>97.1</v>
      </c>
      <c r="D28" s="71">
        <v>72.4</v>
      </c>
      <c r="E28" s="71">
        <v>69.5</v>
      </c>
      <c r="F28" s="71">
        <v>51.5</v>
      </c>
      <c r="G28" s="71"/>
      <c r="H28" s="71">
        <v>70.9</v>
      </c>
      <c r="I28" s="22">
        <f>(+H28)/'AAUP 11_12'!H28-1</f>
        <v>0.014306151645207432</v>
      </c>
      <c r="J28" s="73"/>
      <c r="K28" s="74"/>
      <c r="L28" s="75">
        <f>143+62</f>
        <v>205</v>
      </c>
      <c r="M28" s="75">
        <f>177+166</f>
        <v>343</v>
      </c>
      <c r="N28" s="75">
        <f>120+139</f>
        <v>259</v>
      </c>
      <c r="O28" s="75">
        <f>1+3</f>
        <v>4</v>
      </c>
      <c r="P28" s="75">
        <f t="shared" si="0"/>
        <v>811</v>
      </c>
      <c r="Q28" s="75"/>
      <c r="R28" s="76">
        <f t="shared" si="1"/>
        <v>19905.5</v>
      </c>
      <c r="S28" s="76">
        <f t="shared" si="1"/>
        <v>24833.2</v>
      </c>
      <c r="T28" s="76">
        <f t="shared" si="1"/>
        <v>18000.5</v>
      </c>
      <c r="U28" s="76">
        <f t="shared" si="1"/>
        <v>206</v>
      </c>
      <c r="V28" s="76">
        <f t="shared" si="2"/>
        <v>57499.9</v>
      </c>
    </row>
    <row r="29" spans="1:22" s="77" customFormat="1" ht="15.75">
      <c r="A29" s="69"/>
      <c r="B29" s="70"/>
      <c r="C29" s="71"/>
      <c r="D29" s="71"/>
      <c r="E29" s="71"/>
      <c r="F29" s="71"/>
      <c r="G29" s="71"/>
      <c r="H29" s="71"/>
      <c r="I29" s="75"/>
      <c r="J29" s="73"/>
      <c r="K29" s="74"/>
      <c r="L29" s="75"/>
      <c r="M29" s="75"/>
      <c r="N29" s="75"/>
      <c r="O29" s="75"/>
      <c r="P29" s="75"/>
      <c r="Q29" s="75"/>
      <c r="R29" s="76"/>
      <c r="S29" s="76"/>
      <c r="T29" s="76"/>
      <c r="U29" s="76"/>
      <c r="V29" s="76"/>
    </row>
    <row r="30" spans="1:22" s="77" customFormat="1" ht="15.75">
      <c r="A30" s="69"/>
      <c r="B30" s="78" t="s">
        <v>42</v>
      </c>
      <c r="C30" s="71">
        <f aca="true" t="shared" si="3" ref="C30:F31">R30/L30</f>
        <v>117.92473030734784</v>
      </c>
      <c r="D30" s="71">
        <f t="shared" si="3"/>
        <v>82.8281244315081</v>
      </c>
      <c r="E30" s="71">
        <f>T30/N30</f>
        <v>71.14118093791532</v>
      </c>
      <c r="F30" s="71">
        <f t="shared" si="3"/>
        <v>50.14309090909091</v>
      </c>
      <c r="G30" s="71"/>
      <c r="H30" s="71">
        <f>V30/P30</f>
        <v>83.55762651248732</v>
      </c>
      <c r="I30" s="22">
        <f>(+H30)/'AAUP 11_12'!H30-1</f>
        <v>0.005870227538213868</v>
      </c>
      <c r="J30" s="73"/>
      <c r="K30" s="74"/>
      <c r="L30" s="79">
        <f>SUM(L8:L28)</f>
        <v>4913</v>
      </c>
      <c r="M30" s="79">
        <f>SUM(M8:M28)</f>
        <v>5497</v>
      </c>
      <c r="N30" s="79">
        <f>SUM(N8:N28)</f>
        <v>5267</v>
      </c>
      <c r="O30" s="79">
        <f>SUM(O8:O28)</f>
        <v>1100</v>
      </c>
      <c r="P30" s="79">
        <f>SUM(L30:O30)</f>
        <v>16777</v>
      </c>
      <c r="Q30" s="75"/>
      <c r="R30" s="76">
        <f>SUM(R8:R28)</f>
        <v>579364.2</v>
      </c>
      <c r="S30" s="76">
        <f>SUM(S8:S28)</f>
        <v>455306.2</v>
      </c>
      <c r="T30" s="76">
        <f>SUM(T8:T28)</f>
        <v>374700.60000000003</v>
      </c>
      <c r="U30" s="76">
        <f>SUM(U8:U28)</f>
        <v>55157.4</v>
      </c>
      <c r="V30" s="76">
        <f>SUM(V8:V28)</f>
        <v>1401846.2999999998</v>
      </c>
    </row>
    <row r="31" spans="1:22" s="77" customFormat="1" ht="15.75">
      <c r="A31" s="69"/>
      <c r="B31" s="78" t="s">
        <v>43</v>
      </c>
      <c r="C31" s="71">
        <f t="shared" si="3"/>
        <v>118.92467027027027</v>
      </c>
      <c r="D31" s="71">
        <f t="shared" si="3"/>
        <v>83.50644845158762</v>
      </c>
      <c r="E31" s="71">
        <f t="shared" si="3"/>
        <v>71.80002025111382</v>
      </c>
      <c r="F31" s="71">
        <f t="shared" si="3"/>
        <v>50.14309090909091</v>
      </c>
      <c r="G31" s="71"/>
      <c r="H31" s="71">
        <f>V31/P31</f>
        <v>83.92653980336188</v>
      </c>
      <c r="I31" s="22">
        <f>(+H31)/'AAUP 11_12'!H31-1</f>
        <v>0.006598804296391814</v>
      </c>
      <c r="J31" s="73"/>
      <c r="K31" s="74"/>
      <c r="L31" s="75">
        <f>L30-(L19+L20)</f>
        <v>4625</v>
      </c>
      <c r="M31" s="75">
        <f>M30-(M19+M20)</f>
        <v>5102</v>
      </c>
      <c r="N31" s="75">
        <f>N30-(N19+N20)</f>
        <v>4938</v>
      </c>
      <c r="O31" s="75">
        <f>O30-(O19+O20)</f>
        <v>1100</v>
      </c>
      <c r="P31" s="75">
        <f>SUM(L31:O31)</f>
        <v>15765</v>
      </c>
      <c r="Q31" s="75"/>
      <c r="R31" s="76">
        <f>R30-(R19+R20)</f>
        <v>550026.6</v>
      </c>
      <c r="S31" s="76">
        <f>S30-(S19+S20)</f>
        <v>426049.9</v>
      </c>
      <c r="T31" s="76">
        <f>T30-(T19+T20)</f>
        <v>354548.50000000006</v>
      </c>
      <c r="U31" s="76">
        <f>U30-(U19+U20)</f>
        <v>55157.4</v>
      </c>
      <c r="V31" s="76">
        <f>V30-(V19+V20)</f>
        <v>1323101.9</v>
      </c>
    </row>
    <row r="32" spans="1:22" ht="15.75">
      <c r="A32" s="17"/>
      <c r="B32" s="1"/>
      <c r="C32" s="33"/>
      <c r="D32" s="33"/>
      <c r="E32" s="33"/>
      <c r="F32" s="33"/>
      <c r="G32" s="33"/>
      <c r="H32" s="71"/>
      <c r="I32" s="20"/>
      <c r="J32" s="23"/>
      <c r="K32" s="49"/>
      <c r="L32" s="20"/>
      <c r="M32" s="20"/>
      <c r="N32" s="20"/>
      <c r="O32" s="20"/>
      <c r="P32" s="20"/>
      <c r="Q32" s="20"/>
      <c r="R32" s="46"/>
      <c r="S32" s="20"/>
      <c r="T32" s="20"/>
      <c r="U32" s="20"/>
      <c r="V32" s="20"/>
    </row>
    <row r="33" spans="1:24" ht="15.75">
      <c r="A33" s="17"/>
      <c r="B33" s="1" t="s">
        <v>5</v>
      </c>
      <c r="C33" s="41">
        <v>117.2</v>
      </c>
      <c r="D33" s="41">
        <v>78</v>
      </c>
      <c r="E33" s="41">
        <v>63.8</v>
      </c>
      <c r="F33" s="41"/>
      <c r="G33" s="41"/>
      <c r="H33" s="88">
        <v>86.3</v>
      </c>
      <c r="I33" s="22">
        <f>(+H33)/'AAUP 11_12'!H33-1</f>
        <v>0.03229665071770338</v>
      </c>
      <c r="J33" s="55"/>
      <c r="K33" s="57"/>
      <c r="L33" s="47">
        <v>394</v>
      </c>
      <c r="M33" s="47">
        <v>420</v>
      </c>
      <c r="N33" s="47">
        <v>387</v>
      </c>
      <c r="O33" s="47"/>
      <c r="P33" s="47">
        <f>SUM(L33:O33)</f>
        <v>1201</v>
      </c>
      <c r="Q33" s="47"/>
      <c r="R33" s="56">
        <f aca="true" t="shared" si="4" ref="R33:U36">C33*L33</f>
        <v>46176.8</v>
      </c>
      <c r="S33" s="56">
        <f t="shared" si="4"/>
        <v>32760</v>
      </c>
      <c r="T33" s="56">
        <f t="shared" si="4"/>
        <v>24690.6</v>
      </c>
      <c r="U33" s="56">
        <f t="shared" si="4"/>
        <v>0</v>
      </c>
      <c r="V33" s="56">
        <f>H33*P33</f>
        <v>103646.3</v>
      </c>
      <c r="X33" s="16"/>
    </row>
    <row r="34" spans="1:24" ht="15.75">
      <c r="A34" s="17"/>
      <c r="B34" s="1" t="s">
        <v>7</v>
      </c>
      <c r="C34" s="41">
        <v>106</v>
      </c>
      <c r="D34" s="41">
        <v>77.4</v>
      </c>
      <c r="E34" s="41">
        <v>64</v>
      </c>
      <c r="F34" s="33"/>
      <c r="G34" s="33"/>
      <c r="H34" s="88">
        <v>80.7</v>
      </c>
      <c r="I34" s="22">
        <f>(+H34)/'AAUP 11_12'!H34-1</f>
        <v>-0.0024721878862793423</v>
      </c>
      <c r="J34" s="23"/>
      <c r="K34" s="49"/>
      <c r="L34" s="47">
        <v>160</v>
      </c>
      <c r="M34" s="47">
        <v>224</v>
      </c>
      <c r="N34" s="47">
        <v>198</v>
      </c>
      <c r="O34" s="20"/>
      <c r="P34" s="20">
        <f>SUM(L34:O34)</f>
        <v>582</v>
      </c>
      <c r="Q34" s="20"/>
      <c r="R34" s="46">
        <f t="shared" si="4"/>
        <v>16960</v>
      </c>
      <c r="S34" s="46">
        <f t="shared" si="4"/>
        <v>17337.600000000002</v>
      </c>
      <c r="T34" s="46">
        <f t="shared" si="4"/>
        <v>12672</v>
      </c>
      <c r="U34" s="46">
        <f t="shared" si="4"/>
        <v>0</v>
      </c>
      <c r="V34" s="46">
        <f>H34*P34</f>
        <v>46967.4</v>
      </c>
      <c r="X34" s="16"/>
    </row>
    <row r="35" spans="1:24" ht="15.75">
      <c r="A35" s="17"/>
      <c r="B35" s="1" t="s">
        <v>20</v>
      </c>
      <c r="C35" s="41">
        <v>117.3</v>
      </c>
      <c r="D35" s="41">
        <v>81.5</v>
      </c>
      <c r="E35" s="41">
        <v>71.9</v>
      </c>
      <c r="F35" s="33"/>
      <c r="G35" s="33"/>
      <c r="H35" s="88">
        <v>91.6</v>
      </c>
      <c r="I35" s="22">
        <f>(+H35)/'AAUP 11_12'!H35-1</f>
        <v>0.02690582959641241</v>
      </c>
      <c r="J35" s="23"/>
      <c r="K35" s="49"/>
      <c r="L35" s="57">
        <v>114</v>
      </c>
      <c r="M35" s="57">
        <v>99</v>
      </c>
      <c r="N35" s="57">
        <v>98</v>
      </c>
      <c r="O35" s="20"/>
      <c r="P35" s="20">
        <f>SUM(L35:O35)</f>
        <v>311</v>
      </c>
      <c r="Q35" s="20"/>
      <c r="R35" s="46">
        <f t="shared" si="4"/>
        <v>13372.199999999999</v>
      </c>
      <c r="S35" s="46">
        <f t="shared" si="4"/>
        <v>8068.5</v>
      </c>
      <c r="T35" s="46">
        <f t="shared" si="4"/>
        <v>7046.200000000001</v>
      </c>
      <c r="U35" s="46">
        <f t="shared" si="4"/>
        <v>0</v>
      </c>
      <c r="V35" s="46">
        <f>H35*P35</f>
        <v>28487.6</v>
      </c>
      <c r="X35" s="16"/>
    </row>
    <row r="36" spans="1:24" ht="15.75">
      <c r="A36" s="17"/>
      <c r="B36" s="5" t="s">
        <v>9</v>
      </c>
      <c r="C36" s="102">
        <v>96.7</v>
      </c>
      <c r="D36" s="102">
        <v>69.7</v>
      </c>
      <c r="E36" s="102">
        <v>57.1</v>
      </c>
      <c r="F36" s="38"/>
      <c r="G36" s="38"/>
      <c r="H36" s="103">
        <v>73.9</v>
      </c>
      <c r="I36" s="22">
        <f>(+H36)/'AAUP 11_12'!H36-1</f>
        <v>-0.0026990553306340814</v>
      </c>
      <c r="J36" s="23"/>
      <c r="K36" s="49"/>
      <c r="L36" s="104">
        <v>128</v>
      </c>
      <c r="M36" s="104">
        <v>171</v>
      </c>
      <c r="N36" s="104">
        <v>131</v>
      </c>
      <c r="O36" s="26"/>
      <c r="P36" s="26">
        <f>SUM(L36:O36)</f>
        <v>430</v>
      </c>
      <c r="Q36" s="26"/>
      <c r="R36" s="51">
        <f t="shared" si="4"/>
        <v>12377.6</v>
      </c>
      <c r="S36" s="51">
        <f t="shared" si="4"/>
        <v>11918.7</v>
      </c>
      <c r="T36" s="51">
        <f t="shared" si="4"/>
        <v>7480.1</v>
      </c>
      <c r="U36" s="51">
        <f t="shared" si="4"/>
        <v>0</v>
      </c>
      <c r="V36" s="51">
        <f>H36*P36</f>
        <v>31777.000000000004</v>
      </c>
      <c r="X36" s="16"/>
    </row>
    <row r="37" spans="1:24" ht="15.75">
      <c r="A37" s="17"/>
      <c r="B37" s="7" t="s">
        <v>16</v>
      </c>
      <c r="C37" s="33">
        <f>R37/L37</f>
        <v>111.66658291457287</v>
      </c>
      <c r="D37" s="33">
        <f>S37/M37</f>
        <v>76.67921225382932</v>
      </c>
      <c r="E37" s="33">
        <f>T37/N37</f>
        <v>63.7455773955774</v>
      </c>
      <c r="F37" s="33"/>
      <c r="G37" s="33"/>
      <c r="H37" s="71">
        <f>V37/P37</f>
        <v>83.54924722662442</v>
      </c>
      <c r="I37" s="22">
        <f>(+H37)/'AAUP 11_12'!H37-1</f>
        <v>0.01826070112658451</v>
      </c>
      <c r="J37" s="23"/>
      <c r="K37" s="49"/>
      <c r="L37" s="20">
        <f>SUM(L33:L36)</f>
        <v>796</v>
      </c>
      <c r="M37" s="20">
        <f>SUM(M33:M36)</f>
        <v>914</v>
      </c>
      <c r="N37" s="20">
        <f>SUM(N33:N36)</f>
        <v>814</v>
      </c>
      <c r="O37" s="20">
        <f>SUM(O33:O36)</f>
        <v>0</v>
      </c>
      <c r="P37" s="20">
        <f>SUM(P33:P36)</f>
        <v>2524</v>
      </c>
      <c r="Q37" s="20"/>
      <c r="R37" s="46">
        <f>SUM(R33:R36)</f>
        <v>88886.6</v>
      </c>
      <c r="S37" s="46">
        <f>SUM(S33:S36)</f>
        <v>70084.8</v>
      </c>
      <c r="T37" s="46">
        <f>SUM(T33:T36)</f>
        <v>51888.9</v>
      </c>
      <c r="U37" s="46">
        <f>SUM(U33:U36)</f>
        <v>0</v>
      </c>
      <c r="V37" s="46">
        <f>SUM(V33:V36)</f>
        <v>210878.30000000002</v>
      </c>
      <c r="X37" s="16"/>
    </row>
    <row r="38" spans="1:11" ht="15.75">
      <c r="A38" s="17"/>
      <c r="B38" s="7" t="s">
        <v>46</v>
      </c>
      <c r="C38" s="22">
        <f>C31/C37-1</f>
        <v>0.06499784596480374</v>
      </c>
      <c r="D38" s="22">
        <f>D31/D37-1</f>
        <v>0.0890363371908185</v>
      </c>
      <c r="E38" s="22">
        <f>E31/E37-1</f>
        <v>0.12635296728985668</v>
      </c>
      <c r="F38" s="22"/>
      <c r="G38" s="33"/>
      <c r="H38" s="72">
        <f>H31/H37-1</f>
        <v>0.0045158106058582614</v>
      </c>
      <c r="J38" s="18"/>
      <c r="K38" s="31"/>
    </row>
    <row r="39" spans="1:29" ht="16.5" thickBot="1">
      <c r="A39" s="17"/>
      <c r="B39" s="2"/>
      <c r="C39" s="32"/>
      <c r="D39" s="32"/>
      <c r="E39" s="32"/>
      <c r="F39" s="32"/>
      <c r="G39" s="32"/>
      <c r="H39" s="83"/>
      <c r="I39" s="19"/>
      <c r="J39" s="18"/>
      <c r="K39" s="31"/>
      <c r="L39" s="31"/>
      <c r="M39" s="31"/>
      <c r="N39" s="31"/>
      <c r="O39" s="31"/>
      <c r="P39" s="31"/>
      <c r="Q39" s="31"/>
      <c r="R39" s="5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6.5" thickTop="1">
      <c r="A40" s="17"/>
      <c r="B40" s="15" t="s">
        <v>17</v>
      </c>
      <c r="C40" s="33"/>
      <c r="D40" s="33"/>
      <c r="E40" s="33"/>
      <c r="F40" s="33"/>
      <c r="G40" s="33"/>
      <c r="H40" s="71"/>
      <c r="J40" s="18"/>
      <c r="K40" s="31"/>
      <c r="L40" s="31"/>
      <c r="M40" s="31"/>
      <c r="N40" s="31"/>
      <c r="O40" s="31"/>
      <c r="P40" s="31"/>
      <c r="Q40" s="31"/>
      <c r="R40" s="5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5.75">
      <c r="A41" s="17"/>
      <c r="B41" s="80"/>
      <c r="C41" s="33"/>
      <c r="D41" s="33"/>
      <c r="E41" s="33"/>
      <c r="F41" s="33"/>
      <c r="G41" s="33"/>
      <c r="H41" s="71"/>
      <c r="J41" s="18"/>
      <c r="K41" s="31"/>
      <c r="L41" s="31"/>
      <c r="M41" s="31"/>
      <c r="N41" s="31"/>
      <c r="O41" s="31"/>
      <c r="P41" s="31"/>
      <c r="Q41" s="31"/>
      <c r="R41" s="5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5.75">
      <c r="A42" s="17"/>
      <c r="B42" s="1"/>
      <c r="C42" s="33"/>
      <c r="D42" s="33"/>
      <c r="E42" s="33"/>
      <c r="F42" s="33"/>
      <c r="G42" s="33"/>
      <c r="H42" s="71"/>
      <c r="J42" s="18"/>
      <c r="K42" s="31"/>
      <c r="L42" s="31"/>
      <c r="M42" s="31"/>
      <c r="N42" s="31"/>
      <c r="O42" s="31"/>
      <c r="P42" s="31"/>
      <c r="Q42" s="31"/>
      <c r="R42" s="5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11" ht="15.75">
      <c r="A43" s="27"/>
      <c r="B43" s="28"/>
      <c r="C43" s="39"/>
      <c r="D43" s="39"/>
      <c r="E43" s="39"/>
      <c r="F43" s="39"/>
      <c r="G43" s="39"/>
      <c r="H43" s="89"/>
      <c r="I43" s="105" t="s">
        <v>54</v>
      </c>
      <c r="J43" s="30"/>
      <c r="K43" s="31"/>
    </row>
  </sheetData>
  <sheetProtection/>
  <mergeCells count="2">
    <mergeCell ref="B1:I1"/>
    <mergeCell ref="B2:I2"/>
  </mergeCells>
  <printOptions/>
  <pageMargins left="0.75" right="0.5" top="0.5" bottom="0.5" header="0.5" footer="0.5"/>
  <pageSetup horizontalDpi="300" verticalDpi="300" orientation="portrait" scale="74" r:id="rId1"/>
  <ignoredErrors>
    <ignoredError sqref="O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5.75"/>
  <cols>
    <col min="1" max="1" width="2.625" style="15" customWidth="1"/>
    <col min="2" max="2" width="42.75390625" style="15" customWidth="1"/>
    <col min="3" max="6" width="11.375" style="40" customWidth="1"/>
    <col min="7" max="7" width="2.625" style="40" customWidth="1"/>
    <col min="8" max="8" width="11.375" style="90" customWidth="1"/>
    <col min="9" max="9" width="9.125" style="15" customWidth="1"/>
    <col min="10" max="11" width="2.625" style="15" customWidth="1"/>
    <col min="12" max="16" width="9.125" style="15" bestFit="1" customWidth="1"/>
    <col min="17" max="17" width="2.625" style="15" customWidth="1"/>
    <col min="18" max="18" width="11.375" style="42" bestFit="1" customWidth="1"/>
    <col min="19" max="19" width="9.75390625" style="15" customWidth="1"/>
    <col min="20" max="20" width="9.75390625" style="15" bestFit="1" customWidth="1"/>
    <col min="21" max="21" width="9.125" style="15" bestFit="1" customWidth="1"/>
    <col min="22" max="22" width="11.375" style="15" bestFit="1" customWidth="1"/>
    <col min="23" max="16384" width="9.00390625" style="15" customWidth="1"/>
  </cols>
  <sheetData>
    <row r="1" spans="1:11" ht="15.75">
      <c r="A1" s="13"/>
      <c r="B1" s="113" t="s">
        <v>38</v>
      </c>
      <c r="C1" s="113"/>
      <c r="D1" s="113"/>
      <c r="E1" s="113"/>
      <c r="F1" s="113"/>
      <c r="G1" s="113"/>
      <c r="H1" s="113"/>
      <c r="I1" s="113"/>
      <c r="J1" s="14"/>
      <c r="K1" s="31"/>
    </row>
    <row r="2" spans="1:11" ht="15.75">
      <c r="A2" s="17"/>
      <c r="B2" s="114" t="s">
        <v>51</v>
      </c>
      <c r="C2" s="114"/>
      <c r="D2" s="114"/>
      <c r="E2" s="114"/>
      <c r="F2" s="114"/>
      <c r="G2" s="114"/>
      <c r="H2" s="114"/>
      <c r="I2" s="114"/>
      <c r="J2" s="18"/>
      <c r="K2" s="31"/>
    </row>
    <row r="3" spans="1:22" ht="16.5" thickBot="1">
      <c r="A3" s="17"/>
      <c r="B3" s="2"/>
      <c r="C3" s="32"/>
      <c r="D3" s="32"/>
      <c r="E3" s="32"/>
      <c r="F3" s="32"/>
      <c r="G3" s="32"/>
      <c r="H3" s="83"/>
      <c r="I3" s="19"/>
      <c r="J3" s="18"/>
      <c r="K3" s="31"/>
      <c r="L3" s="19"/>
      <c r="M3" s="19"/>
      <c r="N3" s="19"/>
      <c r="O3" s="19"/>
      <c r="P3" s="19"/>
      <c r="Q3" s="19"/>
      <c r="R3" s="43"/>
      <c r="S3" s="19"/>
      <c r="T3" s="19"/>
      <c r="U3" s="19"/>
      <c r="V3" s="19"/>
    </row>
    <row r="4" spans="1:11" ht="16.5" thickTop="1">
      <c r="A4" s="17"/>
      <c r="B4" s="1"/>
      <c r="C4" s="33"/>
      <c r="D4" s="33"/>
      <c r="E4" s="33"/>
      <c r="F4" s="33"/>
      <c r="G4" s="33"/>
      <c r="H4" s="71"/>
      <c r="J4" s="18"/>
      <c r="K4" s="31"/>
    </row>
    <row r="5" spans="1:22" ht="15.75">
      <c r="A5" s="11"/>
      <c r="B5" s="1"/>
      <c r="C5" s="34"/>
      <c r="D5" s="34"/>
      <c r="E5" s="34"/>
      <c r="F5" s="34"/>
      <c r="G5" s="34"/>
      <c r="H5" s="84" t="s">
        <v>10</v>
      </c>
      <c r="I5" s="3"/>
      <c r="J5" s="10"/>
      <c r="K5" s="48"/>
      <c r="L5" s="1"/>
      <c r="M5" s="1"/>
      <c r="N5" s="1"/>
      <c r="O5" s="1"/>
      <c r="P5" s="1"/>
      <c r="Q5" s="1"/>
      <c r="R5" s="44"/>
      <c r="S5" s="1"/>
      <c r="T5" s="1"/>
      <c r="U5" s="1"/>
      <c r="V5" s="1"/>
    </row>
    <row r="6" spans="1:22" ht="15.75">
      <c r="A6" s="11"/>
      <c r="B6" s="1"/>
      <c r="C6" s="35" t="s">
        <v>11</v>
      </c>
      <c r="D6" s="35"/>
      <c r="E6" s="35"/>
      <c r="F6" s="35"/>
      <c r="G6" s="35"/>
      <c r="H6" s="85"/>
      <c r="I6" s="7" t="s">
        <v>0</v>
      </c>
      <c r="J6" s="10"/>
      <c r="K6" s="48"/>
      <c r="L6" s="3" t="s">
        <v>12</v>
      </c>
      <c r="M6" s="3"/>
      <c r="N6" s="3"/>
      <c r="O6" s="3"/>
      <c r="P6" s="3"/>
      <c r="Q6" s="4"/>
      <c r="R6" s="45"/>
      <c r="S6" s="4"/>
      <c r="T6" s="4"/>
      <c r="U6" s="4"/>
      <c r="V6" s="4"/>
    </row>
    <row r="7" spans="1:22" ht="15.75">
      <c r="A7" s="11"/>
      <c r="B7" s="5"/>
      <c r="C7" s="36" t="s">
        <v>1</v>
      </c>
      <c r="D7" s="36" t="s">
        <v>2</v>
      </c>
      <c r="E7" s="36" t="s">
        <v>3</v>
      </c>
      <c r="F7" s="36" t="s">
        <v>4</v>
      </c>
      <c r="G7" s="37"/>
      <c r="H7" s="86" t="s">
        <v>13</v>
      </c>
      <c r="I7" s="8" t="s">
        <v>14</v>
      </c>
      <c r="J7" s="10"/>
      <c r="K7" s="48"/>
      <c r="L7" s="8" t="s">
        <v>1</v>
      </c>
      <c r="M7" s="8" t="s">
        <v>2</v>
      </c>
      <c r="N7" s="8" t="s">
        <v>3</v>
      </c>
      <c r="O7" s="8" t="s">
        <v>4</v>
      </c>
      <c r="P7" s="9" t="s">
        <v>15</v>
      </c>
      <c r="Q7" s="48"/>
      <c r="R7" s="8" t="s">
        <v>1</v>
      </c>
      <c r="S7" s="8" t="s">
        <v>2</v>
      </c>
      <c r="T7" s="8" t="s">
        <v>3</v>
      </c>
      <c r="U7" s="8" t="s">
        <v>4</v>
      </c>
      <c r="V7" s="9" t="s">
        <v>15</v>
      </c>
    </row>
    <row r="8" spans="1:22" ht="15.75">
      <c r="A8" s="17"/>
      <c r="B8" s="1" t="s">
        <v>23</v>
      </c>
      <c r="C8" s="33">
        <v>124.9</v>
      </c>
      <c r="D8" s="33">
        <v>83.4</v>
      </c>
      <c r="E8" s="33">
        <v>71.3</v>
      </c>
      <c r="F8" s="33">
        <v>58.1</v>
      </c>
      <c r="G8" s="33"/>
      <c r="H8" s="71">
        <v>86.9</v>
      </c>
      <c r="I8" s="22">
        <f>(+H8)/'AAUP 10_11'!H8-1</f>
        <v>0.06234718826405872</v>
      </c>
      <c r="J8" s="23"/>
      <c r="K8" s="49"/>
      <c r="L8" s="20">
        <f>117+42</f>
        <v>159</v>
      </c>
      <c r="M8" s="20">
        <f>112+80</f>
        <v>192</v>
      </c>
      <c r="N8" s="20">
        <f>97+121</f>
        <v>218</v>
      </c>
      <c r="O8" s="20">
        <f>23+45</f>
        <v>68</v>
      </c>
      <c r="P8" s="20">
        <f aca="true" t="shared" si="0" ref="P8:P28">SUM(L8:O8)</f>
        <v>637</v>
      </c>
      <c r="Q8" s="20"/>
      <c r="R8" s="46">
        <f aca="true" t="shared" si="1" ref="R8:U28">C8*L8</f>
        <v>19859.100000000002</v>
      </c>
      <c r="S8" s="46">
        <f t="shared" si="1"/>
        <v>16012.800000000001</v>
      </c>
      <c r="T8" s="46">
        <f t="shared" si="1"/>
        <v>15543.4</v>
      </c>
      <c r="U8" s="46">
        <f t="shared" si="1"/>
        <v>3950.8</v>
      </c>
      <c r="V8" s="46">
        <f aca="true" t="shared" si="2" ref="V8:V28">H8*P8</f>
        <v>55355.3</v>
      </c>
    </row>
    <row r="9" spans="1:22" ht="15.75">
      <c r="A9" s="17"/>
      <c r="B9" s="1" t="s">
        <v>25</v>
      </c>
      <c r="C9" s="33">
        <v>108.3</v>
      </c>
      <c r="D9" s="33">
        <v>78.5</v>
      </c>
      <c r="E9" s="33">
        <v>62</v>
      </c>
      <c r="F9" s="33">
        <v>49.9</v>
      </c>
      <c r="G9" s="33"/>
      <c r="H9" s="71">
        <v>84.3</v>
      </c>
      <c r="I9" s="22">
        <f>(+H9)/'AAUP 10_11'!H9-1</f>
        <v>0.024301336573511634</v>
      </c>
      <c r="J9" s="23"/>
      <c r="K9" s="49"/>
      <c r="L9" s="20">
        <f>324+117</f>
        <v>441</v>
      </c>
      <c r="M9" s="20">
        <f>218+186</f>
        <v>404</v>
      </c>
      <c r="N9" s="20">
        <f>138+187</f>
        <v>325</v>
      </c>
      <c r="O9" s="20">
        <f>5+25</f>
        <v>30</v>
      </c>
      <c r="P9" s="20">
        <f t="shared" si="0"/>
        <v>1200</v>
      </c>
      <c r="Q9" s="20"/>
      <c r="R9" s="46">
        <f t="shared" si="1"/>
        <v>47760.299999999996</v>
      </c>
      <c r="S9" s="46">
        <f t="shared" si="1"/>
        <v>31714</v>
      </c>
      <c r="T9" s="46">
        <f t="shared" si="1"/>
        <v>20150</v>
      </c>
      <c r="U9" s="46">
        <f t="shared" si="1"/>
        <v>1497</v>
      </c>
      <c r="V9" s="46">
        <f t="shared" si="2"/>
        <v>101160</v>
      </c>
    </row>
    <row r="10" spans="1:22" ht="15.75">
      <c r="A10" s="17"/>
      <c r="B10" s="1" t="s">
        <v>26</v>
      </c>
      <c r="C10" s="33">
        <v>98.9</v>
      </c>
      <c r="D10" s="33">
        <v>72.1</v>
      </c>
      <c r="E10" s="33">
        <v>64.5</v>
      </c>
      <c r="F10" s="33">
        <v>54.7</v>
      </c>
      <c r="G10" s="33"/>
      <c r="H10" s="71">
        <v>76.2</v>
      </c>
      <c r="I10" s="22">
        <f>(+H10)/'AAUP 10_11'!H10-1</f>
        <v>0.009271523178808083</v>
      </c>
      <c r="J10" s="23"/>
      <c r="K10" s="49"/>
      <c r="L10" s="20">
        <f>107+38</f>
        <v>145</v>
      </c>
      <c r="M10" s="20">
        <f>133+82</f>
        <v>215</v>
      </c>
      <c r="N10" s="20">
        <f>55+55</f>
        <v>110</v>
      </c>
      <c r="O10" s="20">
        <f>8+5</f>
        <v>13</v>
      </c>
      <c r="P10" s="20">
        <f t="shared" si="0"/>
        <v>483</v>
      </c>
      <c r="Q10" s="20"/>
      <c r="R10" s="46">
        <f t="shared" si="1"/>
        <v>14340.5</v>
      </c>
      <c r="S10" s="46">
        <f t="shared" si="1"/>
        <v>15501.499999999998</v>
      </c>
      <c r="T10" s="46">
        <f t="shared" si="1"/>
        <v>7095</v>
      </c>
      <c r="U10" s="46">
        <f t="shared" si="1"/>
        <v>711.1</v>
      </c>
      <c r="V10" s="46">
        <f t="shared" si="2"/>
        <v>36804.6</v>
      </c>
    </row>
    <row r="11" spans="1:22" ht="15.75">
      <c r="A11" s="17"/>
      <c r="B11" s="1" t="s">
        <v>44</v>
      </c>
      <c r="C11" s="33">
        <v>121.5</v>
      </c>
      <c r="D11" s="33">
        <v>92.4</v>
      </c>
      <c r="E11" s="33">
        <v>77</v>
      </c>
      <c r="F11" s="33">
        <v>57.4</v>
      </c>
      <c r="G11" s="33"/>
      <c r="H11" s="71">
        <v>98</v>
      </c>
      <c r="I11" s="22">
        <f>(+H11)/'AAUP 10_11'!H11-1</f>
        <v>0.00512820512820511</v>
      </c>
      <c r="J11" s="23"/>
      <c r="K11" s="49"/>
      <c r="L11" s="20">
        <f>166+61</f>
        <v>227</v>
      </c>
      <c r="M11" s="20">
        <f>91+73</f>
        <v>164</v>
      </c>
      <c r="N11" s="20">
        <f>67+64</f>
        <v>131</v>
      </c>
      <c r="O11" s="20">
        <f>0+3</f>
        <v>3</v>
      </c>
      <c r="P11" s="20">
        <f t="shared" si="0"/>
        <v>525</v>
      </c>
      <c r="Q11" s="20"/>
      <c r="R11" s="46">
        <f t="shared" si="1"/>
        <v>27580.5</v>
      </c>
      <c r="S11" s="46">
        <f t="shared" si="1"/>
        <v>15153.6</v>
      </c>
      <c r="T11" s="46">
        <f t="shared" si="1"/>
        <v>10087</v>
      </c>
      <c r="U11" s="46">
        <f t="shared" si="1"/>
        <v>172.2</v>
      </c>
      <c r="V11" s="46">
        <f t="shared" si="2"/>
        <v>51450</v>
      </c>
    </row>
    <row r="12" spans="1:22" ht="15.75">
      <c r="A12" s="17"/>
      <c r="B12" s="1" t="s">
        <v>40</v>
      </c>
      <c r="C12" s="33">
        <v>115.8</v>
      </c>
      <c r="D12" s="33">
        <v>83.7</v>
      </c>
      <c r="E12" s="33">
        <v>74.8</v>
      </c>
      <c r="F12" s="33">
        <v>56.1</v>
      </c>
      <c r="G12" s="33"/>
      <c r="H12" s="71">
        <v>84.3</v>
      </c>
      <c r="I12" s="22">
        <f>(+H12)/'AAUP 10_11'!H12-1</f>
        <v>0.005966587112171906</v>
      </c>
      <c r="J12" s="23"/>
      <c r="K12" s="49"/>
      <c r="L12" s="20">
        <f>176+46</f>
        <v>222</v>
      </c>
      <c r="M12" s="20">
        <f>159+95</f>
        <v>254</v>
      </c>
      <c r="N12" s="20">
        <f>127+116</f>
        <v>243</v>
      </c>
      <c r="O12" s="20">
        <f>69+64</f>
        <v>133</v>
      </c>
      <c r="P12" s="20">
        <f t="shared" si="0"/>
        <v>852</v>
      </c>
      <c r="Q12" s="20"/>
      <c r="R12" s="46">
        <f t="shared" si="1"/>
        <v>25707.6</v>
      </c>
      <c r="S12" s="46">
        <f t="shared" si="1"/>
        <v>21259.8</v>
      </c>
      <c r="T12" s="46">
        <f t="shared" si="1"/>
        <v>18176.399999999998</v>
      </c>
      <c r="U12" s="46">
        <f t="shared" si="1"/>
        <v>7461.3</v>
      </c>
      <c r="V12" s="46">
        <f t="shared" si="2"/>
        <v>71823.59999999999</v>
      </c>
    </row>
    <row r="13" spans="1:22" s="16" customFormat="1" ht="15.75">
      <c r="A13" s="24"/>
      <c r="B13" s="1" t="s">
        <v>27</v>
      </c>
      <c r="C13" s="33">
        <v>122.1</v>
      </c>
      <c r="D13" s="33">
        <v>78.4</v>
      </c>
      <c r="E13" s="33">
        <v>69.3</v>
      </c>
      <c r="F13" s="33">
        <v>53.5</v>
      </c>
      <c r="G13" s="33"/>
      <c r="H13" s="71">
        <v>79.2</v>
      </c>
      <c r="I13" s="22">
        <f>(+H13)/'AAUP 10_11'!H13-1</f>
        <v>0.007633587786259666</v>
      </c>
      <c r="J13" s="25"/>
      <c r="K13" s="50"/>
      <c r="L13" s="20">
        <f>180+65</f>
        <v>245</v>
      </c>
      <c r="M13" s="20">
        <f>177+167</f>
        <v>344</v>
      </c>
      <c r="N13" s="20">
        <f>153+186</f>
        <v>339</v>
      </c>
      <c r="O13" s="21">
        <f>16+38</f>
        <v>54</v>
      </c>
      <c r="P13" s="20">
        <f t="shared" si="0"/>
        <v>982</v>
      </c>
      <c r="Q13" s="21"/>
      <c r="R13" s="46">
        <f t="shared" si="1"/>
        <v>29914.5</v>
      </c>
      <c r="S13" s="46">
        <f t="shared" si="1"/>
        <v>26969.600000000002</v>
      </c>
      <c r="T13" s="46">
        <f t="shared" si="1"/>
        <v>23492.7</v>
      </c>
      <c r="U13" s="46">
        <f t="shared" si="1"/>
        <v>2889</v>
      </c>
      <c r="V13" s="46">
        <f t="shared" si="2"/>
        <v>77774.40000000001</v>
      </c>
    </row>
    <row r="14" spans="1:22" ht="15.75">
      <c r="A14" s="17"/>
      <c r="B14" s="1" t="s">
        <v>28</v>
      </c>
      <c r="C14" s="33">
        <v>128.8</v>
      </c>
      <c r="D14" s="33">
        <v>84.5</v>
      </c>
      <c r="E14" s="33">
        <v>81</v>
      </c>
      <c r="F14" s="33"/>
      <c r="G14" s="33"/>
      <c r="H14" s="71">
        <v>89.7</v>
      </c>
      <c r="I14" s="22">
        <f>(+H14)/'AAUP 10_11'!H14-1</f>
        <v>-0.00111358574610243</v>
      </c>
      <c r="J14" s="23"/>
      <c r="K14" s="49"/>
      <c r="L14" s="20">
        <f>330+69</f>
        <v>399</v>
      </c>
      <c r="M14" s="20">
        <f>188+107</f>
        <v>295</v>
      </c>
      <c r="N14" s="20">
        <f>115+98</f>
        <v>213</v>
      </c>
      <c r="O14" s="20">
        <f>0+0</f>
        <v>0</v>
      </c>
      <c r="P14" s="20">
        <f t="shared" si="0"/>
        <v>907</v>
      </c>
      <c r="Q14" s="20"/>
      <c r="R14" s="46">
        <f t="shared" si="1"/>
        <v>51391.200000000004</v>
      </c>
      <c r="S14" s="46">
        <f t="shared" si="1"/>
        <v>24927.5</v>
      </c>
      <c r="T14" s="46">
        <f t="shared" si="1"/>
        <v>17253</v>
      </c>
      <c r="U14" s="46">
        <f t="shared" si="1"/>
        <v>0</v>
      </c>
      <c r="V14" s="46">
        <f t="shared" si="2"/>
        <v>81357.90000000001</v>
      </c>
    </row>
    <row r="15" spans="1:22" ht="15.75">
      <c r="A15" s="17"/>
      <c r="B15" s="1" t="s">
        <v>29</v>
      </c>
      <c r="C15" s="46">
        <v>129.2</v>
      </c>
      <c r="D15" s="46">
        <v>89.1</v>
      </c>
      <c r="E15" s="46">
        <v>77.6</v>
      </c>
      <c r="F15" s="33">
        <v>60.7</v>
      </c>
      <c r="G15" s="33"/>
      <c r="H15" s="71">
        <v>94.6</v>
      </c>
      <c r="I15" s="22">
        <f>(+H15)/'AAUP 10_11'!H15-1</f>
        <v>0.02826086956521734</v>
      </c>
      <c r="J15" s="23"/>
      <c r="K15" s="49"/>
      <c r="L15" s="20">
        <f>241+106</f>
        <v>347</v>
      </c>
      <c r="M15" s="20">
        <f>188+139</f>
        <v>327</v>
      </c>
      <c r="N15" s="20">
        <f>123+148</f>
        <v>271</v>
      </c>
      <c r="O15" s="20">
        <f>2+12</f>
        <v>14</v>
      </c>
      <c r="P15" s="20">
        <f t="shared" si="0"/>
        <v>959</v>
      </c>
      <c r="Q15" s="20"/>
      <c r="R15" s="46">
        <f t="shared" si="1"/>
        <v>44832.399999999994</v>
      </c>
      <c r="S15" s="46">
        <f t="shared" si="1"/>
        <v>29135.699999999997</v>
      </c>
      <c r="T15" s="46">
        <f t="shared" si="1"/>
        <v>21029.6</v>
      </c>
      <c r="U15" s="46">
        <f t="shared" si="1"/>
        <v>849.8000000000001</v>
      </c>
      <c r="V15" s="46">
        <f t="shared" si="2"/>
        <v>90721.4</v>
      </c>
    </row>
    <row r="16" spans="1:22" ht="15.75">
      <c r="A16" s="17"/>
      <c r="B16" s="1" t="s">
        <v>30</v>
      </c>
      <c r="C16" s="33">
        <v>105.5</v>
      </c>
      <c r="D16" s="33">
        <v>78</v>
      </c>
      <c r="E16" s="33">
        <v>65.1</v>
      </c>
      <c r="F16" s="33"/>
      <c r="G16" s="33"/>
      <c r="H16" s="71">
        <v>74.4</v>
      </c>
      <c r="I16" s="22">
        <f>(+H16)/'AAUP 10_11'!H16-1</f>
        <v>0.05084745762711873</v>
      </c>
      <c r="J16" s="23"/>
      <c r="K16" s="49"/>
      <c r="L16" s="20">
        <f>155+68</f>
        <v>223</v>
      </c>
      <c r="M16" s="20">
        <f>154+138</f>
        <v>292</v>
      </c>
      <c r="N16" s="20">
        <f>134+148</f>
        <v>282</v>
      </c>
      <c r="O16" s="20">
        <f>1+0</f>
        <v>1</v>
      </c>
      <c r="P16" s="20">
        <f t="shared" si="0"/>
        <v>798</v>
      </c>
      <c r="Q16" s="20"/>
      <c r="R16" s="46">
        <f t="shared" si="1"/>
        <v>23526.5</v>
      </c>
      <c r="S16" s="46">
        <f t="shared" si="1"/>
        <v>22776</v>
      </c>
      <c r="T16" s="46">
        <f t="shared" si="1"/>
        <v>18358.199999999997</v>
      </c>
      <c r="U16" s="46">
        <f t="shared" si="1"/>
        <v>0</v>
      </c>
      <c r="V16" s="46">
        <f t="shared" si="2"/>
        <v>59371.200000000004</v>
      </c>
    </row>
    <row r="17" spans="1:22" ht="15.75">
      <c r="A17" s="17"/>
      <c r="B17" s="1" t="s">
        <v>31</v>
      </c>
      <c r="C17" s="33">
        <v>115.7</v>
      </c>
      <c r="D17" s="33">
        <v>87.2</v>
      </c>
      <c r="E17" s="33">
        <v>76.8</v>
      </c>
      <c r="F17" s="33"/>
      <c r="G17" s="33"/>
      <c r="H17" s="71">
        <v>83.9</v>
      </c>
      <c r="I17" s="22">
        <f>(+H17)/'AAUP 10_11'!H17-1</f>
        <v>0.023170731707317094</v>
      </c>
      <c r="J17" s="23"/>
      <c r="K17" s="49"/>
      <c r="L17" s="20">
        <f>70+47</f>
        <v>117</v>
      </c>
      <c r="M17" s="20">
        <f>89+79</f>
        <v>168</v>
      </c>
      <c r="N17" s="20">
        <f>59+79</f>
        <v>138</v>
      </c>
      <c r="O17" s="20">
        <f>0+1</f>
        <v>1</v>
      </c>
      <c r="P17" s="20">
        <f t="shared" si="0"/>
        <v>424</v>
      </c>
      <c r="Q17" s="20"/>
      <c r="R17" s="46">
        <f t="shared" si="1"/>
        <v>13536.9</v>
      </c>
      <c r="S17" s="46">
        <f t="shared" si="1"/>
        <v>14649.6</v>
      </c>
      <c r="T17" s="46">
        <f t="shared" si="1"/>
        <v>10598.4</v>
      </c>
      <c r="U17" s="46">
        <f t="shared" si="1"/>
        <v>0</v>
      </c>
      <c r="V17" s="46">
        <f t="shared" si="2"/>
        <v>35573.600000000006</v>
      </c>
    </row>
    <row r="18" spans="1:22" ht="15.75">
      <c r="A18" s="17"/>
      <c r="B18" s="1" t="s">
        <v>32</v>
      </c>
      <c r="C18" s="33">
        <v>102.1</v>
      </c>
      <c r="D18" s="33">
        <v>72.3</v>
      </c>
      <c r="E18" s="33">
        <v>61.7</v>
      </c>
      <c r="F18" s="33">
        <v>42.2</v>
      </c>
      <c r="G18" s="33"/>
      <c r="H18" s="71">
        <v>72.8</v>
      </c>
      <c r="I18" s="22">
        <f>(+H18)/'AAUP 10_11'!H18-1</f>
        <v>0.02970297029702973</v>
      </c>
      <c r="J18" s="23"/>
      <c r="K18" s="49"/>
      <c r="L18" s="20">
        <f>191+46</f>
        <v>237</v>
      </c>
      <c r="M18" s="20">
        <f>140+94</f>
        <v>234</v>
      </c>
      <c r="N18" s="20">
        <f>104+134</f>
        <v>238</v>
      </c>
      <c r="O18" s="20">
        <f>57+78</f>
        <v>135</v>
      </c>
      <c r="P18" s="20">
        <f t="shared" si="0"/>
        <v>844</v>
      </c>
      <c r="Q18" s="20"/>
      <c r="R18" s="46">
        <f t="shared" si="1"/>
        <v>24197.699999999997</v>
      </c>
      <c r="S18" s="46">
        <f t="shared" si="1"/>
        <v>16918.2</v>
      </c>
      <c r="T18" s="46">
        <f t="shared" si="1"/>
        <v>14684.6</v>
      </c>
      <c r="U18" s="46">
        <f t="shared" si="1"/>
        <v>5697</v>
      </c>
      <c r="V18" s="46">
        <f t="shared" si="2"/>
        <v>61443.2</v>
      </c>
    </row>
    <row r="19" spans="1:22" s="62" customFormat="1" ht="15.75">
      <c r="A19" s="12"/>
      <c r="B19" s="6" t="s">
        <v>7</v>
      </c>
      <c r="C19" s="54">
        <v>108.2</v>
      </c>
      <c r="D19" s="54">
        <v>77.8</v>
      </c>
      <c r="E19" s="54">
        <v>63.5</v>
      </c>
      <c r="F19" s="54"/>
      <c r="G19" s="54"/>
      <c r="H19" s="87">
        <v>80.9</v>
      </c>
      <c r="I19" s="53">
        <f>(+H19)/'AAUP 10_11'!H19-1</f>
        <v>0.018891687657430767</v>
      </c>
      <c r="J19" s="59"/>
      <c r="K19" s="60"/>
      <c r="L19" s="81">
        <f>110+46</f>
        <v>156</v>
      </c>
      <c r="M19" s="81">
        <f>121+89</f>
        <v>210</v>
      </c>
      <c r="N19" s="81">
        <f>103+104</f>
        <v>207</v>
      </c>
      <c r="O19" s="81">
        <f>0+0</f>
        <v>0</v>
      </c>
      <c r="P19" s="81">
        <f t="shared" si="0"/>
        <v>573</v>
      </c>
      <c r="Q19" s="81"/>
      <c r="R19" s="61">
        <f t="shared" si="1"/>
        <v>16879.2</v>
      </c>
      <c r="S19" s="61">
        <f t="shared" si="1"/>
        <v>16338</v>
      </c>
      <c r="T19" s="61">
        <f t="shared" si="1"/>
        <v>13144.5</v>
      </c>
      <c r="U19" s="61">
        <f t="shared" si="1"/>
        <v>0</v>
      </c>
      <c r="V19" s="61">
        <f t="shared" si="2"/>
        <v>46355.700000000004</v>
      </c>
    </row>
    <row r="20" spans="1:22" s="62" customFormat="1" ht="15.75">
      <c r="A20" s="12"/>
      <c r="B20" s="6" t="s">
        <v>9</v>
      </c>
      <c r="C20" s="100">
        <v>94.7</v>
      </c>
      <c r="D20" s="100">
        <v>69.8</v>
      </c>
      <c r="E20" s="100">
        <v>59.3</v>
      </c>
      <c r="F20" s="100"/>
      <c r="G20" s="100"/>
      <c r="H20" s="101">
        <v>74.1</v>
      </c>
      <c r="I20" s="53">
        <f>(+H20)/'AAUP 10_11'!H20-1</f>
        <v>0.016460905349794164</v>
      </c>
      <c r="J20" s="59"/>
      <c r="K20" s="60"/>
      <c r="L20" s="98">
        <f>87+37</f>
        <v>124</v>
      </c>
      <c r="M20" s="98">
        <f>82+94</f>
        <v>176</v>
      </c>
      <c r="N20" s="98">
        <f>41+81</f>
        <v>122</v>
      </c>
      <c r="O20" s="81">
        <f>0+0</f>
        <v>0</v>
      </c>
      <c r="P20" s="81">
        <f>SUM(L20:O20)</f>
        <v>422</v>
      </c>
      <c r="Q20" s="81"/>
      <c r="R20" s="61">
        <f>C20*L20</f>
        <v>11742.800000000001</v>
      </c>
      <c r="S20" s="61">
        <f>D20*M20</f>
        <v>12284.8</v>
      </c>
      <c r="T20" s="61">
        <f>E20*N20</f>
        <v>7234.599999999999</v>
      </c>
      <c r="U20" s="61">
        <f>F20*O20</f>
        <v>0</v>
      </c>
      <c r="V20" s="61">
        <f>H20*P20</f>
        <v>31270.199999999997</v>
      </c>
    </row>
    <row r="21" spans="1:22" ht="15.75">
      <c r="A21" s="17"/>
      <c r="B21" s="1" t="s">
        <v>33</v>
      </c>
      <c r="C21" s="33">
        <v>88</v>
      </c>
      <c r="D21" s="33">
        <v>64.7</v>
      </c>
      <c r="E21" s="33">
        <v>61.4</v>
      </c>
      <c r="F21" s="33">
        <v>39</v>
      </c>
      <c r="G21" s="33"/>
      <c r="H21" s="71">
        <v>67.5</v>
      </c>
      <c r="I21" s="22">
        <f>(+H21)/'AAUP 10_11'!H21-1</f>
        <v>0.005961251862891315</v>
      </c>
      <c r="J21" s="23"/>
      <c r="K21" s="49"/>
      <c r="L21" s="20">
        <f>91+31</f>
        <v>122</v>
      </c>
      <c r="M21" s="20">
        <f>59+34</f>
        <v>93</v>
      </c>
      <c r="N21" s="20">
        <f>43+27</f>
        <v>70</v>
      </c>
      <c r="O21" s="20">
        <f>25+39</f>
        <v>64</v>
      </c>
      <c r="P21" s="20">
        <f t="shared" si="0"/>
        <v>349</v>
      </c>
      <c r="Q21" s="20"/>
      <c r="R21" s="46">
        <f t="shared" si="1"/>
        <v>10736</v>
      </c>
      <c r="S21" s="46">
        <f t="shared" si="1"/>
        <v>6017.1</v>
      </c>
      <c r="T21" s="46">
        <f t="shared" si="1"/>
        <v>4298</v>
      </c>
      <c r="U21" s="46">
        <f t="shared" si="1"/>
        <v>2496</v>
      </c>
      <c r="V21" s="46">
        <f t="shared" si="2"/>
        <v>23557.5</v>
      </c>
    </row>
    <row r="22" spans="1:22" ht="15.75">
      <c r="A22" s="17"/>
      <c r="B22" s="1" t="s">
        <v>6</v>
      </c>
      <c r="C22" s="33">
        <v>134.8</v>
      </c>
      <c r="D22" s="33">
        <v>90</v>
      </c>
      <c r="E22" s="33">
        <v>75</v>
      </c>
      <c r="F22" s="33">
        <v>45.3</v>
      </c>
      <c r="G22" s="33"/>
      <c r="H22" s="71">
        <v>91.4</v>
      </c>
      <c r="I22" s="22">
        <f>(+H22)/'AAUP 10_11'!H22-1</f>
        <v>0.009944751381215422</v>
      </c>
      <c r="J22" s="23"/>
      <c r="K22" s="49"/>
      <c r="L22" s="20">
        <f>376+118</f>
        <v>494</v>
      </c>
      <c r="M22" s="20">
        <f>286+159</f>
        <v>445</v>
      </c>
      <c r="N22" s="20">
        <f>231+274</f>
        <v>505</v>
      </c>
      <c r="O22" s="20">
        <f>23+75</f>
        <v>98</v>
      </c>
      <c r="P22" s="20">
        <f t="shared" si="0"/>
        <v>1542</v>
      </c>
      <c r="Q22" s="20"/>
      <c r="R22" s="46">
        <f t="shared" si="1"/>
        <v>66591.20000000001</v>
      </c>
      <c r="S22" s="46">
        <f t="shared" si="1"/>
        <v>40050</v>
      </c>
      <c r="T22" s="46">
        <f t="shared" si="1"/>
        <v>37875</v>
      </c>
      <c r="U22" s="46">
        <f t="shared" si="1"/>
        <v>4439.4</v>
      </c>
      <c r="V22" s="46">
        <f t="shared" si="2"/>
        <v>140938.80000000002</v>
      </c>
    </row>
    <row r="23" spans="1:22" s="77" customFormat="1" ht="15.75">
      <c r="A23" s="82"/>
      <c r="B23" s="1" t="s">
        <v>34</v>
      </c>
      <c r="C23" s="71">
        <v>92.8</v>
      </c>
      <c r="D23" s="71">
        <v>73.6</v>
      </c>
      <c r="E23" s="71">
        <v>60.3</v>
      </c>
      <c r="F23" s="71">
        <v>41.7</v>
      </c>
      <c r="G23" s="71"/>
      <c r="H23" s="71">
        <v>69.5</v>
      </c>
      <c r="I23" s="22">
        <f>(+H23)/'AAUP 10_11'!H23-1</f>
        <v>0.005788712011577601</v>
      </c>
      <c r="J23" s="73"/>
      <c r="K23" s="74"/>
      <c r="L23" s="75">
        <f>143+63</f>
        <v>206</v>
      </c>
      <c r="M23" s="75">
        <f>103+67</f>
        <v>170</v>
      </c>
      <c r="N23" s="75">
        <f>88+111</f>
        <v>199</v>
      </c>
      <c r="O23" s="75">
        <f>41+84</f>
        <v>125</v>
      </c>
      <c r="P23" s="75">
        <f t="shared" si="0"/>
        <v>700</v>
      </c>
      <c r="Q23" s="75"/>
      <c r="R23" s="76">
        <f t="shared" si="1"/>
        <v>19116.8</v>
      </c>
      <c r="S23" s="76">
        <f t="shared" si="1"/>
        <v>12511.999999999998</v>
      </c>
      <c r="T23" s="76">
        <f t="shared" si="1"/>
        <v>11999.699999999999</v>
      </c>
      <c r="U23" s="76">
        <f t="shared" si="1"/>
        <v>5212.5</v>
      </c>
      <c r="V23" s="76">
        <f t="shared" si="2"/>
        <v>48650</v>
      </c>
    </row>
    <row r="24" spans="1:22" s="77" customFormat="1" ht="15.75">
      <c r="A24" s="69"/>
      <c r="B24" s="1" t="s">
        <v>35</v>
      </c>
      <c r="C24" s="71">
        <v>134</v>
      </c>
      <c r="D24" s="71">
        <v>94.1</v>
      </c>
      <c r="E24" s="71">
        <v>70</v>
      </c>
      <c r="F24" s="71">
        <v>55.6</v>
      </c>
      <c r="G24" s="71"/>
      <c r="H24" s="71">
        <v>94.3</v>
      </c>
      <c r="I24" s="22">
        <f>(+H24)/'AAUP 10_11'!H24-1</f>
        <v>0.027233115468409563</v>
      </c>
      <c r="J24" s="73"/>
      <c r="K24" s="74"/>
      <c r="L24" s="75">
        <f>312+98</f>
        <v>410</v>
      </c>
      <c r="M24" s="75">
        <f>235+190</f>
        <v>425</v>
      </c>
      <c r="N24" s="75">
        <f>292+239</f>
        <v>531</v>
      </c>
      <c r="O24" s="75">
        <f>38+49</f>
        <v>87</v>
      </c>
      <c r="P24" s="75">
        <f t="shared" si="0"/>
        <v>1453</v>
      </c>
      <c r="Q24" s="75"/>
      <c r="R24" s="76">
        <f t="shared" si="1"/>
        <v>54940</v>
      </c>
      <c r="S24" s="76">
        <f t="shared" si="1"/>
        <v>39992.5</v>
      </c>
      <c r="T24" s="76">
        <f t="shared" si="1"/>
        <v>37170</v>
      </c>
      <c r="U24" s="76">
        <f t="shared" si="1"/>
        <v>4837.2</v>
      </c>
      <c r="V24" s="76">
        <f t="shared" si="2"/>
        <v>137017.9</v>
      </c>
    </row>
    <row r="25" spans="1:22" s="77" customFormat="1" ht="15.75">
      <c r="A25" s="82"/>
      <c r="B25" s="1" t="s">
        <v>36</v>
      </c>
      <c r="C25" s="71">
        <v>106.8</v>
      </c>
      <c r="D25" s="71">
        <v>83</v>
      </c>
      <c r="E25" s="71">
        <v>68.6</v>
      </c>
      <c r="F25" s="71">
        <v>54.6</v>
      </c>
      <c r="G25" s="71"/>
      <c r="H25" s="71">
        <v>76.2</v>
      </c>
      <c r="I25" s="22">
        <f>(+H25)/'AAUP 10_11'!H25-1</f>
        <v>0.009271523178808083</v>
      </c>
      <c r="J25" s="73"/>
      <c r="K25" s="74"/>
      <c r="L25" s="75">
        <f>149+55</f>
        <v>204</v>
      </c>
      <c r="M25" s="75">
        <f>164+88</f>
        <v>252</v>
      </c>
      <c r="N25" s="75">
        <f>92+69</f>
        <v>161</v>
      </c>
      <c r="O25" s="75">
        <f>9+25</f>
        <v>34</v>
      </c>
      <c r="P25" s="75">
        <f t="shared" si="0"/>
        <v>651</v>
      </c>
      <c r="Q25" s="75"/>
      <c r="R25" s="76">
        <f t="shared" si="1"/>
        <v>21787.2</v>
      </c>
      <c r="S25" s="76">
        <f t="shared" si="1"/>
        <v>20916</v>
      </c>
      <c r="T25" s="76">
        <f t="shared" si="1"/>
        <v>11044.599999999999</v>
      </c>
      <c r="U25" s="76">
        <f t="shared" si="1"/>
        <v>1856.4</v>
      </c>
      <c r="V25" s="76">
        <f t="shared" si="2"/>
        <v>49606.200000000004</v>
      </c>
    </row>
    <row r="26" spans="1:22" s="77" customFormat="1" ht="15.75">
      <c r="A26" s="69"/>
      <c r="B26" s="70" t="s">
        <v>37</v>
      </c>
      <c r="C26" s="71">
        <v>118.6</v>
      </c>
      <c r="D26" s="71">
        <v>79.9</v>
      </c>
      <c r="E26" s="71">
        <v>68.8</v>
      </c>
      <c r="F26" s="71">
        <v>48.2</v>
      </c>
      <c r="G26" s="71"/>
      <c r="H26" s="71">
        <v>80.1</v>
      </c>
      <c r="I26" s="22">
        <f>(+H26)/'AAUP 10_11'!H26-1</f>
        <v>0.02168367346938771</v>
      </c>
      <c r="J26" s="73"/>
      <c r="K26" s="74"/>
      <c r="L26" s="75">
        <f>214+84</f>
        <v>298</v>
      </c>
      <c r="M26" s="75">
        <f>223+159</f>
        <v>382</v>
      </c>
      <c r="N26" s="75">
        <f>249+258</f>
        <v>507</v>
      </c>
      <c r="O26" s="75">
        <f>80+99</f>
        <v>179</v>
      </c>
      <c r="P26" s="75">
        <f t="shared" si="0"/>
        <v>1366</v>
      </c>
      <c r="Q26" s="75"/>
      <c r="R26" s="76">
        <f t="shared" si="1"/>
        <v>35342.799999999996</v>
      </c>
      <c r="S26" s="76">
        <f t="shared" si="1"/>
        <v>30521.800000000003</v>
      </c>
      <c r="T26" s="76">
        <f t="shared" si="1"/>
        <v>34881.6</v>
      </c>
      <c r="U26" s="76">
        <f t="shared" si="1"/>
        <v>8627.800000000001</v>
      </c>
      <c r="V26" s="76">
        <f t="shared" si="2"/>
        <v>109416.59999999999</v>
      </c>
    </row>
    <row r="27" spans="1:22" s="77" customFormat="1" ht="15.75">
      <c r="A27" s="69"/>
      <c r="B27" s="70" t="s">
        <v>39</v>
      </c>
      <c r="C27" s="71">
        <v>116.6</v>
      </c>
      <c r="D27" s="71">
        <v>87.7</v>
      </c>
      <c r="E27" s="71">
        <v>75</v>
      </c>
      <c r="F27" s="71">
        <v>66.6</v>
      </c>
      <c r="G27" s="71"/>
      <c r="H27" s="71">
        <v>86.2</v>
      </c>
      <c r="I27" s="22">
        <f>(+H27)/'AAUP 10_11'!H27-1</f>
        <v>0.02375296912114022</v>
      </c>
      <c r="J27" s="73"/>
      <c r="K27" s="74"/>
      <c r="L27" s="75">
        <f>209+52</f>
        <v>261</v>
      </c>
      <c r="M27" s="75">
        <f>174+110</f>
        <v>284</v>
      </c>
      <c r="N27" s="75">
        <f>150+173</f>
        <v>323</v>
      </c>
      <c r="O27" s="75">
        <f>3+34</f>
        <v>37</v>
      </c>
      <c r="P27" s="75">
        <f t="shared" si="0"/>
        <v>905</v>
      </c>
      <c r="Q27" s="75"/>
      <c r="R27" s="76">
        <f t="shared" si="1"/>
        <v>30432.6</v>
      </c>
      <c r="S27" s="76">
        <f t="shared" si="1"/>
        <v>24906.8</v>
      </c>
      <c r="T27" s="76">
        <f t="shared" si="1"/>
        <v>24225</v>
      </c>
      <c r="U27" s="76">
        <f t="shared" si="1"/>
        <v>2464.2</v>
      </c>
      <c r="V27" s="76">
        <f t="shared" si="2"/>
        <v>78011</v>
      </c>
    </row>
    <row r="28" spans="1:22" s="77" customFormat="1" ht="15.75">
      <c r="A28" s="69"/>
      <c r="B28" s="70" t="s">
        <v>24</v>
      </c>
      <c r="C28" s="71">
        <v>95.6</v>
      </c>
      <c r="D28" s="71">
        <v>71.2</v>
      </c>
      <c r="E28" s="71">
        <v>67.7</v>
      </c>
      <c r="F28" s="71">
        <v>50.1</v>
      </c>
      <c r="G28" s="71"/>
      <c r="H28" s="71">
        <v>69.9</v>
      </c>
      <c r="I28" s="22">
        <f>(+H28)/'AAUP 10_11'!H28-1</f>
        <v>0</v>
      </c>
      <c r="J28" s="73"/>
      <c r="K28" s="74"/>
      <c r="L28" s="75">
        <f>149+65</f>
        <v>214</v>
      </c>
      <c r="M28" s="75">
        <f>195+154</f>
        <v>349</v>
      </c>
      <c r="N28" s="75">
        <f>122+146</f>
        <v>268</v>
      </c>
      <c r="O28" s="75">
        <f>1+5</f>
        <v>6</v>
      </c>
      <c r="P28" s="75">
        <f t="shared" si="0"/>
        <v>837</v>
      </c>
      <c r="Q28" s="75"/>
      <c r="R28" s="76">
        <f t="shared" si="1"/>
        <v>20458.399999999998</v>
      </c>
      <c r="S28" s="76">
        <f t="shared" si="1"/>
        <v>24848.8</v>
      </c>
      <c r="T28" s="76">
        <f t="shared" si="1"/>
        <v>18143.600000000002</v>
      </c>
      <c r="U28" s="76">
        <f t="shared" si="1"/>
        <v>300.6</v>
      </c>
      <c r="V28" s="76">
        <f t="shared" si="2"/>
        <v>58506.3</v>
      </c>
    </row>
    <row r="29" spans="1:22" s="77" customFormat="1" ht="15.75">
      <c r="A29" s="69"/>
      <c r="B29" s="70"/>
      <c r="C29" s="71"/>
      <c r="D29" s="71"/>
      <c r="E29" s="71"/>
      <c r="F29" s="71"/>
      <c r="G29" s="71"/>
      <c r="H29" s="71"/>
      <c r="I29" s="75"/>
      <c r="J29" s="73"/>
      <c r="K29" s="74"/>
      <c r="L29" s="75"/>
      <c r="M29" s="75"/>
      <c r="N29" s="75"/>
      <c r="O29" s="75"/>
      <c r="P29" s="75"/>
      <c r="Q29" s="75"/>
      <c r="R29" s="76"/>
      <c r="S29" s="76"/>
      <c r="T29" s="76"/>
      <c r="U29" s="76"/>
      <c r="V29" s="76"/>
    </row>
    <row r="30" spans="1:22" s="77" customFormat="1" ht="15.75">
      <c r="A30" s="69"/>
      <c r="B30" s="78" t="s">
        <v>42</v>
      </c>
      <c r="C30" s="71">
        <f aca="true" t="shared" si="3" ref="C30:F31">R30/L30</f>
        <v>116.29674347743288</v>
      </c>
      <c r="D30" s="71">
        <f t="shared" si="3"/>
        <v>81.65746255506608</v>
      </c>
      <c r="E30" s="71">
        <f>T30/N30</f>
        <v>69.70651731160895</v>
      </c>
      <c r="F30" s="71">
        <f t="shared" si="3"/>
        <v>49.41062846580406</v>
      </c>
      <c r="G30" s="71"/>
      <c r="H30" s="71">
        <f>V30/P30</f>
        <v>83.06998678844275</v>
      </c>
      <c r="I30" s="22">
        <f>(+H30)/'AAUP 10_11'!H30-1</f>
        <v>0.019035637336572764</v>
      </c>
      <c r="J30" s="73"/>
      <c r="K30" s="74"/>
      <c r="L30" s="79">
        <f>SUM(L8:L28)</f>
        <v>5251</v>
      </c>
      <c r="M30" s="79">
        <f>SUM(M8:M28)</f>
        <v>5675</v>
      </c>
      <c r="N30" s="79">
        <f>SUM(N8:N28)</f>
        <v>5401</v>
      </c>
      <c r="O30" s="79">
        <f>SUM(O8:O28)</f>
        <v>1082</v>
      </c>
      <c r="P30" s="79">
        <f>SUM(L30:O30)</f>
        <v>17409</v>
      </c>
      <c r="Q30" s="75"/>
      <c r="R30" s="76">
        <f>SUM(R8:R28)</f>
        <v>610674.2000000001</v>
      </c>
      <c r="S30" s="76">
        <f>SUM(S8:S28)</f>
        <v>463406.1</v>
      </c>
      <c r="T30" s="76">
        <f>SUM(T8:T28)</f>
        <v>376484.8999999999</v>
      </c>
      <c r="U30" s="76">
        <f>SUM(U8:U28)</f>
        <v>53462.299999999996</v>
      </c>
      <c r="V30" s="76">
        <f>SUM(V8:V28)</f>
        <v>1446165.4</v>
      </c>
    </row>
    <row r="31" spans="1:22" s="77" customFormat="1" ht="15.75">
      <c r="A31" s="69"/>
      <c r="B31" s="78" t="s">
        <v>43</v>
      </c>
      <c r="C31" s="71">
        <f t="shared" si="3"/>
        <v>117.08955944477974</v>
      </c>
      <c r="D31" s="71">
        <f t="shared" si="3"/>
        <v>82.20519947059935</v>
      </c>
      <c r="E31" s="71">
        <f t="shared" si="3"/>
        <v>70.21013406940062</v>
      </c>
      <c r="F31" s="71">
        <f t="shared" si="3"/>
        <v>49.41062846580406</v>
      </c>
      <c r="G31" s="71"/>
      <c r="H31" s="71">
        <f>V31/P31</f>
        <v>83.37635555014012</v>
      </c>
      <c r="I31" s="22">
        <f>(+H31)/'AAUP 10_11'!H31-1</f>
        <v>0.01905176688313137</v>
      </c>
      <c r="J31" s="73"/>
      <c r="K31" s="74"/>
      <c r="L31" s="75">
        <f>L30-(L19+L20)</f>
        <v>4971</v>
      </c>
      <c r="M31" s="75">
        <f>M30-(M19+M20)</f>
        <v>5289</v>
      </c>
      <c r="N31" s="75">
        <f>N30-(N19+N20)</f>
        <v>5072</v>
      </c>
      <c r="O31" s="75">
        <f>O30-(O19+O20)</f>
        <v>1082</v>
      </c>
      <c r="P31" s="75">
        <f>SUM(L31:O31)</f>
        <v>16414</v>
      </c>
      <c r="Q31" s="75"/>
      <c r="R31" s="76">
        <f>R30-(R19+R20)</f>
        <v>582052.2000000001</v>
      </c>
      <c r="S31" s="76">
        <f>S30-(S19+S20)</f>
        <v>434783.3</v>
      </c>
      <c r="T31" s="76">
        <f>T30-(T19+T20)</f>
        <v>356105.79999999993</v>
      </c>
      <c r="U31" s="76">
        <f>U30-(U19+U20)</f>
        <v>53462.299999999996</v>
      </c>
      <c r="V31" s="76">
        <f>V30-(V19+V20)</f>
        <v>1368539.5</v>
      </c>
    </row>
    <row r="32" spans="1:22" ht="15.75">
      <c r="A32" s="17"/>
      <c r="B32" s="1"/>
      <c r="C32" s="33"/>
      <c r="D32" s="33"/>
      <c r="E32" s="33"/>
      <c r="F32" s="33"/>
      <c r="G32" s="33"/>
      <c r="H32" s="71"/>
      <c r="I32" s="20"/>
      <c r="J32" s="23"/>
      <c r="K32" s="49"/>
      <c r="L32" s="20"/>
      <c r="M32" s="20"/>
      <c r="N32" s="20"/>
      <c r="O32" s="20"/>
      <c r="P32" s="20"/>
      <c r="Q32" s="20"/>
      <c r="R32" s="46"/>
      <c r="S32" s="20"/>
      <c r="T32" s="20"/>
      <c r="U32" s="20"/>
      <c r="V32" s="20"/>
    </row>
    <row r="33" spans="1:24" ht="15.75">
      <c r="A33" s="17"/>
      <c r="B33" s="1" t="s">
        <v>5</v>
      </c>
      <c r="C33" s="41">
        <v>113.9</v>
      </c>
      <c r="D33" s="41">
        <v>75.9</v>
      </c>
      <c r="E33" s="41">
        <v>61.7</v>
      </c>
      <c r="F33" s="41"/>
      <c r="G33" s="41"/>
      <c r="H33" s="88">
        <v>83.6</v>
      </c>
      <c r="I33" s="22">
        <f>(+H33)/'AAUP 10_11'!H33-1</f>
        <v>0.02829028290282909</v>
      </c>
      <c r="J33" s="55"/>
      <c r="K33" s="57"/>
      <c r="L33" s="47">
        <v>365</v>
      </c>
      <c r="M33" s="47">
        <v>410</v>
      </c>
      <c r="N33" s="47">
        <v>363</v>
      </c>
      <c r="O33" s="47"/>
      <c r="P33" s="47">
        <f>SUM(L33:O33)</f>
        <v>1138</v>
      </c>
      <c r="Q33" s="47"/>
      <c r="R33" s="56">
        <f aca="true" t="shared" si="4" ref="R33:U36">C33*L33</f>
        <v>41573.5</v>
      </c>
      <c r="S33" s="56">
        <f t="shared" si="4"/>
        <v>31119.000000000004</v>
      </c>
      <c r="T33" s="56">
        <f t="shared" si="4"/>
        <v>22397.100000000002</v>
      </c>
      <c r="U33" s="56">
        <f t="shared" si="4"/>
        <v>0</v>
      </c>
      <c r="V33" s="56">
        <f>H33*P33</f>
        <v>95136.79999999999</v>
      </c>
      <c r="X33" s="16"/>
    </row>
    <row r="34" spans="1:24" ht="15.75">
      <c r="A34" s="17"/>
      <c r="B34" s="1" t="s">
        <v>7</v>
      </c>
      <c r="C34" s="41">
        <v>108.2</v>
      </c>
      <c r="D34" s="41">
        <v>77.8</v>
      </c>
      <c r="E34" s="41">
        <v>63.5</v>
      </c>
      <c r="F34" s="33"/>
      <c r="G34" s="33"/>
      <c r="H34" s="88">
        <v>80.9</v>
      </c>
      <c r="I34" s="22">
        <f>(+H34)/'AAUP 10_11'!H34-1</f>
        <v>0.018891687657430767</v>
      </c>
      <c r="J34" s="23"/>
      <c r="K34" s="49"/>
      <c r="L34" s="47">
        <v>156</v>
      </c>
      <c r="M34" s="47">
        <v>210</v>
      </c>
      <c r="N34" s="47">
        <v>207</v>
      </c>
      <c r="O34" s="20"/>
      <c r="P34" s="20">
        <f>SUM(L34:O34)</f>
        <v>573</v>
      </c>
      <c r="Q34" s="20"/>
      <c r="R34" s="46">
        <f t="shared" si="4"/>
        <v>16879.2</v>
      </c>
      <c r="S34" s="46">
        <f t="shared" si="4"/>
        <v>16338</v>
      </c>
      <c r="T34" s="46">
        <f t="shared" si="4"/>
        <v>13144.5</v>
      </c>
      <c r="U34" s="46">
        <f t="shared" si="4"/>
        <v>0</v>
      </c>
      <c r="V34" s="46">
        <f>H34*P34</f>
        <v>46355.700000000004</v>
      </c>
      <c r="X34" s="16"/>
    </row>
    <row r="35" spans="1:24" ht="15.75">
      <c r="A35" s="17"/>
      <c r="B35" s="1" t="s">
        <v>20</v>
      </c>
      <c r="C35" s="41">
        <v>114.6</v>
      </c>
      <c r="D35" s="41">
        <v>78.9</v>
      </c>
      <c r="E35" s="41">
        <v>69.4</v>
      </c>
      <c r="F35" s="33"/>
      <c r="G35" s="33"/>
      <c r="H35" s="88">
        <v>89.2</v>
      </c>
      <c r="I35" s="22">
        <f>(+H35)/'AAUP 10_11'!H35-1</f>
        <v>0.00790960451977396</v>
      </c>
      <c r="J35" s="23"/>
      <c r="K35" s="49"/>
      <c r="L35" s="57">
        <v>117</v>
      </c>
      <c r="M35" s="57">
        <v>102</v>
      </c>
      <c r="N35" s="57">
        <v>96</v>
      </c>
      <c r="O35" s="20"/>
      <c r="P35" s="20">
        <f>SUM(L35:O35)</f>
        <v>315</v>
      </c>
      <c r="Q35" s="20"/>
      <c r="R35" s="46">
        <f t="shared" si="4"/>
        <v>13408.199999999999</v>
      </c>
      <c r="S35" s="46">
        <f t="shared" si="4"/>
        <v>8047.8</v>
      </c>
      <c r="T35" s="46">
        <f t="shared" si="4"/>
        <v>6662.400000000001</v>
      </c>
      <c r="U35" s="46">
        <f t="shared" si="4"/>
        <v>0</v>
      </c>
      <c r="V35" s="46">
        <f>H35*P35</f>
        <v>28098</v>
      </c>
      <c r="X35" s="16"/>
    </row>
    <row r="36" spans="1:24" ht="15.75">
      <c r="A36" s="17"/>
      <c r="B36" s="5" t="s">
        <v>9</v>
      </c>
      <c r="C36" s="102">
        <v>94.7</v>
      </c>
      <c r="D36" s="102">
        <v>69.8</v>
      </c>
      <c r="E36" s="102">
        <v>59.3</v>
      </c>
      <c r="F36" s="38"/>
      <c r="G36" s="38"/>
      <c r="H36" s="103">
        <v>74.1</v>
      </c>
      <c r="I36" s="22">
        <f>(+H36)/'AAUP 10_11'!H36-1</f>
        <v>0.016460905349794164</v>
      </c>
      <c r="J36" s="23"/>
      <c r="K36" s="49"/>
      <c r="L36" s="104">
        <v>124</v>
      </c>
      <c r="M36" s="104">
        <v>176</v>
      </c>
      <c r="N36" s="104">
        <v>122</v>
      </c>
      <c r="O36" s="26"/>
      <c r="P36" s="26">
        <f>SUM(L36:O36)</f>
        <v>422</v>
      </c>
      <c r="Q36" s="26"/>
      <c r="R36" s="51">
        <f t="shared" si="4"/>
        <v>11742.800000000001</v>
      </c>
      <c r="S36" s="51">
        <f t="shared" si="4"/>
        <v>12284.8</v>
      </c>
      <c r="T36" s="51">
        <f t="shared" si="4"/>
        <v>7234.599999999999</v>
      </c>
      <c r="U36" s="51">
        <f t="shared" si="4"/>
        <v>0</v>
      </c>
      <c r="V36" s="51">
        <f>H36*P36</f>
        <v>31270.199999999997</v>
      </c>
      <c r="X36" s="16"/>
    </row>
    <row r="37" spans="1:24" ht="15.75">
      <c r="A37" s="17"/>
      <c r="B37" s="7" t="s">
        <v>16</v>
      </c>
      <c r="C37" s="33">
        <f>R37/L37</f>
        <v>109.71614173228346</v>
      </c>
      <c r="D37" s="33">
        <f>S37/M37</f>
        <v>75.48953229398664</v>
      </c>
      <c r="E37" s="33">
        <f>T37/N37</f>
        <v>62.73934010152285</v>
      </c>
      <c r="F37" s="33"/>
      <c r="G37" s="33"/>
      <c r="H37" s="71">
        <f>V37/P37</f>
        <v>82.05093954248366</v>
      </c>
      <c r="I37" s="22">
        <f>(+H37)/'AAUP 10_11'!H37-1</f>
        <v>0.023012705876385153</v>
      </c>
      <c r="J37" s="23"/>
      <c r="K37" s="49"/>
      <c r="L37" s="20">
        <f>SUM(L33:L36)</f>
        <v>762</v>
      </c>
      <c r="M37" s="20">
        <f>SUM(M33:M36)</f>
        <v>898</v>
      </c>
      <c r="N37" s="20">
        <f>SUM(N33:N36)</f>
        <v>788</v>
      </c>
      <c r="O37" s="20">
        <f>SUM(O33:O36)</f>
        <v>0</v>
      </c>
      <c r="P37" s="20">
        <f>SUM(P33:P36)</f>
        <v>2448</v>
      </c>
      <c r="Q37" s="20"/>
      <c r="R37" s="46">
        <f>SUM(R33:R36)</f>
        <v>83603.7</v>
      </c>
      <c r="S37" s="46">
        <f>SUM(S33:S36)</f>
        <v>67789.6</v>
      </c>
      <c r="T37" s="46">
        <f>SUM(T33:T36)</f>
        <v>49438.600000000006</v>
      </c>
      <c r="U37" s="46">
        <f>SUM(U33:U36)</f>
        <v>0</v>
      </c>
      <c r="V37" s="46">
        <f>SUM(V33:V36)</f>
        <v>200860.7</v>
      </c>
      <c r="X37" s="16"/>
    </row>
    <row r="38" spans="1:11" ht="15.75">
      <c r="A38" s="17"/>
      <c r="B38" s="7" t="s">
        <v>46</v>
      </c>
      <c r="C38" s="22">
        <f>C31/C37-1</f>
        <v>0.06720449330498734</v>
      </c>
      <c r="D38" s="22">
        <f>D31/D37-1</f>
        <v>0.08896156821397705</v>
      </c>
      <c r="E38" s="22">
        <f>E31/E37-1</f>
        <v>0.11907670619086486</v>
      </c>
      <c r="F38" s="22"/>
      <c r="G38" s="33"/>
      <c r="H38" s="72">
        <f>H31/H37-1</f>
        <v>0.01615357502360104</v>
      </c>
      <c r="J38" s="18"/>
      <c r="K38" s="31"/>
    </row>
    <row r="39" spans="1:29" ht="16.5" thickBot="1">
      <c r="A39" s="17"/>
      <c r="B39" s="2"/>
      <c r="C39" s="32"/>
      <c r="D39" s="32"/>
      <c r="E39" s="32"/>
      <c r="F39" s="32"/>
      <c r="G39" s="32"/>
      <c r="H39" s="83"/>
      <c r="I39" s="19"/>
      <c r="J39" s="18"/>
      <c r="K39" s="31"/>
      <c r="L39" s="31"/>
      <c r="M39" s="31"/>
      <c r="N39" s="31"/>
      <c r="O39" s="31"/>
      <c r="P39" s="31"/>
      <c r="Q39" s="31"/>
      <c r="R39" s="5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6.5" thickTop="1">
      <c r="A40" s="17"/>
      <c r="B40" s="15" t="s">
        <v>17</v>
      </c>
      <c r="C40" s="33"/>
      <c r="D40" s="33"/>
      <c r="E40" s="33"/>
      <c r="F40" s="33"/>
      <c r="G40" s="33"/>
      <c r="H40" s="71"/>
      <c r="J40" s="18"/>
      <c r="K40" s="31"/>
      <c r="L40" s="31"/>
      <c r="M40" s="31"/>
      <c r="N40" s="31"/>
      <c r="O40" s="31"/>
      <c r="P40" s="31"/>
      <c r="Q40" s="31"/>
      <c r="R40" s="5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5.75">
      <c r="A41" s="17"/>
      <c r="B41" s="80"/>
      <c r="C41" s="33"/>
      <c r="D41" s="33"/>
      <c r="E41" s="33"/>
      <c r="F41" s="33"/>
      <c r="G41" s="33"/>
      <c r="H41" s="71"/>
      <c r="J41" s="18"/>
      <c r="K41" s="31"/>
      <c r="L41" s="31"/>
      <c r="M41" s="31"/>
      <c r="N41" s="31"/>
      <c r="O41" s="31"/>
      <c r="P41" s="31"/>
      <c r="Q41" s="31"/>
      <c r="R41" s="5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5.75">
      <c r="A42" s="17"/>
      <c r="B42" s="1"/>
      <c r="C42" s="33"/>
      <c r="D42" s="33"/>
      <c r="E42" s="33"/>
      <c r="F42" s="33"/>
      <c r="G42" s="33"/>
      <c r="H42" s="71"/>
      <c r="J42" s="18"/>
      <c r="K42" s="31"/>
      <c r="L42" s="31"/>
      <c r="M42" s="31"/>
      <c r="N42" s="31"/>
      <c r="O42" s="31"/>
      <c r="P42" s="31"/>
      <c r="Q42" s="31"/>
      <c r="R42" s="5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11" ht="15.75">
      <c r="A43" s="27"/>
      <c r="B43" s="28"/>
      <c r="C43" s="39"/>
      <c r="D43" s="39"/>
      <c r="E43" s="39"/>
      <c r="F43" s="39"/>
      <c r="G43" s="39"/>
      <c r="H43" s="89"/>
      <c r="I43" s="99" t="s">
        <v>55</v>
      </c>
      <c r="J43" s="30"/>
      <c r="K43" s="31"/>
    </row>
  </sheetData>
  <sheetProtection/>
  <mergeCells count="2">
    <mergeCell ref="B1:I1"/>
    <mergeCell ref="B2:I2"/>
  </mergeCells>
  <printOptions/>
  <pageMargins left="0.75" right="0.5" top="0.5" bottom="0.5" header="0.5" footer="0.5"/>
  <pageSetup horizontalDpi="300" verticalDpi="3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5.75"/>
  <cols>
    <col min="1" max="1" width="2.625" style="15" customWidth="1"/>
    <col min="2" max="2" width="42.75390625" style="15" customWidth="1"/>
    <col min="3" max="6" width="11.375" style="40" customWidth="1"/>
    <col min="7" max="7" width="2.625" style="40" customWidth="1"/>
    <col min="8" max="8" width="11.375" style="90" customWidth="1"/>
    <col min="9" max="9" width="9.125" style="15" customWidth="1"/>
    <col min="10" max="11" width="2.625" style="15" customWidth="1"/>
    <col min="12" max="16" width="9.125" style="15" bestFit="1" customWidth="1"/>
    <col min="17" max="17" width="2.625" style="15" customWidth="1"/>
    <col min="18" max="18" width="11.375" style="42" bestFit="1" customWidth="1"/>
    <col min="19" max="19" width="9.75390625" style="15" customWidth="1"/>
    <col min="20" max="20" width="9.75390625" style="15" bestFit="1" customWidth="1"/>
    <col min="21" max="21" width="9.125" style="15" bestFit="1" customWidth="1"/>
    <col min="22" max="22" width="11.375" style="15" bestFit="1" customWidth="1"/>
    <col min="23" max="16384" width="9.00390625" style="15" customWidth="1"/>
  </cols>
  <sheetData>
    <row r="1" spans="1:11" ht="15.75">
      <c r="A1" s="13"/>
      <c r="B1" s="113" t="s">
        <v>38</v>
      </c>
      <c r="C1" s="113"/>
      <c r="D1" s="113"/>
      <c r="E1" s="113"/>
      <c r="F1" s="113"/>
      <c r="G1" s="113"/>
      <c r="H1" s="113"/>
      <c r="I1" s="113"/>
      <c r="J1" s="14"/>
      <c r="K1" s="31"/>
    </row>
    <row r="2" spans="1:11" ht="15.75">
      <c r="A2" s="17"/>
      <c r="B2" s="114" t="s">
        <v>49</v>
      </c>
      <c r="C2" s="114"/>
      <c r="D2" s="114"/>
      <c r="E2" s="114"/>
      <c r="F2" s="114"/>
      <c r="G2" s="114"/>
      <c r="H2" s="114"/>
      <c r="I2" s="114"/>
      <c r="J2" s="18"/>
      <c r="K2" s="31"/>
    </row>
    <row r="3" spans="1:22" ht="16.5" thickBot="1">
      <c r="A3" s="17"/>
      <c r="B3" s="2"/>
      <c r="C3" s="32"/>
      <c r="D3" s="32"/>
      <c r="E3" s="32"/>
      <c r="F3" s="32"/>
      <c r="G3" s="32"/>
      <c r="H3" s="83"/>
      <c r="I3" s="19"/>
      <c r="J3" s="18"/>
      <c r="K3" s="31"/>
      <c r="L3" s="19"/>
      <c r="M3" s="19"/>
      <c r="N3" s="19"/>
      <c r="O3" s="19"/>
      <c r="P3" s="19"/>
      <c r="Q3" s="19"/>
      <c r="R3" s="43"/>
      <c r="S3" s="19"/>
      <c r="T3" s="19"/>
      <c r="U3" s="19"/>
      <c r="V3" s="19"/>
    </row>
    <row r="4" spans="1:11" ht="16.5" thickTop="1">
      <c r="A4" s="17"/>
      <c r="B4" s="1"/>
      <c r="C4" s="33"/>
      <c r="D4" s="33"/>
      <c r="E4" s="33"/>
      <c r="F4" s="33"/>
      <c r="G4" s="33"/>
      <c r="H4" s="71"/>
      <c r="J4" s="18"/>
      <c r="K4" s="31"/>
    </row>
    <row r="5" spans="1:22" ht="15.75">
      <c r="A5" s="11"/>
      <c r="B5" s="1"/>
      <c r="C5" s="34"/>
      <c r="D5" s="34"/>
      <c r="E5" s="34"/>
      <c r="F5" s="34"/>
      <c r="G5" s="34"/>
      <c r="H5" s="84" t="s">
        <v>10</v>
      </c>
      <c r="I5" s="3"/>
      <c r="J5" s="10"/>
      <c r="K5" s="48"/>
      <c r="L5" s="1"/>
      <c r="M5" s="1"/>
      <c r="N5" s="1"/>
      <c r="O5" s="1"/>
      <c r="P5" s="1"/>
      <c r="Q5" s="1"/>
      <c r="R5" s="44"/>
      <c r="S5" s="1"/>
      <c r="T5" s="1"/>
      <c r="U5" s="1"/>
      <c r="V5" s="1"/>
    </row>
    <row r="6" spans="1:22" ht="15.75">
      <c r="A6" s="11"/>
      <c r="B6" s="1"/>
      <c r="C6" s="35" t="s">
        <v>11</v>
      </c>
      <c r="D6" s="35"/>
      <c r="E6" s="35"/>
      <c r="F6" s="35"/>
      <c r="G6" s="35"/>
      <c r="H6" s="85"/>
      <c r="I6" s="7" t="s">
        <v>0</v>
      </c>
      <c r="J6" s="10"/>
      <c r="K6" s="48"/>
      <c r="L6" s="3" t="s">
        <v>12</v>
      </c>
      <c r="M6" s="3"/>
      <c r="N6" s="3"/>
      <c r="O6" s="3"/>
      <c r="P6" s="3"/>
      <c r="Q6" s="4"/>
      <c r="R6" s="45"/>
      <c r="S6" s="4"/>
      <c r="T6" s="4"/>
      <c r="U6" s="4"/>
      <c r="V6" s="4"/>
    </row>
    <row r="7" spans="1:22" ht="15.75">
      <c r="A7" s="11"/>
      <c r="B7" s="5"/>
      <c r="C7" s="36" t="s">
        <v>1</v>
      </c>
      <c r="D7" s="36" t="s">
        <v>2</v>
      </c>
      <c r="E7" s="36" t="s">
        <v>3</v>
      </c>
      <c r="F7" s="36" t="s">
        <v>4</v>
      </c>
      <c r="G7" s="37"/>
      <c r="H7" s="86" t="s">
        <v>13</v>
      </c>
      <c r="I7" s="8" t="s">
        <v>14</v>
      </c>
      <c r="J7" s="10"/>
      <c r="K7" s="48"/>
      <c r="L7" s="8" t="s">
        <v>1</v>
      </c>
      <c r="M7" s="8" t="s">
        <v>2</v>
      </c>
      <c r="N7" s="8" t="s">
        <v>3</v>
      </c>
      <c r="O7" s="8" t="s">
        <v>4</v>
      </c>
      <c r="P7" s="9" t="s">
        <v>15</v>
      </c>
      <c r="Q7" s="48"/>
      <c r="R7" s="8" t="s">
        <v>1</v>
      </c>
      <c r="S7" s="8" t="s">
        <v>2</v>
      </c>
      <c r="T7" s="8" t="s">
        <v>3</v>
      </c>
      <c r="U7" s="8" t="s">
        <v>4</v>
      </c>
      <c r="V7" s="9" t="s">
        <v>15</v>
      </c>
    </row>
    <row r="8" spans="1:22" ht="15.75">
      <c r="A8" s="17"/>
      <c r="B8" s="1" t="s">
        <v>23</v>
      </c>
      <c r="C8" s="33">
        <v>116.3</v>
      </c>
      <c r="D8" s="33">
        <v>80.2</v>
      </c>
      <c r="E8" s="33">
        <v>66.5</v>
      </c>
      <c r="F8" s="33">
        <v>55</v>
      </c>
      <c r="G8" s="33"/>
      <c r="H8" s="71">
        <v>81.8</v>
      </c>
      <c r="I8" s="22">
        <f>(+H8)/'AAUP 09_10'!H8-1</f>
        <v>0.042038216560509545</v>
      </c>
      <c r="J8" s="23"/>
      <c r="K8" s="49"/>
      <c r="L8" s="20">
        <f>120+47</f>
        <v>167</v>
      </c>
      <c r="M8" s="20">
        <f>112+83</f>
        <v>195</v>
      </c>
      <c r="N8" s="20">
        <f>97+127</f>
        <v>224</v>
      </c>
      <c r="O8" s="20">
        <f>24+49</f>
        <v>73</v>
      </c>
      <c r="P8" s="20">
        <f aca="true" t="shared" si="0" ref="P8:P28">SUM(L8:O8)</f>
        <v>659</v>
      </c>
      <c r="Q8" s="20"/>
      <c r="R8" s="46">
        <f aca="true" t="shared" si="1" ref="R8:U28">C8*L8</f>
        <v>19422.1</v>
      </c>
      <c r="S8" s="46">
        <f t="shared" si="1"/>
        <v>15639</v>
      </c>
      <c r="T8" s="46">
        <f t="shared" si="1"/>
        <v>14896</v>
      </c>
      <c r="U8" s="46">
        <f t="shared" si="1"/>
        <v>4015</v>
      </c>
      <c r="V8" s="46">
        <f aca="true" t="shared" si="2" ref="V8:V28">H8*P8</f>
        <v>53906.2</v>
      </c>
    </row>
    <row r="9" spans="1:22" ht="15.75">
      <c r="A9" s="17"/>
      <c r="B9" s="1" t="s">
        <v>25</v>
      </c>
      <c r="C9" s="33">
        <v>105.5</v>
      </c>
      <c r="D9" s="33">
        <v>76.6</v>
      </c>
      <c r="E9" s="33">
        <v>60.9</v>
      </c>
      <c r="F9" s="33">
        <v>47.5</v>
      </c>
      <c r="G9" s="33"/>
      <c r="H9" s="71">
        <v>82.3</v>
      </c>
      <c r="I9" s="22">
        <f>(+H9)/'AAUP 09_10'!H9-1</f>
        <v>0.022360248447204967</v>
      </c>
      <c r="J9" s="23"/>
      <c r="K9" s="49"/>
      <c r="L9" s="20">
        <f>327+126</f>
        <v>453</v>
      </c>
      <c r="M9" s="20">
        <f>226+184</f>
        <v>410</v>
      </c>
      <c r="N9" s="20">
        <f>139+186</f>
        <v>325</v>
      </c>
      <c r="O9" s="20">
        <f>7+29</f>
        <v>36</v>
      </c>
      <c r="P9" s="20">
        <f t="shared" si="0"/>
        <v>1224</v>
      </c>
      <c r="Q9" s="20"/>
      <c r="R9" s="46">
        <f t="shared" si="1"/>
        <v>47791.5</v>
      </c>
      <c r="S9" s="46">
        <f t="shared" si="1"/>
        <v>31405.999999999996</v>
      </c>
      <c r="T9" s="46">
        <f t="shared" si="1"/>
        <v>19792.5</v>
      </c>
      <c r="U9" s="46">
        <f t="shared" si="1"/>
        <v>1710</v>
      </c>
      <c r="V9" s="46">
        <f t="shared" si="2"/>
        <v>100735.2</v>
      </c>
    </row>
    <row r="10" spans="1:22" ht="15.75">
      <c r="A10" s="17"/>
      <c r="B10" s="1" t="s">
        <v>26</v>
      </c>
      <c r="C10" s="33">
        <v>99.8</v>
      </c>
      <c r="D10" s="33">
        <v>72.1</v>
      </c>
      <c r="E10" s="33">
        <v>62.4</v>
      </c>
      <c r="F10" s="33">
        <v>53.5</v>
      </c>
      <c r="G10" s="33"/>
      <c r="H10" s="71">
        <v>75.5</v>
      </c>
      <c r="I10" s="22">
        <f>(+H10)/'AAUP 09_10'!H10-1</f>
        <v>0.023035230352303593</v>
      </c>
      <c r="J10" s="23"/>
      <c r="K10" s="49"/>
      <c r="L10" s="20">
        <f>110+37</f>
        <v>147</v>
      </c>
      <c r="M10" s="20">
        <f>129+72</f>
        <v>201</v>
      </c>
      <c r="N10" s="20">
        <f>60+75</f>
        <v>135</v>
      </c>
      <c r="O10" s="20">
        <f>6+10</f>
        <v>16</v>
      </c>
      <c r="P10" s="20">
        <f t="shared" si="0"/>
        <v>499</v>
      </c>
      <c r="Q10" s="20"/>
      <c r="R10" s="46">
        <f t="shared" si="1"/>
        <v>14670.6</v>
      </c>
      <c r="S10" s="46">
        <f t="shared" si="1"/>
        <v>14492.099999999999</v>
      </c>
      <c r="T10" s="46">
        <f t="shared" si="1"/>
        <v>8424</v>
      </c>
      <c r="U10" s="46">
        <f t="shared" si="1"/>
        <v>856</v>
      </c>
      <c r="V10" s="46">
        <f t="shared" si="2"/>
        <v>37674.5</v>
      </c>
    </row>
    <row r="11" spans="1:22" ht="15.75">
      <c r="A11" s="17"/>
      <c r="B11" s="1" t="s">
        <v>44</v>
      </c>
      <c r="C11" s="33">
        <v>121</v>
      </c>
      <c r="D11" s="33">
        <v>91.3</v>
      </c>
      <c r="E11" s="33">
        <v>76.8</v>
      </c>
      <c r="F11" s="33">
        <v>57</v>
      </c>
      <c r="G11" s="33"/>
      <c r="H11" s="71">
        <v>97.5</v>
      </c>
      <c r="I11" s="22">
        <f>(+H11)/'AAUP 09_10'!H11-1</f>
        <v>0.03944562899786774</v>
      </c>
      <c r="J11" s="23"/>
      <c r="K11" s="49"/>
      <c r="L11" s="20">
        <f>169+64</f>
        <v>233</v>
      </c>
      <c r="M11" s="20">
        <f>93+71</f>
        <v>164</v>
      </c>
      <c r="N11" s="20">
        <f>70+62</f>
        <v>132</v>
      </c>
      <c r="O11" s="20">
        <f>0+5</f>
        <v>5</v>
      </c>
      <c r="P11" s="20">
        <f t="shared" si="0"/>
        <v>534</v>
      </c>
      <c r="Q11" s="20"/>
      <c r="R11" s="46">
        <f t="shared" si="1"/>
        <v>28193</v>
      </c>
      <c r="S11" s="46">
        <f t="shared" si="1"/>
        <v>14973.199999999999</v>
      </c>
      <c r="T11" s="46">
        <f t="shared" si="1"/>
        <v>10137.6</v>
      </c>
      <c r="U11" s="46">
        <f t="shared" si="1"/>
        <v>285</v>
      </c>
      <c r="V11" s="46">
        <f t="shared" si="2"/>
        <v>52065</v>
      </c>
    </row>
    <row r="12" spans="1:22" ht="15.75">
      <c r="A12" s="17"/>
      <c r="B12" s="1" t="s">
        <v>40</v>
      </c>
      <c r="C12" s="33">
        <v>116.3</v>
      </c>
      <c r="D12" s="33">
        <v>82</v>
      </c>
      <c r="E12" s="33">
        <v>73.5</v>
      </c>
      <c r="F12" s="33">
        <v>55.1</v>
      </c>
      <c r="G12" s="33"/>
      <c r="H12" s="71">
        <v>83.8</v>
      </c>
      <c r="I12" s="22">
        <f>(+H12)/'AAUP 09_10'!H12-1</f>
        <v>0.03456790123456788</v>
      </c>
      <c r="J12" s="23"/>
      <c r="K12" s="49"/>
      <c r="L12" s="20">
        <f>170+45</f>
        <v>215</v>
      </c>
      <c r="M12" s="20">
        <f>167+92</f>
        <v>259</v>
      </c>
      <c r="N12" s="20">
        <f>113+106</f>
        <v>219</v>
      </c>
      <c r="O12" s="20">
        <f>65+55</f>
        <v>120</v>
      </c>
      <c r="P12" s="20">
        <f t="shared" si="0"/>
        <v>813</v>
      </c>
      <c r="Q12" s="20"/>
      <c r="R12" s="46">
        <f t="shared" si="1"/>
        <v>25004.5</v>
      </c>
      <c r="S12" s="46">
        <f t="shared" si="1"/>
        <v>21238</v>
      </c>
      <c r="T12" s="46">
        <f t="shared" si="1"/>
        <v>16096.5</v>
      </c>
      <c r="U12" s="46">
        <f t="shared" si="1"/>
        <v>6612</v>
      </c>
      <c r="V12" s="46">
        <f t="shared" si="2"/>
        <v>68129.4</v>
      </c>
    </row>
    <row r="13" spans="1:22" s="16" customFormat="1" ht="15.75">
      <c r="A13" s="24"/>
      <c r="B13" s="1" t="s">
        <v>27</v>
      </c>
      <c r="C13" s="33">
        <v>121.5</v>
      </c>
      <c r="D13" s="33">
        <v>78.6</v>
      </c>
      <c r="E13" s="33">
        <v>67.8</v>
      </c>
      <c r="F13" s="33">
        <v>54.2</v>
      </c>
      <c r="G13" s="33"/>
      <c r="H13" s="71">
        <v>78.6</v>
      </c>
      <c r="I13" s="22">
        <f>(+H13)/'AAUP 09_10'!H13-1</f>
        <v>0.0025510204081631294</v>
      </c>
      <c r="J13" s="25"/>
      <c r="K13" s="50"/>
      <c r="L13" s="20">
        <f>181+61</f>
        <v>242</v>
      </c>
      <c r="M13" s="20">
        <f>168+156</f>
        <v>324</v>
      </c>
      <c r="N13" s="20">
        <f>154+196</f>
        <v>350</v>
      </c>
      <c r="O13" s="21">
        <f>19+39</f>
        <v>58</v>
      </c>
      <c r="P13" s="20">
        <f t="shared" si="0"/>
        <v>974</v>
      </c>
      <c r="Q13" s="21"/>
      <c r="R13" s="46">
        <f t="shared" si="1"/>
        <v>29403</v>
      </c>
      <c r="S13" s="46">
        <f t="shared" si="1"/>
        <v>25466.399999999998</v>
      </c>
      <c r="T13" s="46">
        <f t="shared" si="1"/>
        <v>23730</v>
      </c>
      <c r="U13" s="46">
        <f t="shared" si="1"/>
        <v>3143.6000000000004</v>
      </c>
      <c r="V13" s="46">
        <f t="shared" si="2"/>
        <v>76556.4</v>
      </c>
    </row>
    <row r="14" spans="1:22" ht="15.75">
      <c r="A14" s="17"/>
      <c r="B14" s="1" t="s">
        <v>28</v>
      </c>
      <c r="C14" s="33">
        <v>127.8</v>
      </c>
      <c r="D14" s="33">
        <v>82.3</v>
      </c>
      <c r="E14" s="33">
        <v>80.6</v>
      </c>
      <c r="F14" s="33"/>
      <c r="G14" s="33"/>
      <c r="H14" s="71">
        <v>89.8</v>
      </c>
      <c r="I14" s="22">
        <f>(+H14)/'AAUP 09_10'!H14-1</f>
        <v>0.04540162980209539</v>
      </c>
      <c r="J14" s="23"/>
      <c r="K14" s="49"/>
      <c r="L14" s="20">
        <f>338+64</f>
        <v>402</v>
      </c>
      <c r="M14" s="20">
        <f>188+102</f>
        <v>290</v>
      </c>
      <c r="N14" s="20">
        <f>112+93</f>
        <v>205</v>
      </c>
      <c r="O14" s="20"/>
      <c r="P14" s="20">
        <f t="shared" si="0"/>
        <v>897</v>
      </c>
      <c r="Q14" s="20"/>
      <c r="R14" s="46">
        <f t="shared" si="1"/>
        <v>51375.6</v>
      </c>
      <c r="S14" s="46">
        <f t="shared" si="1"/>
        <v>23867</v>
      </c>
      <c r="T14" s="46">
        <f t="shared" si="1"/>
        <v>16523</v>
      </c>
      <c r="U14" s="46">
        <f t="shared" si="1"/>
        <v>0</v>
      </c>
      <c r="V14" s="46">
        <f t="shared" si="2"/>
        <v>80550.59999999999</v>
      </c>
    </row>
    <row r="15" spans="1:22" ht="15.75">
      <c r="A15" s="17"/>
      <c r="B15" s="1" t="s">
        <v>29</v>
      </c>
      <c r="C15" s="46">
        <v>125.7</v>
      </c>
      <c r="D15" s="46">
        <v>87.9</v>
      </c>
      <c r="E15" s="46">
        <v>75.1</v>
      </c>
      <c r="F15" s="33">
        <v>60.5</v>
      </c>
      <c r="G15" s="33"/>
      <c r="H15" s="71">
        <v>92</v>
      </c>
      <c r="I15" s="22">
        <f>(+H15)/'AAUP 09_10'!H15-1</f>
        <v>0.021087680355160954</v>
      </c>
      <c r="J15" s="23"/>
      <c r="K15" s="49"/>
      <c r="L15" s="20">
        <f>240+87</f>
        <v>327</v>
      </c>
      <c r="M15" s="20">
        <f>201+149</f>
        <v>350</v>
      </c>
      <c r="N15" s="20">
        <f>124+152</f>
        <v>276</v>
      </c>
      <c r="O15" s="20">
        <f>3+11</f>
        <v>14</v>
      </c>
      <c r="P15" s="20">
        <f t="shared" si="0"/>
        <v>967</v>
      </c>
      <c r="Q15" s="20"/>
      <c r="R15" s="46">
        <f t="shared" si="1"/>
        <v>41103.9</v>
      </c>
      <c r="S15" s="46">
        <f t="shared" si="1"/>
        <v>30765.000000000004</v>
      </c>
      <c r="T15" s="46">
        <f t="shared" si="1"/>
        <v>20727.6</v>
      </c>
      <c r="U15" s="46">
        <f t="shared" si="1"/>
        <v>847</v>
      </c>
      <c r="V15" s="46">
        <f t="shared" si="2"/>
        <v>88964</v>
      </c>
    </row>
    <row r="16" spans="1:22" ht="15.75">
      <c r="A16" s="17"/>
      <c r="B16" s="1" t="s">
        <v>30</v>
      </c>
      <c r="C16" s="33">
        <v>100.7</v>
      </c>
      <c r="D16" s="33">
        <v>74.4</v>
      </c>
      <c r="E16" s="33">
        <v>62.1</v>
      </c>
      <c r="F16" s="33"/>
      <c r="G16" s="33"/>
      <c r="H16" s="71">
        <v>70.8</v>
      </c>
      <c r="I16" s="22">
        <f>(+H16)/'AAUP 09_10'!H16-1</f>
        <v>0</v>
      </c>
      <c r="J16" s="23"/>
      <c r="K16" s="49"/>
      <c r="L16" s="20">
        <f>155+66</f>
        <v>221</v>
      </c>
      <c r="M16" s="20">
        <f>144+138</f>
        <v>282</v>
      </c>
      <c r="N16" s="20">
        <f>133+147</f>
        <v>280</v>
      </c>
      <c r="O16" s="20">
        <f>1+0</f>
        <v>1</v>
      </c>
      <c r="P16" s="20">
        <f t="shared" si="0"/>
        <v>784</v>
      </c>
      <c r="Q16" s="20"/>
      <c r="R16" s="46">
        <f t="shared" si="1"/>
        <v>22254.7</v>
      </c>
      <c r="S16" s="46">
        <f t="shared" si="1"/>
        <v>20980.800000000003</v>
      </c>
      <c r="T16" s="46">
        <f t="shared" si="1"/>
        <v>17388</v>
      </c>
      <c r="U16" s="46">
        <f t="shared" si="1"/>
        <v>0</v>
      </c>
      <c r="V16" s="46">
        <f t="shared" si="2"/>
        <v>55507.2</v>
      </c>
    </row>
    <row r="17" spans="1:22" ht="15.75">
      <c r="A17" s="17"/>
      <c r="B17" s="1" t="s">
        <v>31</v>
      </c>
      <c r="C17" s="33">
        <v>114.1</v>
      </c>
      <c r="D17" s="33">
        <v>85.4</v>
      </c>
      <c r="E17" s="33">
        <v>72.5</v>
      </c>
      <c r="F17" s="33"/>
      <c r="G17" s="33"/>
      <c r="H17" s="71">
        <v>82</v>
      </c>
      <c r="I17" s="22">
        <f>(+H17)/'AAUP 09_10'!H17-1</f>
        <v>-0.012048192771084376</v>
      </c>
      <c r="J17" s="23"/>
      <c r="K17" s="49"/>
      <c r="L17" s="20">
        <f>78+43</f>
        <v>121</v>
      </c>
      <c r="M17" s="20">
        <f>78+70</f>
        <v>148</v>
      </c>
      <c r="N17" s="20">
        <f>57+79</f>
        <v>136</v>
      </c>
      <c r="O17" s="20">
        <f>1+0</f>
        <v>1</v>
      </c>
      <c r="P17" s="20">
        <f t="shared" si="0"/>
        <v>406</v>
      </c>
      <c r="Q17" s="20"/>
      <c r="R17" s="46">
        <f t="shared" si="1"/>
        <v>13806.099999999999</v>
      </c>
      <c r="S17" s="46">
        <f t="shared" si="1"/>
        <v>12639.2</v>
      </c>
      <c r="T17" s="46">
        <f t="shared" si="1"/>
        <v>9860</v>
      </c>
      <c r="U17" s="46">
        <f t="shared" si="1"/>
        <v>0</v>
      </c>
      <c r="V17" s="46">
        <f t="shared" si="2"/>
        <v>33292</v>
      </c>
    </row>
    <row r="18" spans="1:22" ht="15.75">
      <c r="A18" s="17"/>
      <c r="B18" s="1" t="s">
        <v>32</v>
      </c>
      <c r="C18" s="33">
        <v>99.6</v>
      </c>
      <c r="D18" s="33">
        <v>69.4</v>
      </c>
      <c r="E18" s="33">
        <v>59.6</v>
      </c>
      <c r="F18" s="33">
        <v>41.4</v>
      </c>
      <c r="G18" s="33"/>
      <c r="H18" s="71">
        <v>70.7</v>
      </c>
      <c r="I18" s="22">
        <f>(+H18)/'AAUP 09_10'!H18-1</f>
        <v>-0.0028208744710860323</v>
      </c>
      <c r="J18" s="23"/>
      <c r="K18" s="49"/>
      <c r="L18" s="20">
        <f>195+46</f>
        <v>241</v>
      </c>
      <c r="M18" s="20">
        <f>145+98</f>
        <v>243</v>
      </c>
      <c r="N18" s="20">
        <f>103+141</f>
        <v>244</v>
      </c>
      <c r="O18" s="20">
        <f>41+67</f>
        <v>108</v>
      </c>
      <c r="P18" s="20">
        <f t="shared" si="0"/>
        <v>836</v>
      </c>
      <c r="Q18" s="20"/>
      <c r="R18" s="46">
        <f t="shared" si="1"/>
        <v>24003.6</v>
      </c>
      <c r="S18" s="46">
        <f t="shared" si="1"/>
        <v>16864.2</v>
      </c>
      <c r="T18" s="46">
        <f t="shared" si="1"/>
        <v>14542.4</v>
      </c>
      <c r="U18" s="46">
        <f t="shared" si="1"/>
        <v>4471.2</v>
      </c>
      <c r="V18" s="46">
        <f t="shared" si="2"/>
        <v>59105.200000000004</v>
      </c>
    </row>
    <row r="19" spans="1:22" s="62" customFormat="1" ht="15.75">
      <c r="A19" s="12"/>
      <c r="B19" s="6" t="s">
        <v>7</v>
      </c>
      <c r="C19" s="54">
        <v>105.1</v>
      </c>
      <c r="D19" s="54">
        <v>75.3</v>
      </c>
      <c r="E19" s="54">
        <v>63</v>
      </c>
      <c r="F19" s="54"/>
      <c r="G19" s="54"/>
      <c r="H19" s="87">
        <v>79.4</v>
      </c>
      <c r="I19" s="53">
        <f>(+H19)/'AAUP 09_10'!H19-1</f>
        <v>0.020565552699228995</v>
      </c>
      <c r="J19" s="59"/>
      <c r="K19" s="60"/>
      <c r="L19" s="81">
        <f>112+46</f>
        <v>158</v>
      </c>
      <c r="M19" s="81">
        <f>118+87</f>
        <v>205</v>
      </c>
      <c r="N19" s="81">
        <f>103+94</f>
        <v>197</v>
      </c>
      <c r="O19" s="81"/>
      <c r="P19" s="81">
        <f t="shared" si="0"/>
        <v>560</v>
      </c>
      <c r="Q19" s="81"/>
      <c r="R19" s="61">
        <f t="shared" si="1"/>
        <v>16605.8</v>
      </c>
      <c r="S19" s="61">
        <f t="shared" si="1"/>
        <v>15436.5</v>
      </c>
      <c r="T19" s="61">
        <f t="shared" si="1"/>
        <v>12411</v>
      </c>
      <c r="U19" s="61">
        <f t="shared" si="1"/>
        <v>0</v>
      </c>
      <c r="V19" s="61">
        <f t="shared" si="2"/>
        <v>44464</v>
      </c>
    </row>
    <row r="20" spans="1:22" s="62" customFormat="1" ht="15.75">
      <c r="A20" s="12"/>
      <c r="B20" s="6" t="s">
        <v>9</v>
      </c>
      <c r="C20" s="100">
        <v>93.6</v>
      </c>
      <c r="D20" s="100">
        <v>68.6</v>
      </c>
      <c r="E20" s="100">
        <v>58.8</v>
      </c>
      <c r="F20" s="100"/>
      <c r="G20" s="100"/>
      <c r="H20" s="101">
        <v>72.9</v>
      </c>
      <c r="I20" s="53">
        <f>(+H20)/'AAUP 09_10'!H20-1</f>
        <v>0.006906077348066253</v>
      </c>
      <c r="J20" s="59"/>
      <c r="K20" s="60"/>
      <c r="L20" s="98">
        <f>89+38</f>
        <v>127</v>
      </c>
      <c r="M20" s="98">
        <f>85+85</f>
        <v>170</v>
      </c>
      <c r="N20" s="98">
        <f>47+87</f>
        <v>134</v>
      </c>
      <c r="O20" s="81"/>
      <c r="P20" s="81">
        <f>SUM(L20:O20)</f>
        <v>431</v>
      </c>
      <c r="Q20" s="81"/>
      <c r="R20" s="61">
        <f>C20*L20</f>
        <v>11887.199999999999</v>
      </c>
      <c r="S20" s="61">
        <f>D20*M20</f>
        <v>11661.999999999998</v>
      </c>
      <c r="T20" s="61">
        <f>E20*N20</f>
        <v>7879.2</v>
      </c>
      <c r="U20" s="61">
        <f>F20*O20</f>
        <v>0</v>
      </c>
      <c r="V20" s="61">
        <f>H20*P20</f>
        <v>31419.9</v>
      </c>
    </row>
    <row r="21" spans="1:22" ht="15.75">
      <c r="A21" s="17"/>
      <c r="B21" s="1" t="s">
        <v>33</v>
      </c>
      <c r="C21" s="33">
        <v>87.6</v>
      </c>
      <c r="D21" s="33">
        <v>66.3</v>
      </c>
      <c r="E21" s="33">
        <v>61.1</v>
      </c>
      <c r="F21" s="33">
        <v>42.3</v>
      </c>
      <c r="G21" s="33"/>
      <c r="H21" s="71">
        <v>67.1</v>
      </c>
      <c r="I21" s="22">
        <f>(+H21)/'AAUP 09_10'!H21-1</f>
        <v>0.012066365007541435</v>
      </c>
      <c r="J21" s="23"/>
      <c r="K21" s="49"/>
      <c r="L21" s="20">
        <f>100+35</f>
        <v>135</v>
      </c>
      <c r="M21" s="20">
        <f>58+33</f>
        <v>91</v>
      </c>
      <c r="N21" s="20">
        <f>51+28</f>
        <v>79</v>
      </c>
      <c r="O21" s="20">
        <f>27+63</f>
        <v>90</v>
      </c>
      <c r="P21" s="20">
        <f t="shared" si="0"/>
        <v>395</v>
      </c>
      <c r="Q21" s="20"/>
      <c r="R21" s="46">
        <f t="shared" si="1"/>
        <v>11826</v>
      </c>
      <c r="S21" s="46">
        <f t="shared" si="1"/>
        <v>6033.3</v>
      </c>
      <c r="T21" s="46">
        <f t="shared" si="1"/>
        <v>4826.900000000001</v>
      </c>
      <c r="U21" s="46">
        <f t="shared" si="1"/>
        <v>3806.9999999999995</v>
      </c>
      <c r="V21" s="46">
        <f t="shared" si="2"/>
        <v>26504.499999999996</v>
      </c>
    </row>
    <row r="22" spans="1:22" ht="15.75">
      <c r="A22" s="17"/>
      <c r="B22" s="1" t="s">
        <v>6</v>
      </c>
      <c r="C22" s="41">
        <v>132.8</v>
      </c>
      <c r="D22" s="41">
        <v>88.4</v>
      </c>
      <c r="E22" s="41">
        <v>72.2</v>
      </c>
      <c r="F22" s="41">
        <v>43.6</v>
      </c>
      <c r="G22" s="41"/>
      <c r="H22" s="88">
        <v>90.5</v>
      </c>
      <c r="I22" s="22">
        <f>(+H22)/'AAUP 09_10'!H22-1</f>
        <v>0.033105022831050324</v>
      </c>
      <c r="J22" s="23"/>
      <c r="K22" s="49"/>
      <c r="L22" s="47">
        <f>381+122</f>
        <v>503</v>
      </c>
      <c r="M22" s="47">
        <f>286+148</f>
        <v>434</v>
      </c>
      <c r="N22" s="47">
        <f>239+253</f>
        <v>492</v>
      </c>
      <c r="O22" s="47">
        <f>23+70</f>
        <v>93</v>
      </c>
      <c r="P22" s="20">
        <f t="shared" si="0"/>
        <v>1522</v>
      </c>
      <c r="Q22" s="20"/>
      <c r="R22" s="46">
        <f t="shared" si="1"/>
        <v>66798.40000000001</v>
      </c>
      <c r="S22" s="46">
        <f t="shared" si="1"/>
        <v>38365.600000000006</v>
      </c>
      <c r="T22" s="46">
        <f t="shared" si="1"/>
        <v>35522.4</v>
      </c>
      <c r="U22" s="46">
        <f t="shared" si="1"/>
        <v>4054.8</v>
      </c>
      <c r="V22" s="46">
        <f t="shared" si="2"/>
        <v>137741</v>
      </c>
    </row>
    <row r="23" spans="1:22" s="77" customFormat="1" ht="15.75">
      <c r="A23" s="82"/>
      <c r="B23" s="1" t="s">
        <v>34</v>
      </c>
      <c r="C23" s="71">
        <v>91.8</v>
      </c>
      <c r="D23" s="71">
        <v>73.1</v>
      </c>
      <c r="E23" s="71">
        <v>58.4</v>
      </c>
      <c r="F23" s="71">
        <v>41.3</v>
      </c>
      <c r="G23" s="71"/>
      <c r="H23" s="71">
        <v>69.1</v>
      </c>
      <c r="I23" s="22">
        <f>(+H23)/'AAUP 09_10'!H23-1</f>
        <v>-0.018465909090909283</v>
      </c>
      <c r="J23" s="73"/>
      <c r="K23" s="74"/>
      <c r="L23" s="75">
        <f>154+63</f>
        <v>217</v>
      </c>
      <c r="M23" s="75">
        <f>98+74</f>
        <v>172</v>
      </c>
      <c r="N23" s="75">
        <f>86+98</f>
        <v>184</v>
      </c>
      <c r="O23" s="75">
        <f>38+93</f>
        <v>131</v>
      </c>
      <c r="P23" s="75">
        <f t="shared" si="0"/>
        <v>704</v>
      </c>
      <c r="Q23" s="75"/>
      <c r="R23" s="76">
        <f t="shared" si="1"/>
        <v>19920.6</v>
      </c>
      <c r="S23" s="76">
        <f t="shared" si="1"/>
        <v>12573.199999999999</v>
      </c>
      <c r="T23" s="76">
        <f t="shared" si="1"/>
        <v>10745.6</v>
      </c>
      <c r="U23" s="76">
        <f t="shared" si="1"/>
        <v>5410.299999999999</v>
      </c>
      <c r="V23" s="76">
        <f t="shared" si="2"/>
        <v>48646.399999999994</v>
      </c>
    </row>
    <row r="24" spans="1:22" s="77" customFormat="1" ht="15.75">
      <c r="A24" s="69"/>
      <c r="B24" s="1" t="s">
        <v>35</v>
      </c>
      <c r="C24" s="71">
        <v>130.4</v>
      </c>
      <c r="D24" s="71">
        <v>82.2</v>
      </c>
      <c r="E24" s="71">
        <v>67.8</v>
      </c>
      <c r="F24" s="71">
        <v>53.1</v>
      </c>
      <c r="G24" s="71"/>
      <c r="H24" s="71">
        <v>91.8</v>
      </c>
      <c r="I24" s="22">
        <f>(+H24)/'AAUP 09_10'!H24-1</f>
        <v>0.021134593993325845</v>
      </c>
      <c r="J24" s="73"/>
      <c r="K24" s="74"/>
      <c r="L24" s="75">
        <f>322+98</f>
        <v>420</v>
      </c>
      <c r="M24" s="75">
        <f>230+185</f>
        <v>415</v>
      </c>
      <c r="N24" s="75">
        <f>311+227</f>
        <v>538</v>
      </c>
      <c r="O24" s="75">
        <f>44+45</f>
        <v>89</v>
      </c>
      <c r="P24" s="75">
        <f t="shared" si="0"/>
        <v>1462</v>
      </c>
      <c r="Q24" s="75"/>
      <c r="R24" s="76">
        <f t="shared" si="1"/>
        <v>54768</v>
      </c>
      <c r="S24" s="76">
        <f t="shared" si="1"/>
        <v>34113</v>
      </c>
      <c r="T24" s="76">
        <f t="shared" si="1"/>
        <v>36476.4</v>
      </c>
      <c r="U24" s="76">
        <f t="shared" si="1"/>
        <v>4725.900000000001</v>
      </c>
      <c r="V24" s="76">
        <f t="shared" si="2"/>
        <v>134211.6</v>
      </c>
    </row>
    <row r="25" spans="1:22" s="77" customFormat="1" ht="15.75">
      <c r="A25" s="82"/>
      <c r="B25" s="1" t="s">
        <v>36</v>
      </c>
      <c r="C25" s="71">
        <v>105.8</v>
      </c>
      <c r="D25" s="71">
        <v>82.9</v>
      </c>
      <c r="E25" s="71">
        <v>67.4</v>
      </c>
      <c r="F25" s="71">
        <v>56.5</v>
      </c>
      <c r="G25" s="71"/>
      <c r="H25" s="71">
        <v>75.5</v>
      </c>
      <c r="I25" s="22">
        <f>(+H25)/'AAUP 09_10'!H25-1</f>
        <v>0.016150740242261152</v>
      </c>
      <c r="J25" s="73"/>
      <c r="K25" s="74"/>
      <c r="L25" s="75">
        <f>147+55</f>
        <v>202</v>
      </c>
      <c r="M25" s="75">
        <f>158+85</f>
        <v>243</v>
      </c>
      <c r="N25" s="75">
        <f>88+66</f>
        <v>154</v>
      </c>
      <c r="O25" s="75">
        <f>4+22</f>
        <v>26</v>
      </c>
      <c r="P25" s="75">
        <f t="shared" si="0"/>
        <v>625</v>
      </c>
      <c r="Q25" s="75"/>
      <c r="R25" s="76">
        <f t="shared" si="1"/>
        <v>21371.6</v>
      </c>
      <c r="S25" s="76">
        <f t="shared" si="1"/>
        <v>20144.7</v>
      </c>
      <c r="T25" s="76">
        <f t="shared" si="1"/>
        <v>10379.6</v>
      </c>
      <c r="U25" s="76">
        <f t="shared" si="1"/>
        <v>1469</v>
      </c>
      <c r="V25" s="76">
        <f t="shared" si="2"/>
        <v>47187.5</v>
      </c>
    </row>
    <row r="26" spans="1:22" s="77" customFormat="1" ht="15.75">
      <c r="A26" s="69"/>
      <c r="B26" s="70" t="s">
        <v>37</v>
      </c>
      <c r="C26" s="71">
        <v>115.7</v>
      </c>
      <c r="D26" s="71">
        <v>79.5</v>
      </c>
      <c r="E26" s="71">
        <v>66.4</v>
      </c>
      <c r="F26" s="71">
        <v>47.4</v>
      </c>
      <c r="G26" s="71"/>
      <c r="H26" s="71">
        <v>78.4</v>
      </c>
      <c r="I26" s="22">
        <f>(+H26)/'AAUP 09_10'!H26-1</f>
        <v>-0.0050761421319796</v>
      </c>
      <c r="J26" s="73"/>
      <c r="K26" s="74"/>
      <c r="L26" s="75">
        <f>217+85</f>
        <v>302</v>
      </c>
      <c r="M26" s="75">
        <f>217+149</f>
        <v>366</v>
      </c>
      <c r="N26" s="75">
        <f>234+237</f>
        <v>471</v>
      </c>
      <c r="O26" s="75">
        <f>84+111</f>
        <v>195</v>
      </c>
      <c r="P26" s="75">
        <f t="shared" si="0"/>
        <v>1334</v>
      </c>
      <c r="Q26" s="75"/>
      <c r="R26" s="76">
        <f t="shared" si="1"/>
        <v>34941.4</v>
      </c>
      <c r="S26" s="76">
        <f t="shared" si="1"/>
        <v>29097</v>
      </c>
      <c r="T26" s="76">
        <f t="shared" si="1"/>
        <v>31274.4</v>
      </c>
      <c r="U26" s="76">
        <f t="shared" si="1"/>
        <v>9243</v>
      </c>
      <c r="V26" s="76">
        <f t="shared" si="2"/>
        <v>104585.6</v>
      </c>
    </row>
    <row r="27" spans="1:22" s="77" customFormat="1" ht="15.75">
      <c r="A27" s="69"/>
      <c r="B27" s="70" t="s">
        <v>39</v>
      </c>
      <c r="C27" s="71">
        <v>112.7</v>
      </c>
      <c r="D27" s="71">
        <v>85.5</v>
      </c>
      <c r="E27" s="71">
        <v>72.6</v>
      </c>
      <c r="F27" s="71">
        <v>66</v>
      </c>
      <c r="G27" s="71"/>
      <c r="H27" s="71">
        <v>84.2</v>
      </c>
      <c r="I27" s="22">
        <f>(+H27)/'AAUP 09_10'!H27-1</f>
        <v>0.00959232613908867</v>
      </c>
      <c r="J27" s="73"/>
      <c r="K27" s="74"/>
      <c r="L27" s="75">
        <f>226+58</f>
        <v>284</v>
      </c>
      <c r="M27" s="75">
        <f>168+108</f>
        <v>276</v>
      </c>
      <c r="N27" s="75">
        <f>142+153</f>
        <v>295</v>
      </c>
      <c r="O27" s="75">
        <f>3+32</f>
        <v>35</v>
      </c>
      <c r="P27" s="75">
        <f t="shared" si="0"/>
        <v>890</v>
      </c>
      <c r="Q27" s="75"/>
      <c r="R27" s="76">
        <f t="shared" si="1"/>
        <v>32006.8</v>
      </c>
      <c r="S27" s="76">
        <f t="shared" si="1"/>
        <v>23598</v>
      </c>
      <c r="T27" s="76">
        <f t="shared" si="1"/>
        <v>21417</v>
      </c>
      <c r="U27" s="76">
        <f t="shared" si="1"/>
        <v>2310</v>
      </c>
      <c r="V27" s="76">
        <f t="shared" si="2"/>
        <v>74938</v>
      </c>
    </row>
    <row r="28" spans="1:22" s="77" customFormat="1" ht="15.75">
      <c r="A28" s="69"/>
      <c r="B28" s="70" t="s">
        <v>24</v>
      </c>
      <c r="C28" s="71">
        <v>94.6</v>
      </c>
      <c r="D28" s="71">
        <v>71.5</v>
      </c>
      <c r="E28" s="71">
        <v>66.5</v>
      </c>
      <c r="F28" s="71">
        <v>58.4</v>
      </c>
      <c r="G28" s="71"/>
      <c r="H28" s="71">
        <v>69.9</v>
      </c>
      <c r="I28" s="22">
        <f>(+H28)/'AAUP 09_10'!H28-1</f>
        <v>0.004310344827586299</v>
      </c>
      <c r="J28" s="73"/>
      <c r="K28" s="74"/>
      <c r="L28" s="75">
        <f>164+73</f>
        <v>237</v>
      </c>
      <c r="M28" s="75">
        <f>199+133</f>
        <v>332</v>
      </c>
      <c r="N28" s="75">
        <f>127+141</f>
        <v>268</v>
      </c>
      <c r="O28" s="75">
        <f>2+7</f>
        <v>9</v>
      </c>
      <c r="P28" s="75">
        <f t="shared" si="0"/>
        <v>846</v>
      </c>
      <c r="Q28" s="75"/>
      <c r="R28" s="76">
        <f t="shared" si="1"/>
        <v>22420.199999999997</v>
      </c>
      <c r="S28" s="76">
        <f t="shared" si="1"/>
        <v>23738</v>
      </c>
      <c r="T28" s="76">
        <f t="shared" si="1"/>
        <v>17822</v>
      </c>
      <c r="U28" s="76">
        <f t="shared" si="1"/>
        <v>525.6</v>
      </c>
      <c r="V28" s="76">
        <f t="shared" si="2"/>
        <v>59135.4</v>
      </c>
    </row>
    <row r="29" spans="1:22" s="77" customFormat="1" ht="15.75">
      <c r="A29" s="69"/>
      <c r="B29" s="70"/>
      <c r="C29" s="71"/>
      <c r="D29" s="71"/>
      <c r="E29" s="71"/>
      <c r="F29" s="71"/>
      <c r="G29" s="71"/>
      <c r="H29" s="71"/>
      <c r="I29" s="75"/>
      <c r="J29" s="73"/>
      <c r="K29" s="74"/>
      <c r="L29" s="75"/>
      <c r="M29" s="75"/>
      <c r="N29" s="75"/>
      <c r="O29" s="75"/>
      <c r="P29" s="75"/>
      <c r="Q29" s="75"/>
      <c r="R29" s="76"/>
      <c r="S29" s="76"/>
      <c r="T29" s="76"/>
      <c r="U29" s="76"/>
      <c r="V29" s="76"/>
    </row>
    <row r="30" spans="1:22" s="77" customFormat="1" ht="15.75">
      <c r="A30" s="69"/>
      <c r="B30" s="78" t="s">
        <v>42</v>
      </c>
      <c r="C30" s="71">
        <f aca="true" t="shared" si="3" ref="C30:F31">R30/L30</f>
        <v>113.85405304445274</v>
      </c>
      <c r="D30" s="71">
        <f t="shared" si="3"/>
        <v>79.54976660682227</v>
      </c>
      <c r="E30" s="71">
        <f t="shared" si="3"/>
        <v>67.60436493068566</v>
      </c>
      <c r="F30" s="71">
        <f t="shared" si="3"/>
        <v>48.623090909090905</v>
      </c>
      <c r="G30" s="71"/>
      <c r="H30" s="71">
        <f>V30/P30</f>
        <v>81.5182352263564</v>
      </c>
      <c r="I30" s="22">
        <f>(+H30)/'AAUP 09_10'!H30-1</f>
        <v>0.016474638916094797</v>
      </c>
      <c r="J30" s="73"/>
      <c r="K30" s="74"/>
      <c r="L30" s="79">
        <f>SUM(L8:L28)</f>
        <v>5354</v>
      </c>
      <c r="M30" s="79">
        <f>SUM(M8:M28)</f>
        <v>5570</v>
      </c>
      <c r="N30" s="79">
        <f>SUM(N8:N28)</f>
        <v>5338</v>
      </c>
      <c r="O30" s="79">
        <f>SUM(O8:O28)</f>
        <v>1100</v>
      </c>
      <c r="P30" s="79">
        <f>SUM(L30:O30)</f>
        <v>17362</v>
      </c>
      <c r="Q30" s="75"/>
      <c r="R30" s="76">
        <f>SUM(R8:R28)</f>
        <v>609574.6</v>
      </c>
      <c r="S30" s="76">
        <f>SUM(S8:S28)</f>
        <v>443092.20000000007</v>
      </c>
      <c r="T30" s="76">
        <f>SUM(T8:T28)</f>
        <v>360872.10000000003</v>
      </c>
      <c r="U30" s="76">
        <f>SUM(U8:U28)</f>
        <v>53485.399999999994</v>
      </c>
      <c r="V30" s="76">
        <f>SUM(V8:V28)</f>
        <v>1415319.5999999999</v>
      </c>
    </row>
    <row r="31" spans="1:22" s="77" customFormat="1" ht="15.75">
      <c r="A31" s="69"/>
      <c r="B31" s="78" t="s">
        <v>43</v>
      </c>
      <c r="C31" s="71">
        <f t="shared" si="3"/>
        <v>114.63436575261392</v>
      </c>
      <c r="D31" s="71">
        <f t="shared" si="3"/>
        <v>80.07578440808471</v>
      </c>
      <c r="E31" s="71">
        <f t="shared" si="3"/>
        <v>68.02115038945477</v>
      </c>
      <c r="F31" s="71">
        <f t="shared" si="3"/>
        <v>48.623090909090905</v>
      </c>
      <c r="G31" s="71"/>
      <c r="H31" s="71">
        <f>V31/P31</f>
        <v>81.81758597520005</v>
      </c>
      <c r="I31" s="22">
        <f>(+H31)/'AAUP 09_10'!H31-1</f>
        <v>0.016492097997089283</v>
      </c>
      <c r="J31" s="73"/>
      <c r="K31" s="74"/>
      <c r="L31" s="75">
        <f>L30-(L19+L20)</f>
        <v>5069</v>
      </c>
      <c r="M31" s="75">
        <f>M30-(M19+M20)</f>
        <v>5195</v>
      </c>
      <c r="N31" s="75">
        <f>N30-(N19+N20)</f>
        <v>5007</v>
      </c>
      <c r="O31" s="75">
        <f>O30-(O19+O20)</f>
        <v>1100</v>
      </c>
      <c r="P31" s="75">
        <f>SUM(L31:O31)</f>
        <v>16371</v>
      </c>
      <c r="Q31" s="75"/>
      <c r="R31" s="76">
        <f>R30-(R19+R20)</f>
        <v>581081.6</v>
      </c>
      <c r="S31" s="76">
        <f>S30-(S19+S20)</f>
        <v>415993.70000000007</v>
      </c>
      <c r="T31" s="76">
        <f>T30-(T19+T20)</f>
        <v>340581.9</v>
      </c>
      <c r="U31" s="76">
        <f>U30-(U19+U20)</f>
        <v>53485.399999999994</v>
      </c>
      <c r="V31" s="76">
        <f>V30-(V19+V20)</f>
        <v>1339435.7</v>
      </c>
    </row>
    <row r="32" spans="1:22" ht="15.75">
      <c r="A32" s="17"/>
      <c r="B32" s="1"/>
      <c r="C32" s="33"/>
      <c r="D32" s="33"/>
      <c r="E32" s="33"/>
      <c r="F32" s="33"/>
      <c r="G32" s="33"/>
      <c r="H32" s="71"/>
      <c r="I32" s="20"/>
      <c r="J32" s="23"/>
      <c r="K32" s="49"/>
      <c r="L32" s="20"/>
      <c r="M32" s="20"/>
      <c r="N32" s="20"/>
      <c r="O32" s="20"/>
      <c r="P32" s="20"/>
      <c r="Q32" s="20"/>
      <c r="R32" s="46"/>
      <c r="S32" s="20"/>
      <c r="T32" s="20"/>
      <c r="U32" s="20"/>
      <c r="V32" s="20"/>
    </row>
    <row r="33" spans="1:24" ht="15.75">
      <c r="A33" s="17"/>
      <c r="B33" s="1" t="s">
        <v>5</v>
      </c>
      <c r="C33" s="41">
        <v>111.1</v>
      </c>
      <c r="D33" s="41">
        <v>73.5</v>
      </c>
      <c r="E33" s="41">
        <v>60.9</v>
      </c>
      <c r="F33" s="41"/>
      <c r="G33" s="41"/>
      <c r="H33" s="88">
        <v>81.3</v>
      </c>
      <c r="I33" s="22">
        <f>(+H33)/'AAUP 09_10'!H33-1</f>
        <v>-0.004895960832313362</v>
      </c>
      <c r="J33" s="55"/>
      <c r="K33" s="57"/>
      <c r="L33" s="47">
        <f>263+82</f>
        <v>345</v>
      </c>
      <c r="M33" s="47">
        <f>235+146</f>
        <v>381</v>
      </c>
      <c r="N33" s="47">
        <f>170+187</f>
        <v>357</v>
      </c>
      <c r="O33" s="47"/>
      <c r="P33" s="47">
        <f>SUM(L33:O33)</f>
        <v>1083</v>
      </c>
      <c r="Q33" s="47"/>
      <c r="R33" s="56">
        <f aca="true" t="shared" si="4" ref="R33:U36">C33*L33</f>
        <v>38329.5</v>
      </c>
      <c r="S33" s="56">
        <f t="shared" si="4"/>
        <v>28003.5</v>
      </c>
      <c r="T33" s="56">
        <f t="shared" si="4"/>
        <v>21741.3</v>
      </c>
      <c r="U33" s="56">
        <f t="shared" si="4"/>
        <v>0</v>
      </c>
      <c r="V33" s="56">
        <f>H33*P33</f>
        <v>88047.9</v>
      </c>
      <c r="X33" s="16"/>
    </row>
    <row r="34" spans="1:24" ht="15.75">
      <c r="A34" s="17"/>
      <c r="B34" s="1" t="s">
        <v>7</v>
      </c>
      <c r="C34" s="33">
        <v>105.1</v>
      </c>
      <c r="D34" s="33">
        <v>75.3</v>
      </c>
      <c r="E34" s="33">
        <v>63</v>
      </c>
      <c r="F34" s="33"/>
      <c r="G34" s="33"/>
      <c r="H34" s="71">
        <v>79.4</v>
      </c>
      <c r="I34" s="22">
        <f>(+H34)/'AAUP 09_10'!H34-1</f>
        <v>0.020565552699228995</v>
      </c>
      <c r="J34" s="23"/>
      <c r="K34" s="49"/>
      <c r="L34" s="20">
        <f>112+46</f>
        <v>158</v>
      </c>
      <c r="M34" s="20">
        <f>118+87</f>
        <v>205</v>
      </c>
      <c r="N34" s="20">
        <f>103+94</f>
        <v>197</v>
      </c>
      <c r="O34" s="20"/>
      <c r="P34" s="20">
        <f>SUM(L34:O34)</f>
        <v>560</v>
      </c>
      <c r="Q34" s="20"/>
      <c r="R34" s="46">
        <f t="shared" si="4"/>
        <v>16605.8</v>
      </c>
      <c r="S34" s="46">
        <f t="shared" si="4"/>
        <v>15436.5</v>
      </c>
      <c r="T34" s="46">
        <f t="shared" si="4"/>
        <v>12411</v>
      </c>
      <c r="U34" s="46">
        <f t="shared" si="4"/>
        <v>0</v>
      </c>
      <c r="V34" s="46">
        <f>H34*P34</f>
        <v>44464</v>
      </c>
      <c r="X34" s="16"/>
    </row>
    <row r="35" spans="1:24" ht="15.75">
      <c r="A35" s="17"/>
      <c r="B35" s="1" t="s">
        <v>20</v>
      </c>
      <c r="C35" s="33">
        <v>110.3</v>
      </c>
      <c r="D35" s="33">
        <v>78.8</v>
      </c>
      <c r="E35" s="33">
        <v>69</v>
      </c>
      <c r="F35" s="33"/>
      <c r="G35" s="33"/>
      <c r="H35" s="71">
        <v>88.5</v>
      </c>
      <c r="I35" s="22">
        <f>(+H35)/'AAUP 09_10'!H35-1</f>
        <v>-0.019933554817275767</v>
      </c>
      <c r="J35" s="23"/>
      <c r="K35" s="49"/>
      <c r="L35" s="49">
        <f>101+14</f>
        <v>115</v>
      </c>
      <c r="M35" s="49">
        <f>82+13</f>
        <v>95</v>
      </c>
      <c r="N35" s="49">
        <f>52+29</f>
        <v>81</v>
      </c>
      <c r="O35" s="20"/>
      <c r="P35" s="20">
        <f>SUM(L35:O35)</f>
        <v>291</v>
      </c>
      <c r="Q35" s="20"/>
      <c r="R35" s="46">
        <f t="shared" si="4"/>
        <v>12684.5</v>
      </c>
      <c r="S35" s="46">
        <f t="shared" si="4"/>
        <v>7486</v>
      </c>
      <c r="T35" s="46">
        <f t="shared" si="4"/>
        <v>5589</v>
      </c>
      <c r="U35" s="46">
        <f t="shared" si="4"/>
        <v>0</v>
      </c>
      <c r="V35" s="46">
        <f>H35*P35</f>
        <v>25753.5</v>
      </c>
      <c r="X35" s="16"/>
    </row>
    <row r="36" spans="1:24" ht="15.75">
      <c r="A36" s="17"/>
      <c r="B36" s="5" t="s">
        <v>9</v>
      </c>
      <c r="C36" s="38">
        <v>93.6</v>
      </c>
      <c r="D36" s="38">
        <v>68.6</v>
      </c>
      <c r="E36" s="38">
        <v>58.8</v>
      </c>
      <c r="F36" s="38"/>
      <c r="G36" s="38"/>
      <c r="H36" s="89">
        <v>72.9</v>
      </c>
      <c r="I36" s="22">
        <f>(+H36)/'AAUP 09_10'!H36-1</f>
        <v>0.006906077348066253</v>
      </c>
      <c r="J36" s="23"/>
      <c r="K36" s="49"/>
      <c r="L36" s="26">
        <f>89+38</f>
        <v>127</v>
      </c>
      <c r="M36" s="26">
        <f>85+85</f>
        <v>170</v>
      </c>
      <c r="N36" s="26">
        <f>47+87</f>
        <v>134</v>
      </c>
      <c r="O36" s="26"/>
      <c r="P36" s="26">
        <f>SUM(L36:O36)</f>
        <v>431</v>
      </c>
      <c r="Q36" s="26"/>
      <c r="R36" s="51">
        <f t="shared" si="4"/>
        <v>11887.199999999999</v>
      </c>
      <c r="S36" s="51">
        <f t="shared" si="4"/>
        <v>11661.999999999998</v>
      </c>
      <c r="T36" s="51">
        <f t="shared" si="4"/>
        <v>7879.2</v>
      </c>
      <c r="U36" s="51">
        <f t="shared" si="4"/>
        <v>0</v>
      </c>
      <c r="V36" s="51">
        <f>H36*P36</f>
        <v>31419.9</v>
      </c>
      <c r="X36" s="16"/>
    </row>
    <row r="37" spans="1:24" ht="15.75">
      <c r="A37" s="17"/>
      <c r="B37" s="7" t="s">
        <v>16</v>
      </c>
      <c r="C37" s="33">
        <f>R37/L37</f>
        <v>106.72080536912752</v>
      </c>
      <c r="D37" s="33">
        <f>S37/M37</f>
        <v>73.54641598119859</v>
      </c>
      <c r="E37" s="33">
        <f>T37/N37</f>
        <v>61.92522756827048</v>
      </c>
      <c r="F37" s="33"/>
      <c r="G37" s="33"/>
      <c r="H37" s="71">
        <f>V37/P37</f>
        <v>80.20520084566596</v>
      </c>
      <c r="I37" s="22">
        <f>(+H37)/'AAUP 09_10'!H37-1</f>
        <v>0.0005604483655865522</v>
      </c>
      <c r="J37" s="23"/>
      <c r="K37" s="49"/>
      <c r="L37" s="20">
        <f>SUM(L33:L36)</f>
        <v>745</v>
      </c>
      <c r="M37" s="20">
        <f>SUM(M33:M36)</f>
        <v>851</v>
      </c>
      <c r="N37" s="20">
        <f>SUM(N33:N36)</f>
        <v>769</v>
      </c>
      <c r="O37" s="20">
        <f>SUM(O33:O36)</f>
        <v>0</v>
      </c>
      <c r="P37" s="20">
        <f>SUM(P33:P36)</f>
        <v>2365</v>
      </c>
      <c r="Q37" s="20"/>
      <c r="R37" s="46">
        <f>SUM(R33:R36)</f>
        <v>79507</v>
      </c>
      <c r="S37" s="46">
        <f>SUM(S33:S36)</f>
        <v>62588</v>
      </c>
      <c r="T37" s="46">
        <f>SUM(T33:T36)</f>
        <v>47620.5</v>
      </c>
      <c r="U37" s="46">
        <f>SUM(U33:U36)</f>
        <v>0</v>
      </c>
      <c r="V37" s="46">
        <f>SUM(V33:V36)</f>
        <v>189685.3</v>
      </c>
      <c r="X37" s="16"/>
    </row>
    <row r="38" spans="1:11" ht="15.75">
      <c r="A38" s="17"/>
      <c r="B38" s="7" t="s">
        <v>46</v>
      </c>
      <c r="C38" s="22">
        <f>C31/C37-1</f>
        <v>0.07415199272639339</v>
      </c>
      <c r="D38" s="22">
        <f>D31/D37-1</f>
        <v>0.08877887983767008</v>
      </c>
      <c r="E38" s="22">
        <f>E31/E37-1</f>
        <v>0.098440055217621</v>
      </c>
      <c r="F38" s="22"/>
      <c r="G38" s="33"/>
      <c r="H38" s="72">
        <f>H31/H37-1</f>
        <v>0.020103249072796592</v>
      </c>
      <c r="J38" s="18"/>
      <c r="K38" s="31"/>
    </row>
    <row r="39" spans="1:29" ht="16.5" thickBot="1">
      <c r="A39" s="17"/>
      <c r="B39" s="2"/>
      <c r="C39" s="32"/>
      <c r="D39" s="32"/>
      <c r="E39" s="32"/>
      <c r="F39" s="32"/>
      <c r="G39" s="32"/>
      <c r="H39" s="83"/>
      <c r="I39" s="19"/>
      <c r="J39" s="18"/>
      <c r="K39" s="31"/>
      <c r="L39" s="31"/>
      <c r="M39" s="31"/>
      <c r="N39" s="31"/>
      <c r="O39" s="31"/>
      <c r="P39" s="31"/>
      <c r="Q39" s="31"/>
      <c r="R39" s="5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6.5" thickTop="1">
      <c r="A40" s="17"/>
      <c r="B40" s="15" t="s">
        <v>17</v>
      </c>
      <c r="C40" s="33"/>
      <c r="D40" s="33"/>
      <c r="E40" s="33"/>
      <c r="F40" s="33"/>
      <c r="G40" s="33"/>
      <c r="H40" s="71"/>
      <c r="J40" s="18"/>
      <c r="K40" s="31"/>
      <c r="L40" s="31"/>
      <c r="M40" s="31"/>
      <c r="N40" s="31"/>
      <c r="O40" s="31"/>
      <c r="P40" s="31"/>
      <c r="Q40" s="31"/>
      <c r="R40" s="5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5.75">
      <c r="A41" s="17"/>
      <c r="B41" s="80"/>
      <c r="C41" s="33"/>
      <c r="D41" s="33"/>
      <c r="E41" s="33"/>
      <c r="F41" s="33"/>
      <c r="G41" s="33"/>
      <c r="H41" s="71"/>
      <c r="J41" s="18"/>
      <c r="K41" s="31"/>
      <c r="L41" s="31"/>
      <c r="M41" s="31"/>
      <c r="N41" s="31"/>
      <c r="O41" s="31"/>
      <c r="P41" s="31"/>
      <c r="Q41" s="31"/>
      <c r="R41" s="5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5.75">
      <c r="A42" s="17"/>
      <c r="B42" s="1"/>
      <c r="C42" s="33"/>
      <c r="D42" s="33"/>
      <c r="E42" s="33"/>
      <c r="F42" s="33"/>
      <c r="G42" s="33"/>
      <c r="H42" s="71"/>
      <c r="J42" s="18"/>
      <c r="K42" s="31"/>
      <c r="L42" s="31"/>
      <c r="M42" s="31"/>
      <c r="N42" s="31"/>
      <c r="O42" s="31"/>
      <c r="P42" s="31"/>
      <c r="Q42" s="31"/>
      <c r="R42" s="5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11" ht="15.75">
      <c r="A43" s="27"/>
      <c r="B43" s="28"/>
      <c r="C43" s="39"/>
      <c r="D43" s="39"/>
      <c r="E43" s="39"/>
      <c r="F43" s="39"/>
      <c r="G43" s="39"/>
      <c r="H43" s="89"/>
      <c r="I43" s="99" t="s">
        <v>50</v>
      </c>
      <c r="J43" s="30"/>
      <c r="K43" s="31"/>
    </row>
  </sheetData>
  <sheetProtection/>
  <mergeCells count="2">
    <mergeCell ref="B1:I1"/>
    <mergeCell ref="B2:I2"/>
  </mergeCells>
  <printOptions/>
  <pageMargins left="0.75" right="0.5" top="0.5" bottom="0.5" header="0.5" footer="0.5"/>
  <pageSetup horizontalDpi="300" verticalDpi="3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5.75"/>
  <cols>
    <col min="1" max="1" width="2.625" style="15" customWidth="1"/>
    <col min="2" max="2" width="42.75390625" style="15" customWidth="1"/>
    <col min="3" max="6" width="11.375" style="40" customWidth="1"/>
    <col min="7" max="7" width="2.625" style="40" customWidth="1"/>
    <col min="8" max="8" width="11.375" style="90" customWidth="1"/>
    <col min="9" max="9" width="9.125" style="15" customWidth="1"/>
    <col min="10" max="11" width="2.625" style="15" customWidth="1"/>
    <col min="12" max="16" width="9.125" style="15" bestFit="1" customWidth="1"/>
    <col min="17" max="17" width="2.625" style="15" customWidth="1"/>
    <col min="18" max="18" width="11.375" style="42" bestFit="1" customWidth="1"/>
    <col min="19" max="19" width="9.75390625" style="15" customWidth="1"/>
    <col min="20" max="20" width="9.75390625" style="15" bestFit="1" customWidth="1"/>
    <col min="21" max="21" width="9.125" style="15" bestFit="1" customWidth="1"/>
    <col min="22" max="22" width="11.375" style="15" bestFit="1" customWidth="1"/>
    <col min="23" max="16384" width="9.00390625" style="15" customWidth="1"/>
  </cols>
  <sheetData>
    <row r="1" spans="1:11" ht="15.75">
      <c r="A1" s="13"/>
      <c r="B1" s="113" t="s">
        <v>38</v>
      </c>
      <c r="C1" s="113"/>
      <c r="D1" s="113"/>
      <c r="E1" s="113"/>
      <c r="F1" s="113"/>
      <c r="G1" s="113"/>
      <c r="H1" s="113"/>
      <c r="I1" s="113"/>
      <c r="J1" s="14"/>
      <c r="K1" s="31"/>
    </row>
    <row r="2" spans="1:11" ht="15.75">
      <c r="A2" s="17"/>
      <c r="B2" s="114" t="s">
        <v>48</v>
      </c>
      <c r="C2" s="114"/>
      <c r="D2" s="114"/>
      <c r="E2" s="114"/>
      <c r="F2" s="114"/>
      <c r="G2" s="114"/>
      <c r="H2" s="114"/>
      <c r="I2" s="114"/>
      <c r="J2" s="18"/>
      <c r="K2" s="31"/>
    </row>
    <row r="3" spans="1:22" ht="16.5" thickBot="1">
      <c r="A3" s="17"/>
      <c r="B3" s="2"/>
      <c r="C3" s="32"/>
      <c r="D3" s="32"/>
      <c r="E3" s="32"/>
      <c r="F3" s="32"/>
      <c r="G3" s="32"/>
      <c r="H3" s="83"/>
      <c r="I3" s="19"/>
      <c r="J3" s="18"/>
      <c r="K3" s="31"/>
      <c r="L3" s="19"/>
      <c r="M3" s="19"/>
      <c r="N3" s="19"/>
      <c r="O3" s="19"/>
      <c r="P3" s="19"/>
      <c r="Q3" s="19"/>
      <c r="R3" s="43"/>
      <c r="S3" s="19"/>
      <c r="T3" s="19"/>
      <c r="U3" s="19"/>
      <c r="V3" s="19"/>
    </row>
    <row r="4" spans="1:11" ht="16.5" thickTop="1">
      <c r="A4" s="17"/>
      <c r="B4" s="1"/>
      <c r="C4" s="33"/>
      <c r="D4" s="33"/>
      <c r="E4" s="33"/>
      <c r="F4" s="33"/>
      <c r="G4" s="33"/>
      <c r="H4" s="71"/>
      <c r="J4" s="18"/>
      <c r="K4" s="31"/>
    </row>
    <row r="5" spans="1:22" ht="15.75">
      <c r="A5" s="11"/>
      <c r="B5" s="1"/>
      <c r="C5" s="34"/>
      <c r="D5" s="34"/>
      <c r="E5" s="34"/>
      <c r="F5" s="34"/>
      <c r="G5" s="34"/>
      <c r="H5" s="84" t="s">
        <v>10</v>
      </c>
      <c r="I5" s="3"/>
      <c r="J5" s="10"/>
      <c r="K5" s="48"/>
      <c r="L5" s="1"/>
      <c r="M5" s="1"/>
      <c r="N5" s="1"/>
      <c r="O5" s="1"/>
      <c r="P5" s="1"/>
      <c r="Q5" s="1"/>
      <c r="R5" s="44"/>
      <c r="S5" s="1"/>
      <c r="T5" s="1"/>
      <c r="U5" s="1"/>
      <c r="V5" s="1"/>
    </row>
    <row r="6" spans="1:22" ht="15.75">
      <c r="A6" s="11"/>
      <c r="B6" s="1"/>
      <c r="C6" s="35" t="s">
        <v>11</v>
      </c>
      <c r="D6" s="35"/>
      <c r="E6" s="35"/>
      <c r="F6" s="35"/>
      <c r="G6" s="35"/>
      <c r="H6" s="85"/>
      <c r="I6" s="7" t="s">
        <v>0</v>
      </c>
      <c r="J6" s="10"/>
      <c r="K6" s="48"/>
      <c r="L6" s="3" t="s">
        <v>12</v>
      </c>
      <c r="M6" s="3"/>
      <c r="N6" s="3"/>
      <c r="O6" s="3"/>
      <c r="P6" s="3"/>
      <c r="Q6" s="4"/>
      <c r="R6" s="45"/>
      <c r="S6" s="4"/>
      <c r="T6" s="4"/>
      <c r="U6" s="4"/>
      <c r="V6" s="4"/>
    </row>
    <row r="7" spans="1:22" ht="15.75">
      <c r="A7" s="11"/>
      <c r="B7" s="5"/>
      <c r="C7" s="36" t="s">
        <v>1</v>
      </c>
      <c r="D7" s="36" t="s">
        <v>2</v>
      </c>
      <c r="E7" s="36" t="s">
        <v>3</v>
      </c>
      <c r="F7" s="36" t="s">
        <v>4</v>
      </c>
      <c r="G7" s="37"/>
      <c r="H7" s="86" t="s">
        <v>13</v>
      </c>
      <c r="I7" s="8" t="s">
        <v>14</v>
      </c>
      <c r="J7" s="10"/>
      <c r="K7" s="48"/>
      <c r="L7" s="8" t="s">
        <v>1</v>
      </c>
      <c r="M7" s="8" t="s">
        <v>2</v>
      </c>
      <c r="N7" s="8" t="s">
        <v>3</v>
      </c>
      <c r="O7" s="8" t="s">
        <v>4</v>
      </c>
      <c r="P7" s="9" t="s">
        <v>15</v>
      </c>
      <c r="Q7" s="48"/>
      <c r="R7" s="8" t="s">
        <v>1</v>
      </c>
      <c r="S7" s="8" t="s">
        <v>2</v>
      </c>
      <c r="T7" s="8" t="s">
        <v>3</v>
      </c>
      <c r="U7" s="8" t="s">
        <v>4</v>
      </c>
      <c r="V7" s="9" t="s">
        <v>15</v>
      </c>
    </row>
    <row r="8" spans="1:22" ht="15.75">
      <c r="A8" s="17"/>
      <c r="B8" s="1" t="s">
        <v>23</v>
      </c>
      <c r="C8" s="33">
        <v>111.2</v>
      </c>
      <c r="D8" s="33">
        <v>76.5</v>
      </c>
      <c r="E8" s="33">
        <v>63.9</v>
      </c>
      <c r="F8" s="33">
        <v>52</v>
      </c>
      <c r="G8" s="33"/>
      <c r="H8" s="71">
        <v>78.5</v>
      </c>
      <c r="I8" s="22">
        <f>(+H8)/'AAUP 08_09'!H8-1</f>
        <v>0</v>
      </c>
      <c r="J8" s="23"/>
      <c r="K8" s="49"/>
      <c r="L8" s="20">
        <f>69+23</f>
        <v>92</v>
      </c>
      <c r="M8" s="20">
        <f>37+27</f>
        <v>64</v>
      </c>
      <c r="N8" s="20">
        <f>45+63</f>
        <v>108</v>
      </c>
      <c r="O8" s="20">
        <f>2+16</f>
        <v>18</v>
      </c>
      <c r="P8" s="20">
        <f aca="true" t="shared" si="0" ref="P8:P28">SUM(L8:O8)</f>
        <v>282</v>
      </c>
      <c r="Q8" s="20"/>
      <c r="R8" s="46">
        <f aca="true" t="shared" si="1" ref="R8:R28">C8*L8</f>
        <v>10230.4</v>
      </c>
      <c r="S8" s="46">
        <f aca="true" t="shared" si="2" ref="S8:S28">D8*M8</f>
        <v>4896</v>
      </c>
      <c r="T8" s="46">
        <f aca="true" t="shared" si="3" ref="T8:T28">E8*N8</f>
        <v>6901.2</v>
      </c>
      <c r="U8" s="46">
        <f aca="true" t="shared" si="4" ref="U8:U28">F8*O8</f>
        <v>936</v>
      </c>
      <c r="V8" s="46">
        <f aca="true" t="shared" si="5" ref="V8:V28">H8*P8</f>
        <v>22137</v>
      </c>
    </row>
    <row r="9" spans="1:22" ht="15.75">
      <c r="A9" s="17"/>
      <c r="B9" s="1" t="s">
        <v>25</v>
      </c>
      <c r="C9" s="33">
        <v>102.3</v>
      </c>
      <c r="D9" s="33">
        <v>74.1</v>
      </c>
      <c r="E9" s="33">
        <v>60.5</v>
      </c>
      <c r="F9" s="33">
        <v>47.1</v>
      </c>
      <c r="G9" s="33"/>
      <c r="H9" s="71">
        <v>80.5</v>
      </c>
      <c r="I9" s="22">
        <f>(+H9)/'AAUP 08_09'!H9-1</f>
        <v>0.02809706257982114</v>
      </c>
      <c r="J9" s="23"/>
      <c r="K9" s="49"/>
      <c r="L9" s="20">
        <f>341+126</f>
        <v>467</v>
      </c>
      <c r="M9" s="20">
        <f>222+184</f>
        <v>406</v>
      </c>
      <c r="N9" s="20">
        <f>131+176</f>
        <v>307</v>
      </c>
      <c r="O9" s="20">
        <f>11+34</f>
        <v>45</v>
      </c>
      <c r="P9" s="20">
        <f t="shared" si="0"/>
        <v>1225</v>
      </c>
      <c r="Q9" s="20"/>
      <c r="R9" s="46">
        <f t="shared" si="1"/>
        <v>47774.1</v>
      </c>
      <c r="S9" s="46">
        <f t="shared" si="2"/>
        <v>30084.6</v>
      </c>
      <c r="T9" s="46">
        <f t="shared" si="3"/>
        <v>18573.5</v>
      </c>
      <c r="U9" s="46">
        <f t="shared" si="4"/>
        <v>2119.5</v>
      </c>
      <c r="V9" s="46">
        <f t="shared" si="5"/>
        <v>98612.5</v>
      </c>
    </row>
    <row r="10" spans="1:22" ht="15.75">
      <c r="A10" s="17"/>
      <c r="B10" s="1" t="s">
        <v>26</v>
      </c>
      <c r="C10" s="33">
        <v>98.9</v>
      </c>
      <c r="D10" s="33">
        <v>71.2</v>
      </c>
      <c r="E10" s="33">
        <v>60.4</v>
      </c>
      <c r="F10" s="33">
        <v>49.8</v>
      </c>
      <c r="G10" s="33"/>
      <c r="H10" s="71">
        <v>73.8</v>
      </c>
      <c r="I10" s="22">
        <f>(+H10)/'AAUP 08_09'!H10-1</f>
        <v>-0.004048582995951344</v>
      </c>
      <c r="J10" s="23"/>
      <c r="K10" s="49"/>
      <c r="L10" s="20">
        <f>111+35</f>
        <v>146</v>
      </c>
      <c r="M10" s="20">
        <f>122+72</f>
        <v>194</v>
      </c>
      <c r="N10" s="20">
        <f>68+69</f>
        <v>137</v>
      </c>
      <c r="O10" s="20">
        <f>4+10</f>
        <v>14</v>
      </c>
      <c r="P10" s="20">
        <f t="shared" si="0"/>
        <v>491</v>
      </c>
      <c r="Q10" s="20"/>
      <c r="R10" s="46">
        <f t="shared" si="1"/>
        <v>14439.400000000001</v>
      </c>
      <c r="S10" s="46">
        <f t="shared" si="2"/>
        <v>13812.800000000001</v>
      </c>
      <c r="T10" s="46">
        <f t="shared" si="3"/>
        <v>8274.8</v>
      </c>
      <c r="U10" s="46">
        <f t="shared" si="4"/>
        <v>697.1999999999999</v>
      </c>
      <c r="V10" s="46">
        <f t="shared" si="5"/>
        <v>36235.799999999996</v>
      </c>
    </row>
    <row r="11" spans="1:22" ht="15.75">
      <c r="A11" s="17"/>
      <c r="B11" s="1" t="s">
        <v>44</v>
      </c>
      <c r="C11" s="33">
        <v>114</v>
      </c>
      <c r="D11" s="33">
        <v>90.8</v>
      </c>
      <c r="E11" s="33">
        <v>75.9</v>
      </c>
      <c r="F11" s="33">
        <v>60.1</v>
      </c>
      <c r="G11" s="33"/>
      <c r="H11" s="71">
        <v>93.8</v>
      </c>
      <c r="I11" s="22">
        <f>(+H11)/'AAUP 08_09'!H11-1</f>
        <v>0.015151515151515138</v>
      </c>
      <c r="J11" s="23"/>
      <c r="K11" s="49"/>
      <c r="L11" s="20">
        <f>159+66</f>
        <v>225</v>
      </c>
      <c r="M11" s="20">
        <f>91+67</f>
        <v>158</v>
      </c>
      <c r="N11" s="20">
        <f>68+59</f>
        <v>127</v>
      </c>
      <c r="O11" s="20">
        <f>0+5</f>
        <v>5</v>
      </c>
      <c r="P11" s="20">
        <f t="shared" si="0"/>
        <v>515</v>
      </c>
      <c r="Q11" s="20"/>
      <c r="R11" s="46">
        <f t="shared" si="1"/>
        <v>25650</v>
      </c>
      <c r="S11" s="46">
        <f t="shared" si="2"/>
        <v>14346.4</v>
      </c>
      <c r="T11" s="46">
        <f t="shared" si="3"/>
        <v>9639.300000000001</v>
      </c>
      <c r="U11" s="46">
        <f t="shared" si="4"/>
        <v>300.5</v>
      </c>
      <c r="V11" s="46">
        <f t="shared" si="5"/>
        <v>48307</v>
      </c>
    </row>
    <row r="12" spans="1:22" ht="15.75">
      <c r="A12" s="17"/>
      <c r="B12" s="1" t="s">
        <v>40</v>
      </c>
      <c r="C12" s="33">
        <v>111</v>
      </c>
      <c r="D12" s="33">
        <v>78.3</v>
      </c>
      <c r="E12" s="33">
        <v>72.7</v>
      </c>
      <c r="F12" s="33">
        <v>54.5</v>
      </c>
      <c r="G12" s="33"/>
      <c r="H12" s="71">
        <v>81</v>
      </c>
      <c r="I12" s="22">
        <f>(+H12)/'AAUP 08_09'!H12-1</f>
        <v>0.017587939698492594</v>
      </c>
      <c r="J12" s="23"/>
      <c r="K12" s="49"/>
      <c r="L12" s="20">
        <f>166+41</f>
        <v>207</v>
      </c>
      <c r="M12" s="20">
        <f>167+96</f>
        <v>263</v>
      </c>
      <c r="N12" s="20">
        <f>118+104</f>
        <v>222</v>
      </c>
      <c r="O12" s="20">
        <f>52+48</f>
        <v>100</v>
      </c>
      <c r="P12" s="20">
        <f t="shared" si="0"/>
        <v>792</v>
      </c>
      <c r="Q12" s="20"/>
      <c r="R12" s="46">
        <f t="shared" si="1"/>
        <v>22977</v>
      </c>
      <c r="S12" s="46">
        <f t="shared" si="2"/>
        <v>20592.899999999998</v>
      </c>
      <c r="T12" s="46">
        <f t="shared" si="3"/>
        <v>16139.400000000001</v>
      </c>
      <c r="U12" s="46">
        <f t="shared" si="4"/>
        <v>5450</v>
      </c>
      <c r="V12" s="46">
        <f t="shared" si="5"/>
        <v>64152</v>
      </c>
    </row>
    <row r="13" spans="1:22" s="16" customFormat="1" ht="15.75">
      <c r="A13" s="24"/>
      <c r="B13" s="1" t="s">
        <v>27</v>
      </c>
      <c r="C13" s="33">
        <v>123.4</v>
      </c>
      <c r="D13" s="33">
        <v>79</v>
      </c>
      <c r="E13" s="33">
        <v>67</v>
      </c>
      <c r="F13" s="33">
        <v>50.3</v>
      </c>
      <c r="G13" s="33"/>
      <c r="H13" s="71">
        <v>78.4</v>
      </c>
      <c r="I13" s="22">
        <f>(+H13)/'AAUP 08_09'!H13-1</f>
        <v>0.0370370370370372</v>
      </c>
      <c r="J13" s="25"/>
      <c r="K13" s="50"/>
      <c r="L13" s="20">
        <f>183+54</f>
        <v>237</v>
      </c>
      <c r="M13" s="20">
        <f>160+146</f>
        <v>306</v>
      </c>
      <c r="N13" s="20">
        <f>145+191</f>
        <v>336</v>
      </c>
      <c r="O13" s="21">
        <f>16+49</f>
        <v>65</v>
      </c>
      <c r="P13" s="20">
        <f t="shared" si="0"/>
        <v>944</v>
      </c>
      <c r="Q13" s="21"/>
      <c r="R13" s="46">
        <f t="shared" si="1"/>
        <v>29245.800000000003</v>
      </c>
      <c r="S13" s="46">
        <f t="shared" si="2"/>
        <v>24174</v>
      </c>
      <c r="T13" s="46">
        <f t="shared" si="3"/>
        <v>22512</v>
      </c>
      <c r="U13" s="46">
        <f t="shared" si="4"/>
        <v>3269.5</v>
      </c>
      <c r="V13" s="46">
        <f t="shared" si="5"/>
        <v>74009.6</v>
      </c>
    </row>
    <row r="14" spans="1:22" ht="15.75">
      <c r="A14" s="17"/>
      <c r="B14" s="1" t="s">
        <v>28</v>
      </c>
      <c r="C14" s="33">
        <v>122.2</v>
      </c>
      <c r="D14" s="33">
        <v>79.3</v>
      </c>
      <c r="E14" s="33">
        <v>77.4</v>
      </c>
      <c r="F14" s="33"/>
      <c r="G14" s="33"/>
      <c r="H14" s="71">
        <v>85.9</v>
      </c>
      <c r="I14" s="22">
        <f>(+H14)/'AAUP 08_09'!H14-1</f>
        <v>0.0011655011655011815</v>
      </c>
      <c r="J14" s="23"/>
      <c r="K14" s="49"/>
      <c r="L14" s="20">
        <f>328+61</f>
        <v>389</v>
      </c>
      <c r="M14" s="20">
        <f>196+99</f>
        <v>295</v>
      </c>
      <c r="N14" s="20">
        <f>117+88</f>
        <v>205</v>
      </c>
      <c r="O14" s="20"/>
      <c r="P14" s="20">
        <f t="shared" si="0"/>
        <v>889</v>
      </c>
      <c r="Q14" s="20"/>
      <c r="R14" s="46">
        <f t="shared" si="1"/>
        <v>47535.8</v>
      </c>
      <c r="S14" s="46">
        <f t="shared" si="2"/>
        <v>23393.5</v>
      </c>
      <c r="T14" s="46">
        <f t="shared" si="3"/>
        <v>15867.000000000002</v>
      </c>
      <c r="U14" s="46">
        <f t="shared" si="4"/>
        <v>0</v>
      </c>
      <c r="V14" s="46">
        <f t="shared" si="5"/>
        <v>76365.1</v>
      </c>
    </row>
    <row r="15" spans="1:22" ht="15.75">
      <c r="A15" s="17"/>
      <c r="B15" s="1" t="s">
        <v>29</v>
      </c>
      <c r="C15" s="46">
        <v>121.4</v>
      </c>
      <c r="D15" s="46">
        <v>84.9</v>
      </c>
      <c r="E15" s="46">
        <v>73.6</v>
      </c>
      <c r="F15" s="33">
        <v>60.2</v>
      </c>
      <c r="G15" s="33"/>
      <c r="H15" s="71">
        <v>90.1</v>
      </c>
      <c r="I15" s="22">
        <f>(+H15)/'AAUP 08_09'!H15-1</f>
        <v>0.011223344556677839</v>
      </c>
      <c r="J15" s="23"/>
      <c r="K15" s="49"/>
      <c r="L15" s="20">
        <f>255+91</f>
        <v>346</v>
      </c>
      <c r="M15" s="20">
        <f>197+138</f>
        <v>335</v>
      </c>
      <c r="N15" s="20">
        <f>122+147</f>
        <v>269</v>
      </c>
      <c r="O15" s="20">
        <f>3+16</f>
        <v>19</v>
      </c>
      <c r="P15" s="20">
        <f t="shared" si="0"/>
        <v>969</v>
      </c>
      <c r="Q15" s="20"/>
      <c r="R15" s="46">
        <f t="shared" si="1"/>
        <v>42004.4</v>
      </c>
      <c r="S15" s="46">
        <f t="shared" si="2"/>
        <v>28441.500000000004</v>
      </c>
      <c r="T15" s="46">
        <f t="shared" si="3"/>
        <v>19798.399999999998</v>
      </c>
      <c r="U15" s="46">
        <f t="shared" si="4"/>
        <v>1143.8</v>
      </c>
      <c r="V15" s="46">
        <f t="shared" si="5"/>
        <v>87306.9</v>
      </c>
    </row>
    <row r="16" spans="1:22" ht="15.75">
      <c r="A16" s="17"/>
      <c r="B16" s="1" t="s">
        <v>30</v>
      </c>
      <c r="C16" s="33">
        <v>99.3</v>
      </c>
      <c r="D16" s="33">
        <v>75.4</v>
      </c>
      <c r="E16" s="33">
        <v>61.4</v>
      </c>
      <c r="F16" s="33"/>
      <c r="G16" s="33"/>
      <c r="H16" s="71">
        <v>70.8</v>
      </c>
      <c r="I16" s="22">
        <f>(+H16)/'AAUP 08_09'!H16-1</f>
        <v>0</v>
      </c>
      <c r="J16" s="23"/>
      <c r="K16" s="49"/>
      <c r="L16" s="20">
        <f>154+67</f>
        <v>221</v>
      </c>
      <c r="M16" s="20">
        <f>150+133</f>
        <v>283</v>
      </c>
      <c r="N16" s="20">
        <f>130+139</f>
        <v>269</v>
      </c>
      <c r="O16" s="20">
        <f>1+0</f>
        <v>1</v>
      </c>
      <c r="P16" s="20">
        <f t="shared" si="0"/>
        <v>774</v>
      </c>
      <c r="Q16" s="20"/>
      <c r="R16" s="46">
        <f t="shared" si="1"/>
        <v>21945.3</v>
      </c>
      <c r="S16" s="46">
        <f t="shared" si="2"/>
        <v>21338.2</v>
      </c>
      <c r="T16" s="46">
        <f t="shared" si="3"/>
        <v>16516.6</v>
      </c>
      <c r="U16" s="46">
        <f t="shared" si="4"/>
        <v>0</v>
      </c>
      <c r="V16" s="46">
        <f t="shared" si="5"/>
        <v>54799.2</v>
      </c>
    </row>
    <row r="17" spans="1:22" ht="15.75">
      <c r="A17" s="17"/>
      <c r="B17" s="1" t="s">
        <v>31</v>
      </c>
      <c r="C17" s="33">
        <v>113.3</v>
      </c>
      <c r="D17" s="33">
        <v>85.7</v>
      </c>
      <c r="E17" s="33">
        <v>72.6</v>
      </c>
      <c r="F17" s="33"/>
      <c r="G17" s="33"/>
      <c r="H17" s="71">
        <v>83</v>
      </c>
      <c r="I17" s="22">
        <f>(+H17)/'AAUP 08_09'!H17-1</f>
        <v>-0.021226415094339535</v>
      </c>
      <c r="J17" s="23"/>
      <c r="K17" s="49"/>
      <c r="L17" s="20">
        <f>80+44</f>
        <v>124</v>
      </c>
      <c r="M17" s="20">
        <f>73+63</f>
        <v>136</v>
      </c>
      <c r="N17" s="20">
        <f>63+75</f>
        <v>138</v>
      </c>
      <c r="O17" s="20">
        <f>1+1</f>
        <v>2</v>
      </c>
      <c r="P17" s="20">
        <f t="shared" si="0"/>
        <v>400</v>
      </c>
      <c r="Q17" s="20"/>
      <c r="R17" s="46">
        <f t="shared" si="1"/>
        <v>14049.199999999999</v>
      </c>
      <c r="S17" s="46">
        <f t="shared" si="2"/>
        <v>11655.2</v>
      </c>
      <c r="T17" s="46">
        <f t="shared" si="3"/>
        <v>10018.8</v>
      </c>
      <c r="U17" s="46">
        <f t="shared" si="4"/>
        <v>0</v>
      </c>
      <c r="V17" s="46">
        <f t="shared" si="5"/>
        <v>33200</v>
      </c>
    </row>
    <row r="18" spans="1:22" ht="15.75">
      <c r="A18" s="17"/>
      <c r="B18" s="1" t="s">
        <v>32</v>
      </c>
      <c r="C18" s="33">
        <v>99.6</v>
      </c>
      <c r="D18" s="33">
        <v>69.8</v>
      </c>
      <c r="E18" s="33">
        <v>59.3</v>
      </c>
      <c r="F18" s="33">
        <v>40.9</v>
      </c>
      <c r="G18" s="33"/>
      <c r="H18" s="71">
        <v>70.9</v>
      </c>
      <c r="I18" s="22">
        <f>(+H18)/'AAUP 08_09'!H18-1</f>
        <v>0.0028288543140029265</v>
      </c>
      <c r="J18" s="23"/>
      <c r="K18" s="49"/>
      <c r="L18" s="20">
        <f>195+47</f>
        <v>242</v>
      </c>
      <c r="M18" s="20">
        <f>149+103</f>
        <v>252</v>
      </c>
      <c r="N18" s="20">
        <f>107+128</f>
        <v>235</v>
      </c>
      <c r="O18" s="20">
        <f>42+67</f>
        <v>109</v>
      </c>
      <c r="P18" s="20">
        <f t="shared" si="0"/>
        <v>838</v>
      </c>
      <c r="Q18" s="20"/>
      <c r="R18" s="46">
        <f t="shared" si="1"/>
        <v>24103.199999999997</v>
      </c>
      <c r="S18" s="46">
        <f t="shared" si="2"/>
        <v>17589.6</v>
      </c>
      <c r="T18" s="46">
        <f t="shared" si="3"/>
        <v>13935.5</v>
      </c>
      <c r="U18" s="46">
        <f t="shared" si="4"/>
        <v>4458.099999999999</v>
      </c>
      <c r="V18" s="46">
        <f t="shared" si="5"/>
        <v>59414.200000000004</v>
      </c>
    </row>
    <row r="19" spans="1:22" s="62" customFormat="1" ht="15.75">
      <c r="A19" s="12"/>
      <c r="B19" s="6" t="s">
        <v>7</v>
      </c>
      <c r="C19" s="54">
        <v>104</v>
      </c>
      <c r="D19" s="54">
        <v>75.3</v>
      </c>
      <c r="E19" s="54">
        <v>60.9</v>
      </c>
      <c r="F19" s="54"/>
      <c r="G19" s="54"/>
      <c r="H19" s="87">
        <v>77.8</v>
      </c>
      <c r="I19" s="53">
        <f>(+H19)/'AAUP 08_09'!H19-1</f>
        <v>-0.008917197452229297</v>
      </c>
      <c r="J19" s="59"/>
      <c r="K19" s="60"/>
      <c r="L19" s="81">
        <f>102+42</f>
        <v>144</v>
      </c>
      <c r="M19" s="81">
        <f>114+84</f>
        <v>198</v>
      </c>
      <c r="N19" s="81">
        <f>98+97</f>
        <v>195</v>
      </c>
      <c r="O19" s="81"/>
      <c r="P19" s="81">
        <f t="shared" si="0"/>
        <v>537</v>
      </c>
      <c r="Q19" s="81"/>
      <c r="R19" s="61">
        <f t="shared" si="1"/>
        <v>14976</v>
      </c>
      <c r="S19" s="61">
        <f t="shared" si="2"/>
        <v>14909.4</v>
      </c>
      <c r="T19" s="61">
        <f t="shared" si="3"/>
        <v>11875.5</v>
      </c>
      <c r="U19" s="61">
        <f t="shared" si="4"/>
        <v>0</v>
      </c>
      <c r="V19" s="61">
        <f t="shared" si="5"/>
        <v>41778.6</v>
      </c>
    </row>
    <row r="20" spans="1:22" s="62" customFormat="1" ht="15.75">
      <c r="A20" s="12"/>
      <c r="B20" s="6" t="s">
        <v>9</v>
      </c>
      <c r="C20" s="54">
        <v>93.6</v>
      </c>
      <c r="D20" s="54">
        <v>68</v>
      </c>
      <c r="E20" s="54">
        <v>59</v>
      </c>
      <c r="F20" s="54"/>
      <c r="G20" s="54"/>
      <c r="H20" s="87">
        <v>72.4</v>
      </c>
      <c r="I20" s="53">
        <f>(+H20)/'AAUP 08_09'!H20-1</f>
        <v>-0.014965986394557707</v>
      </c>
      <c r="J20" s="59"/>
      <c r="K20" s="60"/>
      <c r="L20" s="98">
        <f>89+36</f>
        <v>125</v>
      </c>
      <c r="M20" s="98">
        <f>85+76</f>
        <v>161</v>
      </c>
      <c r="N20" s="98">
        <f>54+89</f>
        <v>143</v>
      </c>
      <c r="O20" s="81"/>
      <c r="P20" s="81">
        <f>SUM(L20:O20)</f>
        <v>429</v>
      </c>
      <c r="Q20" s="81"/>
      <c r="R20" s="61">
        <f>C20*L20</f>
        <v>11700</v>
      </c>
      <c r="S20" s="61">
        <f>D20*M20</f>
        <v>10948</v>
      </c>
      <c r="T20" s="61">
        <f>E20*N20</f>
        <v>8437</v>
      </c>
      <c r="U20" s="61">
        <f>F20*O20</f>
        <v>0</v>
      </c>
      <c r="V20" s="61">
        <f>H20*P20</f>
        <v>31059.600000000002</v>
      </c>
    </row>
    <row r="21" spans="1:22" ht="15.75">
      <c r="A21" s="17"/>
      <c r="B21" s="1" t="s">
        <v>33</v>
      </c>
      <c r="C21" s="33">
        <v>88</v>
      </c>
      <c r="D21" s="33">
        <v>66.5</v>
      </c>
      <c r="E21" s="33">
        <v>60.8</v>
      </c>
      <c r="F21" s="33">
        <v>43</v>
      </c>
      <c r="G21" s="33"/>
      <c r="H21" s="71">
        <v>66.3</v>
      </c>
      <c r="I21" s="22">
        <f>(+H21)/'AAUP 08_09'!H21-1</f>
        <v>0.010670731707317138</v>
      </c>
      <c r="J21" s="23"/>
      <c r="K21" s="49"/>
      <c r="L21" s="20">
        <f>103+34</f>
        <v>137</v>
      </c>
      <c r="M21" s="20">
        <f>63+32</f>
        <v>95</v>
      </c>
      <c r="N21" s="20">
        <f>53+34</f>
        <v>87</v>
      </c>
      <c r="O21" s="20">
        <f>35+72</f>
        <v>107</v>
      </c>
      <c r="P21" s="20">
        <f t="shared" si="0"/>
        <v>426</v>
      </c>
      <c r="Q21" s="20"/>
      <c r="R21" s="46">
        <f t="shared" si="1"/>
        <v>12056</v>
      </c>
      <c r="S21" s="46">
        <f t="shared" si="2"/>
        <v>6317.5</v>
      </c>
      <c r="T21" s="46">
        <f t="shared" si="3"/>
        <v>5289.599999999999</v>
      </c>
      <c r="U21" s="46">
        <f t="shared" si="4"/>
        <v>4601</v>
      </c>
      <c r="V21" s="46">
        <f t="shared" si="5"/>
        <v>28243.8</v>
      </c>
    </row>
    <row r="22" spans="1:22" ht="15.75">
      <c r="A22" s="17"/>
      <c r="B22" s="1" t="s">
        <v>6</v>
      </c>
      <c r="C22" s="33">
        <v>128.3</v>
      </c>
      <c r="D22" s="33">
        <v>84.6</v>
      </c>
      <c r="E22" s="33">
        <v>70.1</v>
      </c>
      <c r="F22" s="33">
        <v>43.2</v>
      </c>
      <c r="G22" s="33"/>
      <c r="H22" s="71">
        <v>87.6</v>
      </c>
      <c r="I22" s="22">
        <f>(+H22)/'AAUP 08_09'!H22-1</f>
        <v>0.0034364261168384758</v>
      </c>
      <c r="J22" s="23"/>
      <c r="K22" s="49"/>
      <c r="L22" s="20">
        <f>379+117</f>
        <v>496</v>
      </c>
      <c r="M22" s="20">
        <f>290+144</f>
        <v>434</v>
      </c>
      <c r="N22" s="20">
        <f>226+256</f>
        <v>482</v>
      </c>
      <c r="O22" s="20">
        <f>23+66</f>
        <v>89</v>
      </c>
      <c r="P22" s="20">
        <f t="shared" si="0"/>
        <v>1501</v>
      </c>
      <c r="Q22" s="20"/>
      <c r="R22" s="46">
        <f t="shared" si="1"/>
        <v>63636.8</v>
      </c>
      <c r="S22" s="46">
        <f t="shared" si="2"/>
        <v>36716.399999999994</v>
      </c>
      <c r="T22" s="46">
        <f t="shared" si="3"/>
        <v>33788.2</v>
      </c>
      <c r="U22" s="46">
        <f t="shared" si="4"/>
        <v>3844.8</v>
      </c>
      <c r="V22" s="46">
        <f t="shared" si="5"/>
        <v>131487.6</v>
      </c>
    </row>
    <row r="23" spans="1:22" s="77" customFormat="1" ht="15.75">
      <c r="A23" s="82"/>
      <c r="B23" s="1" t="s">
        <v>34</v>
      </c>
      <c r="C23" s="71">
        <v>93.6</v>
      </c>
      <c r="D23" s="71">
        <v>73.4</v>
      </c>
      <c r="E23" s="71">
        <v>59.3</v>
      </c>
      <c r="F23" s="71">
        <v>42</v>
      </c>
      <c r="G23" s="71"/>
      <c r="H23" s="71">
        <v>70.4</v>
      </c>
      <c r="I23" s="22">
        <f>(+H23)/'AAUP 08_09'!H23-1</f>
        <v>0.057057057057057214</v>
      </c>
      <c r="J23" s="73"/>
      <c r="K23" s="74"/>
      <c r="L23" s="75">
        <f>148+64</f>
        <v>212</v>
      </c>
      <c r="M23" s="75">
        <f>98+64</f>
        <v>162</v>
      </c>
      <c r="N23" s="75">
        <f>83+98</f>
        <v>181</v>
      </c>
      <c r="O23" s="75">
        <f>34+78</f>
        <v>112</v>
      </c>
      <c r="P23" s="75">
        <f t="shared" si="0"/>
        <v>667</v>
      </c>
      <c r="Q23" s="75"/>
      <c r="R23" s="76">
        <f t="shared" si="1"/>
        <v>19843.199999999997</v>
      </c>
      <c r="S23" s="76">
        <f t="shared" si="2"/>
        <v>11890.800000000001</v>
      </c>
      <c r="T23" s="76">
        <f t="shared" si="3"/>
        <v>10733.3</v>
      </c>
      <c r="U23" s="76">
        <f t="shared" si="4"/>
        <v>4704</v>
      </c>
      <c r="V23" s="76">
        <f t="shared" si="5"/>
        <v>46956.8</v>
      </c>
    </row>
    <row r="24" spans="1:22" s="77" customFormat="1" ht="15.75">
      <c r="A24" s="69"/>
      <c r="B24" s="1" t="s">
        <v>35</v>
      </c>
      <c r="C24" s="71">
        <v>127.9</v>
      </c>
      <c r="D24" s="71">
        <v>90.4</v>
      </c>
      <c r="E24" s="71">
        <v>64.8</v>
      </c>
      <c r="F24" s="71">
        <v>53.4</v>
      </c>
      <c r="G24" s="71"/>
      <c r="H24" s="71">
        <v>89.9</v>
      </c>
      <c r="I24" s="22">
        <f>(+H24)/'AAUP 08_09'!H24-1</f>
        <v>0.03571428571428581</v>
      </c>
      <c r="J24" s="73"/>
      <c r="K24" s="74"/>
      <c r="L24" s="75">
        <f>325+94</f>
        <v>419</v>
      </c>
      <c r="M24" s="75">
        <f>234+180</f>
        <v>414</v>
      </c>
      <c r="N24" s="75">
        <f>278+209</f>
        <v>487</v>
      </c>
      <c r="O24" s="75">
        <f>54+52</f>
        <v>106</v>
      </c>
      <c r="P24" s="75">
        <f t="shared" si="0"/>
        <v>1426</v>
      </c>
      <c r="Q24" s="75"/>
      <c r="R24" s="76">
        <f t="shared" si="1"/>
        <v>53590.100000000006</v>
      </c>
      <c r="S24" s="76">
        <f t="shared" si="2"/>
        <v>37425.600000000006</v>
      </c>
      <c r="T24" s="76">
        <f t="shared" si="3"/>
        <v>31557.6</v>
      </c>
      <c r="U24" s="76">
        <f t="shared" si="4"/>
        <v>5660.4</v>
      </c>
      <c r="V24" s="76">
        <f t="shared" si="5"/>
        <v>128197.40000000001</v>
      </c>
    </row>
    <row r="25" spans="1:22" s="77" customFormat="1" ht="15.75">
      <c r="A25" s="82"/>
      <c r="B25" s="1" t="s">
        <v>36</v>
      </c>
      <c r="C25" s="71">
        <v>102.7</v>
      </c>
      <c r="D25" s="71">
        <v>80.1</v>
      </c>
      <c r="E25" s="71">
        <v>67</v>
      </c>
      <c r="F25" s="71">
        <v>54.6</v>
      </c>
      <c r="G25" s="71"/>
      <c r="H25" s="71">
        <v>74.3</v>
      </c>
      <c r="I25" s="22">
        <f>(+H25)/'AAUP 08_09'!H25-1</f>
        <v>0.1040118870728084</v>
      </c>
      <c r="J25" s="73"/>
      <c r="K25" s="74"/>
      <c r="L25" s="75">
        <f>157+51</f>
        <v>208</v>
      </c>
      <c r="M25" s="75">
        <f>154+80</f>
        <v>234</v>
      </c>
      <c r="N25" s="75">
        <f>83+69</f>
        <v>152</v>
      </c>
      <c r="O25" s="75">
        <f>3+16</f>
        <v>19</v>
      </c>
      <c r="P25" s="75">
        <f t="shared" si="0"/>
        <v>613</v>
      </c>
      <c r="Q25" s="75"/>
      <c r="R25" s="76">
        <f t="shared" si="1"/>
        <v>21361.600000000002</v>
      </c>
      <c r="S25" s="76">
        <f t="shared" si="2"/>
        <v>18743.399999999998</v>
      </c>
      <c r="T25" s="76">
        <f t="shared" si="3"/>
        <v>10184</v>
      </c>
      <c r="U25" s="76">
        <f t="shared" si="4"/>
        <v>1037.4</v>
      </c>
      <c r="V25" s="76">
        <f t="shared" si="5"/>
        <v>45545.9</v>
      </c>
    </row>
    <row r="26" spans="1:22" s="77" customFormat="1" ht="15.75">
      <c r="A26" s="69"/>
      <c r="B26" s="70" t="s">
        <v>37</v>
      </c>
      <c r="C26" s="71">
        <v>114.2</v>
      </c>
      <c r="D26" s="71">
        <v>80.2</v>
      </c>
      <c r="E26" s="71">
        <v>65.9</v>
      </c>
      <c r="F26" s="71">
        <v>47</v>
      </c>
      <c r="G26" s="71"/>
      <c r="H26" s="71">
        <v>78.8</v>
      </c>
      <c r="I26" s="22">
        <f>(+H26)/'AAUP 08_09'!H26-1</f>
        <v>0.01025641025641022</v>
      </c>
      <c r="J26" s="73"/>
      <c r="K26" s="74"/>
      <c r="L26" s="75">
        <f>223+86</f>
        <v>309</v>
      </c>
      <c r="M26" s="75">
        <f>206+148</f>
        <v>354</v>
      </c>
      <c r="N26" s="75">
        <f>238+237</f>
        <v>475</v>
      </c>
      <c r="O26" s="75">
        <f>62+107</f>
        <v>169</v>
      </c>
      <c r="P26" s="75">
        <f t="shared" si="0"/>
        <v>1307</v>
      </c>
      <c r="Q26" s="75"/>
      <c r="R26" s="76">
        <f t="shared" si="1"/>
        <v>35287.8</v>
      </c>
      <c r="S26" s="76">
        <f t="shared" si="2"/>
        <v>28390.8</v>
      </c>
      <c r="T26" s="76">
        <f t="shared" si="3"/>
        <v>31302.500000000004</v>
      </c>
      <c r="U26" s="76">
        <f t="shared" si="4"/>
        <v>7943</v>
      </c>
      <c r="V26" s="76">
        <f t="shared" si="5"/>
        <v>102991.59999999999</v>
      </c>
    </row>
    <row r="27" spans="1:22" s="77" customFormat="1" ht="15.75">
      <c r="A27" s="69"/>
      <c r="B27" s="70" t="s">
        <v>39</v>
      </c>
      <c r="C27" s="71">
        <v>111.2</v>
      </c>
      <c r="D27" s="71">
        <v>85.2</v>
      </c>
      <c r="E27" s="71">
        <v>69.9</v>
      </c>
      <c r="F27" s="71">
        <v>64.2</v>
      </c>
      <c r="G27" s="71"/>
      <c r="H27" s="71">
        <v>83.4</v>
      </c>
      <c r="I27" s="22">
        <f>(+H27)/'AAUP 08_09'!H27-1</f>
        <v>0.009685230024213176</v>
      </c>
      <c r="J27" s="73"/>
      <c r="K27" s="74"/>
      <c r="L27" s="75">
        <f>241+60</f>
        <v>301</v>
      </c>
      <c r="M27" s="75">
        <f>170+112</f>
        <v>282</v>
      </c>
      <c r="N27" s="75">
        <f>140+160</f>
        <v>300</v>
      </c>
      <c r="O27" s="75">
        <f>5+28</f>
        <v>33</v>
      </c>
      <c r="P27" s="75">
        <f t="shared" si="0"/>
        <v>916</v>
      </c>
      <c r="Q27" s="75"/>
      <c r="R27" s="76">
        <f t="shared" si="1"/>
        <v>33471.200000000004</v>
      </c>
      <c r="S27" s="76">
        <f t="shared" si="2"/>
        <v>24026.4</v>
      </c>
      <c r="T27" s="76">
        <f t="shared" si="3"/>
        <v>20970</v>
      </c>
      <c r="U27" s="76">
        <f t="shared" si="4"/>
        <v>2118.6</v>
      </c>
      <c r="V27" s="76">
        <f t="shared" si="5"/>
        <v>76394.40000000001</v>
      </c>
    </row>
    <row r="28" spans="1:22" s="77" customFormat="1" ht="15.75">
      <c r="A28" s="69"/>
      <c r="B28" s="70" t="s">
        <v>24</v>
      </c>
      <c r="C28" s="71">
        <v>94.2</v>
      </c>
      <c r="D28" s="71">
        <v>71.2</v>
      </c>
      <c r="E28" s="71">
        <v>65.9</v>
      </c>
      <c r="F28" s="71">
        <v>53.4</v>
      </c>
      <c r="G28" s="71"/>
      <c r="H28" s="71">
        <v>69.6</v>
      </c>
      <c r="I28" s="22">
        <f>(+H28)/'AAUP 08_09'!H28-1</f>
        <v>0.01015965166908539</v>
      </c>
      <c r="J28" s="73"/>
      <c r="K28" s="74"/>
      <c r="L28" s="75">
        <f>156+70</f>
        <v>226</v>
      </c>
      <c r="M28" s="75">
        <f>178+130</f>
        <v>308</v>
      </c>
      <c r="N28" s="75">
        <f>136+146</f>
        <v>282</v>
      </c>
      <c r="O28" s="75">
        <f>3+9</f>
        <v>12</v>
      </c>
      <c r="P28" s="75">
        <f t="shared" si="0"/>
        <v>828</v>
      </c>
      <c r="Q28" s="75"/>
      <c r="R28" s="76">
        <f t="shared" si="1"/>
        <v>21289.2</v>
      </c>
      <c r="S28" s="76">
        <f t="shared" si="2"/>
        <v>21929.600000000002</v>
      </c>
      <c r="T28" s="76">
        <f t="shared" si="3"/>
        <v>18583.800000000003</v>
      </c>
      <c r="U28" s="76">
        <f t="shared" si="4"/>
        <v>640.8</v>
      </c>
      <c r="V28" s="76">
        <f t="shared" si="5"/>
        <v>57628.799999999996</v>
      </c>
    </row>
    <row r="29" spans="1:22" s="77" customFormat="1" ht="15.75">
      <c r="A29" s="69"/>
      <c r="B29" s="70"/>
      <c r="C29" s="71"/>
      <c r="D29" s="71"/>
      <c r="E29" s="71"/>
      <c r="F29" s="71"/>
      <c r="G29" s="71"/>
      <c r="H29" s="71"/>
      <c r="I29" s="75"/>
      <c r="J29" s="73"/>
      <c r="K29" s="74"/>
      <c r="L29" s="75"/>
      <c r="M29" s="75"/>
      <c r="N29" s="75"/>
      <c r="O29" s="75"/>
      <c r="P29" s="75"/>
      <c r="Q29" s="75"/>
      <c r="R29" s="76"/>
      <c r="S29" s="76"/>
      <c r="T29" s="76"/>
      <c r="U29" s="76"/>
      <c r="V29" s="76"/>
    </row>
    <row r="30" spans="1:22" s="77" customFormat="1" ht="15.75">
      <c r="A30" s="69"/>
      <c r="B30" s="78" t="s">
        <v>42</v>
      </c>
      <c r="C30" s="71">
        <f aca="true" t="shared" si="6" ref="C30:F31">R30/L30</f>
        <v>111.3534041342689</v>
      </c>
      <c r="D30" s="71">
        <f t="shared" si="6"/>
        <v>79.04435695538058</v>
      </c>
      <c r="E30" s="71">
        <f t="shared" si="6"/>
        <v>66.36130036986567</v>
      </c>
      <c r="F30" s="71">
        <f t="shared" si="6"/>
        <v>47.73131707317073</v>
      </c>
      <c r="G30" s="71"/>
      <c r="H30" s="71">
        <f>V30/P30</f>
        <v>80.19701830759138</v>
      </c>
      <c r="I30" s="22">
        <f>(+H30)/'AAUP 08_09'!H30-1</f>
        <v>0.016611451770085495</v>
      </c>
      <c r="J30" s="73"/>
      <c r="K30" s="74"/>
      <c r="L30" s="79">
        <f>SUM(L8:L28)</f>
        <v>5273</v>
      </c>
      <c r="M30" s="79">
        <f>SUM(M8:M28)</f>
        <v>5334</v>
      </c>
      <c r="N30" s="79">
        <f>SUM(N8:N28)</f>
        <v>5137</v>
      </c>
      <c r="O30" s="79">
        <f>SUM(O8:O28)</f>
        <v>1025</v>
      </c>
      <c r="P30" s="79">
        <f>SUM(L30:O30)</f>
        <v>16769</v>
      </c>
      <c r="Q30" s="75"/>
      <c r="R30" s="76">
        <f>SUM(R8:R28)</f>
        <v>587166.4999999999</v>
      </c>
      <c r="S30" s="76">
        <f>SUM(S8:S28)</f>
        <v>421622.60000000003</v>
      </c>
      <c r="T30" s="76">
        <f>SUM(T8:T28)</f>
        <v>340897.99999999994</v>
      </c>
      <c r="U30" s="76">
        <f>SUM(U8:U28)</f>
        <v>48924.6</v>
      </c>
      <c r="V30" s="76">
        <f>SUM(V8:V28)</f>
        <v>1344823.7999999998</v>
      </c>
    </row>
    <row r="31" spans="1:22" s="77" customFormat="1" ht="15.75">
      <c r="A31" s="69"/>
      <c r="B31" s="78" t="s">
        <v>43</v>
      </c>
      <c r="C31" s="71">
        <f t="shared" si="6"/>
        <v>112.00849320543563</v>
      </c>
      <c r="D31" s="71">
        <f t="shared" si="6"/>
        <v>79.55079396984925</v>
      </c>
      <c r="E31" s="71">
        <f t="shared" si="6"/>
        <v>66.8025630339654</v>
      </c>
      <c r="F31" s="71">
        <f t="shared" si="6"/>
        <v>47.73131707317073</v>
      </c>
      <c r="G31" s="71"/>
      <c r="H31" s="71">
        <f>V31/P31</f>
        <v>80.49013478453458</v>
      </c>
      <c r="I31" s="22">
        <f>(+H31)/'AAUP 08_09'!H31-1</f>
        <v>0.018304902084264718</v>
      </c>
      <c r="J31" s="73"/>
      <c r="K31" s="74"/>
      <c r="L31" s="75">
        <f>L30-(L19+L20)</f>
        <v>5004</v>
      </c>
      <c r="M31" s="75">
        <f>M30-(M19+M20)</f>
        <v>4975</v>
      </c>
      <c r="N31" s="75">
        <f>N30-(N19+N20)</f>
        <v>4799</v>
      </c>
      <c r="O31" s="75">
        <f>O30-(O19+O20)</f>
        <v>1025</v>
      </c>
      <c r="P31" s="75">
        <f>SUM(L31:O31)</f>
        <v>15803</v>
      </c>
      <c r="Q31" s="75"/>
      <c r="R31" s="76">
        <f>R30-(R19+R20)</f>
        <v>560490.4999999999</v>
      </c>
      <c r="S31" s="76">
        <f>S30-(S19+S20)</f>
        <v>395765.2</v>
      </c>
      <c r="T31" s="76">
        <f>T30-(T19+T20)</f>
        <v>320585.49999999994</v>
      </c>
      <c r="U31" s="76">
        <f>U30-(U19+U20)</f>
        <v>48924.6</v>
      </c>
      <c r="V31" s="76">
        <f>V30-(V19+V20)</f>
        <v>1271985.5999999999</v>
      </c>
    </row>
    <row r="32" spans="1:22" ht="15.75">
      <c r="A32" s="17"/>
      <c r="B32" s="1"/>
      <c r="C32" s="33"/>
      <c r="D32" s="33"/>
      <c r="E32" s="33"/>
      <c r="F32" s="33"/>
      <c r="G32" s="33"/>
      <c r="H32" s="71"/>
      <c r="I32" s="20"/>
      <c r="J32" s="23"/>
      <c r="K32" s="49"/>
      <c r="L32" s="20"/>
      <c r="M32" s="20"/>
      <c r="N32" s="20"/>
      <c r="O32" s="20"/>
      <c r="P32" s="20"/>
      <c r="Q32" s="20"/>
      <c r="R32" s="46"/>
      <c r="S32" s="20"/>
      <c r="T32" s="20"/>
      <c r="U32" s="20"/>
      <c r="V32" s="20"/>
    </row>
    <row r="33" spans="1:24" ht="15.75">
      <c r="A33" s="17"/>
      <c r="B33" s="1" t="s">
        <v>5</v>
      </c>
      <c r="C33" s="41">
        <v>111</v>
      </c>
      <c r="D33" s="41">
        <v>74.1</v>
      </c>
      <c r="E33" s="41">
        <v>60.7</v>
      </c>
      <c r="F33" s="41"/>
      <c r="G33" s="41"/>
      <c r="H33" s="88">
        <v>81.7</v>
      </c>
      <c r="I33" s="22">
        <f>(+H33)/'AAUP 08_09'!H33-1</f>
        <v>0.001225490196078427</v>
      </c>
      <c r="J33" s="55"/>
      <c r="K33" s="57"/>
      <c r="L33" s="47">
        <f>263+83</f>
        <v>346</v>
      </c>
      <c r="M33" s="47">
        <f>233+138</f>
        <v>371</v>
      </c>
      <c r="N33" s="47">
        <f>171+181</f>
        <v>352</v>
      </c>
      <c r="O33" s="47"/>
      <c r="P33" s="47">
        <f>SUM(L33:O33)</f>
        <v>1069</v>
      </c>
      <c r="Q33" s="47"/>
      <c r="R33" s="56">
        <f aca="true" t="shared" si="7" ref="R33:U36">C33*L33</f>
        <v>38406</v>
      </c>
      <c r="S33" s="56">
        <f t="shared" si="7"/>
        <v>27491.1</v>
      </c>
      <c r="T33" s="56">
        <f t="shared" si="7"/>
        <v>21366.4</v>
      </c>
      <c r="U33" s="56">
        <f t="shared" si="7"/>
        <v>0</v>
      </c>
      <c r="V33" s="56">
        <f>H33*P33</f>
        <v>87337.3</v>
      </c>
      <c r="X33" s="16"/>
    </row>
    <row r="34" spans="1:24" ht="15.75">
      <c r="A34" s="17"/>
      <c r="B34" s="1" t="s">
        <v>7</v>
      </c>
      <c r="C34" s="33">
        <v>104</v>
      </c>
      <c r="D34" s="33">
        <v>75.3</v>
      </c>
      <c r="E34" s="33">
        <v>60.9</v>
      </c>
      <c r="F34" s="33"/>
      <c r="G34" s="33"/>
      <c r="H34" s="71">
        <v>77.8</v>
      </c>
      <c r="I34" s="22">
        <f>(+H34)/'AAUP 08_09'!H34-1</f>
        <v>-0.008917197452229297</v>
      </c>
      <c r="J34" s="23"/>
      <c r="K34" s="49"/>
      <c r="L34" s="20">
        <f>102+42</f>
        <v>144</v>
      </c>
      <c r="M34" s="20">
        <f>114+84</f>
        <v>198</v>
      </c>
      <c r="N34" s="20">
        <f>98+97</f>
        <v>195</v>
      </c>
      <c r="O34" s="20"/>
      <c r="P34" s="20">
        <f>SUM(L34:O34)</f>
        <v>537</v>
      </c>
      <c r="Q34" s="20"/>
      <c r="R34" s="46">
        <f t="shared" si="7"/>
        <v>14976</v>
      </c>
      <c r="S34" s="46">
        <f t="shared" si="7"/>
        <v>14909.4</v>
      </c>
      <c r="T34" s="46">
        <f t="shared" si="7"/>
        <v>11875.5</v>
      </c>
      <c r="U34" s="46">
        <f t="shared" si="7"/>
        <v>0</v>
      </c>
      <c r="V34" s="46">
        <f>H34*P34</f>
        <v>41778.6</v>
      </c>
      <c r="X34" s="16"/>
    </row>
    <row r="35" spans="1:24" ht="15.75">
      <c r="A35" s="17"/>
      <c r="B35" s="1" t="s">
        <v>20</v>
      </c>
      <c r="C35" s="33">
        <v>110.8</v>
      </c>
      <c r="D35" s="33">
        <v>80.3</v>
      </c>
      <c r="E35" s="33">
        <v>70.5</v>
      </c>
      <c r="F35" s="33"/>
      <c r="G35" s="33"/>
      <c r="H35" s="71">
        <v>90.3</v>
      </c>
      <c r="I35" s="22">
        <f>(+H35)/'AAUP 08_09'!H35-1</f>
        <v>0.004449388209121219</v>
      </c>
      <c r="J35" s="23"/>
      <c r="K35" s="49"/>
      <c r="L35" s="49">
        <f>109+10</f>
        <v>119</v>
      </c>
      <c r="M35" s="49">
        <f>81+16</f>
        <v>97</v>
      </c>
      <c r="N35" s="49">
        <f>50+25</f>
        <v>75</v>
      </c>
      <c r="O35" s="20"/>
      <c r="P35" s="20">
        <f>SUM(L35:O35)</f>
        <v>291</v>
      </c>
      <c r="Q35" s="20"/>
      <c r="R35" s="46">
        <f t="shared" si="7"/>
        <v>13185.199999999999</v>
      </c>
      <c r="S35" s="46">
        <f t="shared" si="7"/>
        <v>7789.099999999999</v>
      </c>
      <c r="T35" s="46">
        <f t="shared" si="7"/>
        <v>5287.5</v>
      </c>
      <c r="U35" s="46">
        <f t="shared" si="7"/>
        <v>0</v>
      </c>
      <c r="V35" s="46">
        <f>H35*P35</f>
        <v>26277.3</v>
      </c>
      <c r="X35" s="16"/>
    </row>
    <row r="36" spans="1:24" ht="15.75">
      <c r="A36" s="17"/>
      <c r="B36" s="5" t="s">
        <v>9</v>
      </c>
      <c r="C36" s="38">
        <v>93.6</v>
      </c>
      <c r="D36" s="38">
        <v>68</v>
      </c>
      <c r="E36" s="38">
        <v>59</v>
      </c>
      <c r="F36" s="38"/>
      <c r="G36" s="38"/>
      <c r="H36" s="89">
        <v>72.4</v>
      </c>
      <c r="I36" s="22">
        <f>(+H36)/'AAUP 08_09'!H36-1</f>
        <v>-0.014965986394557707</v>
      </c>
      <c r="J36" s="23"/>
      <c r="K36" s="49"/>
      <c r="L36" s="26">
        <f>89+36</f>
        <v>125</v>
      </c>
      <c r="M36" s="26">
        <f>85+76</f>
        <v>161</v>
      </c>
      <c r="N36" s="26">
        <f>54+89</f>
        <v>143</v>
      </c>
      <c r="O36" s="26"/>
      <c r="P36" s="26">
        <f>SUM(L36:O36)</f>
        <v>429</v>
      </c>
      <c r="Q36" s="26"/>
      <c r="R36" s="51">
        <f t="shared" si="7"/>
        <v>11700</v>
      </c>
      <c r="S36" s="51">
        <f t="shared" si="7"/>
        <v>10948</v>
      </c>
      <c r="T36" s="51">
        <f t="shared" si="7"/>
        <v>8437</v>
      </c>
      <c r="U36" s="51">
        <f t="shared" si="7"/>
        <v>0</v>
      </c>
      <c r="V36" s="51">
        <f>H36*P36</f>
        <v>31059.600000000002</v>
      </c>
      <c r="X36" s="16"/>
    </row>
    <row r="37" spans="1:24" ht="15.75">
      <c r="A37" s="17"/>
      <c r="B37" s="7" t="s">
        <v>16</v>
      </c>
      <c r="C37" s="33">
        <f>R37/L37</f>
        <v>106.63106267029973</v>
      </c>
      <c r="D37" s="33">
        <f>S37/M37</f>
        <v>73.92696493349456</v>
      </c>
      <c r="E37" s="33">
        <f>T37/N37</f>
        <v>61.393986928104574</v>
      </c>
      <c r="F37" s="33"/>
      <c r="G37" s="33"/>
      <c r="H37" s="71">
        <f>V37/P37</f>
        <v>80.16027515047291</v>
      </c>
      <c r="I37" s="22">
        <f>(+H37)/'AAUP 08_09'!H37-1</f>
        <v>-0.003257031141466027</v>
      </c>
      <c r="J37" s="23"/>
      <c r="K37" s="49"/>
      <c r="L37" s="20">
        <f>SUM(L33:L36)</f>
        <v>734</v>
      </c>
      <c r="M37" s="20">
        <f>SUM(M33:M36)</f>
        <v>827</v>
      </c>
      <c r="N37" s="20">
        <f>SUM(N33:N36)</f>
        <v>765</v>
      </c>
      <c r="O37" s="20">
        <f>SUM(O33:O36)</f>
        <v>0</v>
      </c>
      <c r="P37" s="20">
        <f>SUM(P33:P36)</f>
        <v>2326</v>
      </c>
      <c r="Q37" s="20"/>
      <c r="R37" s="46">
        <f>SUM(R33:R36)</f>
        <v>78267.2</v>
      </c>
      <c r="S37" s="46">
        <f>SUM(S33:S36)</f>
        <v>61137.6</v>
      </c>
      <c r="T37" s="46">
        <f>SUM(T33:T36)</f>
        <v>46966.4</v>
      </c>
      <c r="U37" s="46">
        <f>SUM(U33:U36)</f>
        <v>0</v>
      </c>
      <c r="V37" s="46">
        <f>SUM(V33:V36)</f>
        <v>186452.8</v>
      </c>
      <c r="X37" s="16"/>
    </row>
    <row r="38" spans="1:11" ht="15.75">
      <c r="A38" s="17"/>
      <c r="B38" s="7" t="s">
        <v>46</v>
      </c>
      <c r="C38" s="22">
        <f>C31/C37-1</f>
        <v>0.050430244250334155</v>
      </c>
      <c r="D38" s="22">
        <f>D31/D37-1</f>
        <v>0.07607277048927874</v>
      </c>
      <c r="E38" s="22">
        <f>E31/E37-1</f>
        <v>0.08809618623065707</v>
      </c>
      <c r="F38" s="22"/>
      <c r="G38" s="33"/>
      <c r="H38" s="72">
        <f>H31/H37-1</f>
        <v>0.004115001270173613</v>
      </c>
      <c r="J38" s="18"/>
      <c r="K38" s="31"/>
    </row>
    <row r="39" spans="1:29" ht="16.5" thickBot="1">
      <c r="A39" s="17"/>
      <c r="B39" s="2"/>
      <c r="C39" s="32"/>
      <c r="D39" s="32"/>
      <c r="E39" s="32"/>
      <c r="F39" s="32"/>
      <c r="G39" s="32"/>
      <c r="H39" s="83"/>
      <c r="I39" s="19"/>
      <c r="J39" s="18"/>
      <c r="K39" s="31"/>
      <c r="L39" s="31"/>
      <c r="M39" s="31"/>
      <c r="N39" s="31"/>
      <c r="O39" s="31"/>
      <c r="P39" s="31"/>
      <c r="Q39" s="31"/>
      <c r="R39" s="5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6.5" thickTop="1">
      <c r="A40" s="17"/>
      <c r="B40" s="15" t="s">
        <v>17</v>
      </c>
      <c r="C40" s="33"/>
      <c r="D40" s="33"/>
      <c r="E40" s="33"/>
      <c r="F40" s="33"/>
      <c r="G40" s="33"/>
      <c r="H40" s="71"/>
      <c r="J40" s="18"/>
      <c r="K40" s="31"/>
      <c r="L40" s="31"/>
      <c r="M40" s="31"/>
      <c r="N40" s="31"/>
      <c r="O40" s="31"/>
      <c r="P40" s="31"/>
      <c r="Q40" s="31"/>
      <c r="R40" s="5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5.75">
      <c r="A41" s="17"/>
      <c r="B41" s="80"/>
      <c r="C41" s="33"/>
      <c r="D41" s="33"/>
      <c r="E41" s="33"/>
      <c r="F41" s="33"/>
      <c r="G41" s="33"/>
      <c r="H41" s="71"/>
      <c r="J41" s="18"/>
      <c r="K41" s="31"/>
      <c r="L41" s="31"/>
      <c r="M41" s="31"/>
      <c r="N41" s="31"/>
      <c r="O41" s="31"/>
      <c r="P41" s="31"/>
      <c r="Q41" s="31"/>
      <c r="R41" s="5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5.75">
      <c r="A42" s="17"/>
      <c r="B42" s="1"/>
      <c r="C42" s="33"/>
      <c r="D42" s="33"/>
      <c r="E42" s="33"/>
      <c r="F42" s="33"/>
      <c r="G42" s="33"/>
      <c r="H42" s="71"/>
      <c r="J42" s="18"/>
      <c r="K42" s="31"/>
      <c r="L42" s="31"/>
      <c r="M42" s="31"/>
      <c r="N42" s="31"/>
      <c r="O42" s="31"/>
      <c r="P42" s="31"/>
      <c r="Q42" s="31"/>
      <c r="R42" s="5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11" ht="15.75">
      <c r="A43" s="27"/>
      <c r="B43" s="28"/>
      <c r="C43" s="39"/>
      <c r="D43" s="39"/>
      <c r="E43" s="39"/>
      <c r="F43" s="39"/>
      <c r="G43" s="39"/>
      <c r="H43" s="89"/>
      <c r="I43" s="29" t="s">
        <v>22</v>
      </c>
      <c r="J43" s="30"/>
      <c r="K43" s="31"/>
    </row>
  </sheetData>
  <sheetProtection/>
  <mergeCells count="2">
    <mergeCell ref="B2:I2"/>
    <mergeCell ref="B1:I1"/>
  </mergeCells>
  <printOptions/>
  <pageMargins left="0.75" right="0.5" top="0.5" bottom="0.5" header="0.5" footer="0.5"/>
  <pageSetup horizontalDpi="300" verticalDpi="3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5.75"/>
  <cols>
    <col min="1" max="1" width="2.625" style="15" customWidth="1"/>
    <col min="2" max="2" width="42.75390625" style="15" customWidth="1"/>
    <col min="3" max="6" width="11.375" style="40" customWidth="1"/>
    <col min="7" max="7" width="2.625" style="40" customWidth="1"/>
    <col min="8" max="8" width="11.375" style="90" customWidth="1"/>
    <col min="9" max="9" width="9.125" style="15" customWidth="1"/>
    <col min="10" max="11" width="2.625" style="15" customWidth="1"/>
    <col min="12" max="16" width="9.125" style="15" bestFit="1" customWidth="1"/>
    <col min="17" max="17" width="2.625" style="15" customWidth="1"/>
    <col min="18" max="18" width="11.375" style="42" bestFit="1" customWidth="1"/>
    <col min="19" max="19" width="9.75390625" style="15" customWidth="1"/>
    <col min="20" max="20" width="9.75390625" style="15" bestFit="1" customWidth="1"/>
    <col min="21" max="21" width="9.125" style="15" bestFit="1" customWidth="1"/>
    <col min="22" max="22" width="11.375" style="15" bestFit="1" customWidth="1"/>
    <col min="23" max="16384" width="9.00390625" style="15" customWidth="1"/>
  </cols>
  <sheetData>
    <row r="1" spans="1:11" ht="15.75">
      <c r="A1" s="13"/>
      <c r="B1" s="113" t="s">
        <v>38</v>
      </c>
      <c r="C1" s="113"/>
      <c r="D1" s="113"/>
      <c r="E1" s="113"/>
      <c r="F1" s="113"/>
      <c r="G1" s="113"/>
      <c r="H1" s="113"/>
      <c r="I1" s="113"/>
      <c r="J1" s="14"/>
      <c r="K1" s="31"/>
    </row>
    <row r="2" spans="1:11" ht="15.75">
      <c r="A2" s="17"/>
      <c r="B2" s="114" t="s">
        <v>47</v>
      </c>
      <c r="C2" s="114"/>
      <c r="D2" s="114"/>
      <c r="E2" s="114"/>
      <c r="F2" s="114"/>
      <c r="G2" s="114"/>
      <c r="H2" s="114"/>
      <c r="I2" s="114"/>
      <c r="J2" s="18"/>
      <c r="K2" s="31"/>
    </row>
    <row r="3" spans="1:22" ht="16.5" thickBot="1">
      <c r="A3" s="17"/>
      <c r="B3" s="2"/>
      <c r="C3" s="32"/>
      <c r="D3" s="32"/>
      <c r="E3" s="32"/>
      <c r="F3" s="32"/>
      <c r="G3" s="32"/>
      <c r="H3" s="83"/>
      <c r="I3" s="19"/>
      <c r="J3" s="18"/>
      <c r="K3" s="31"/>
      <c r="L3" s="19"/>
      <c r="M3" s="19"/>
      <c r="N3" s="19"/>
      <c r="O3" s="19"/>
      <c r="P3" s="19"/>
      <c r="Q3" s="19"/>
      <c r="R3" s="43"/>
      <c r="S3" s="19"/>
      <c r="T3" s="19"/>
      <c r="U3" s="19"/>
      <c r="V3" s="19"/>
    </row>
    <row r="4" spans="1:11" ht="16.5" thickTop="1">
      <c r="A4" s="17"/>
      <c r="B4" s="1"/>
      <c r="C4" s="33"/>
      <c r="D4" s="33"/>
      <c r="E4" s="33"/>
      <c r="F4" s="33"/>
      <c r="G4" s="33"/>
      <c r="H4" s="71"/>
      <c r="J4" s="18"/>
      <c r="K4" s="31"/>
    </row>
    <row r="5" spans="1:22" ht="15.75">
      <c r="A5" s="11"/>
      <c r="B5" s="1"/>
      <c r="C5" s="34"/>
      <c r="D5" s="34"/>
      <c r="E5" s="34"/>
      <c r="F5" s="34"/>
      <c r="G5" s="34"/>
      <c r="H5" s="84" t="s">
        <v>10</v>
      </c>
      <c r="I5" s="3"/>
      <c r="J5" s="10"/>
      <c r="K5" s="48"/>
      <c r="L5" s="1"/>
      <c r="M5" s="1"/>
      <c r="N5" s="1"/>
      <c r="O5" s="1"/>
      <c r="P5" s="1"/>
      <c r="Q5" s="1"/>
      <c r="R5" s="44"/>
      <c r="S5" s="1"/>
      <c r="T5" s="1"/>
      <c r="U5" s="1"/>
      <c r="V5" s="1"/>
    </row>
    <row r="6" spans="1:22" ht="15.75">
      <c r="A6" s="11"/>
      <c r="B6" s="1"/>
      <c r="C6" s="35" t="s">
        <v>11</v>
      </c>
      <c r="D6" s="35"/>
      <c r="E6" s="35"/>
      <c r="F6" s="35"/>
      <c r="G6" s="35"/>
      <c r="H6" s="85"/>
      <c r="I6" s="7" t="s">
        <v>0</v>
      </c>
      <c r="J6" s="10"/>
      <c r="K6" s="48"/>
      <c r="L6" s="3" t="s">
        <v>12</v>
      </c>
      <c r="M6" s="3"/>
      <c r="N6" s="3"/>
      <c r="O6" s="3"/>
      <c r="P6" s="3"/>
      <c r="Q6" s="4"/>
      <c r="R6" s="45"/>
      <c r="S6" s="4"/>
      <c r="T6" s="4"/>
      <c r="U6" s="4"/>
      <c r="V6" s="4"/>
    </row>
    <row r="7" spans="1:22" ht="15.75">
      <c r="A7" s="11"/>
      <c r="B7" s="5"/>
      <c r="C7" s="36" t="s">
        <v>1</v>
      </c>
      <c r="D7" s="36" t="s">
        <v>2</v>
      </c>
      <c r="E7" s="36" t="s">
        <v>3</v>
      </c>
      <c r="F7" s="36" t="s">
        <v>4</v>
      </c>
      <c r="G7" s="37"/>
      <c r="H7" s="86" t="s">
        <v>13</v>
      </c>
      <c r="I7" s="8" t="s">
        <v>14</v>
      </c>
      <c r="J7" s="10"/>
      <c r="K7" s="48"/>
      <c r="L7" s="8" t="s">
        <v>1</v>
      </c>
      <c r="M7" s="8" t="s">
        <v>2</v>
      </c>
      <c r="N7" s="8" t="s">
        <v>3</v>
      </c>
      <c r="O7" s="8" t="s">
        <v>4</v>
      </c>
      <c r="P7" s="9" t="s">
        <v>15</v>
      </c>
      <c r="Q7" s="48"/>
      <c r="R7" s="8" t="s">
        <v>1</v>
      </c>
      <c r="S7" s="8" t="s">
        <v>2</v>
      </c>
      <c r="T7" s="8" t="s">
        <v>3</v>
      </c>
      <c r="U7" s="8" t="s">
        <v>4</v>
      </c>
      <c r="V7" s="9" t="s">
        <v>15</v>
      </c>
    </row>
    <row r="8" spans="1:22" ht="15.75">
      <c r="A8" s="17"/>
      <c r="B8" s="1" t="s">
        <v>23</v>
      </c>
      <c r="C8" s="33">
        <v>110.9</v>
      </c>
      <c r="D8" s="33">
        <v>76.6</v>
      </c>
      <c r="E8" s="33">
        <v>63.5</v>
      </c>
      <c r="F8" s="33">
        <v>50</v>
      </c>
      <c r="G8" s="33"/>
      <c r="H8" s="71">
        <v>78.5</v>
      </c>
      <c r="I8" s="22">
        <f>(+H8)/'AAUP 07_08'!H8-1</f>
        <v>-0.006329113924050667</v>
      </c>
      <c r="J8" s="23"/>
      <c r="K8" s="49"/>
      <c r="L8" s="20">
        <f>125+39</f>
        <v>164</v>
      </c>
      <c r="M8" s="20">
        <f>119+82</f>
        <v>201</v>
      </c>
      <c r="N8" s="20">
        <f>92+109</f>
        <v>201</v>
      </c>
      <c r="O8" s="20">
        <f>27+39</f>
        <v>66</v>
      </c>
      <c r="P8" s="20">
        <f aca="true" t="shared" si="0" ref="P8:P28">SUM(L8:O8)</f>
        <v>632</v>
      </c>
      <c r="Q8" s="20"/>
      <c r="R8" s="46">
        <f aca="true" t="shared" si="1" ref="R8:R28">C8*L8</f>
        <v>18187.600000000002</v>
      </c>
      <c r="S8" s="46">
        <f aca="true" t="shared" si="2" ref="S8:S28">D8*M8</f>
        <v>15396.599999999999</v>
      </c>
      <c r="T8" s="46">
        <f aca="true" t="shared" si="3" ref="T8:T28">E8*N8</f>
        <v>12763.5</v>
      </c>
      <c r="U8" s="46">
        <f aca="true" t="shared" si="4" ref="U8:U28">F8*O8</f>
        <v>3300</v>
      </c>
      <c r="V8" s="46">
        <f aca="true" t="shared" si="5" ref="V8:V28">H8*P8</f>
        <v>49612</v>
      </c>
    </row>
    <row r="9" spans="1:22" ht="15.75">
      <c r="A9" s="17"/>
      <c r="B9" s="1" t="s">
        <v>25</v>
      </c>
      <c r="C9" s="33">
        <v>99.7</v>
      </c>
      <c r="D9" s="33">
        <v>72.4</v>
      </c>
      <c r="E9" s="33">
        <v>60.2</v>
      </c>
      <c r="F9" s="33">
        <v>45.5</v>
      </c>
      <c r="G9" s="33"/>
      <c r="H9" s="71">
        <v>78.3</v>
      </c>
      <c r="I9" s="22">
        <f>(+H9)/'AAUP 07_08'!H9-1</f>
        <v>0.016883116883116944</v>
      </c>
      <c r="J9" s="23"/>
      <c r="K9" s="49"/>
      <c r="L9" s="20">
        <f>348+115</f>
        <v>463</v>
      </c>
      <c r="M9" s="20">
        <f>234+187</f>
        <v>421</v>
      </c>
      <c r="N9" s="20">
        <f>137+173</f>
        <v>310</v>
      </c>
      <c r="O9" s="20">
        <f>11+44</f>
        <v>55</v>
      </c>
      <c r="P9" s="20">
        <f t="shared" si="0"/>
        <v>1249</v>
      </c>
      <c r="Q9" s="20"/>
      <c r="R9" s="46">
        <f t="shared" si="1"/>
        <v>46161.1</v>
      </c>
      <c r="S9" s="46">
        <f t="shared" si="2"/>
        <v>30480.4</v>
      </c>
      <c r="T9" s="46">
        <f t="shared" si="3"/>
        <v>18662</v>
      </c>
      <c r="U9" s="46">
        <f t="shared" si="4"/>
        <v>2502.5</v>
      </c>
      <c r="V9" s="46">
        <f t="shared" si="5"/>
        <v>97796.7</v>
      </c>
    </row>
    <row r="10" spans="1:22" ht="15.75">
      <c r="A10" s="17"/>
      <c r="B10" s="1" t="s">
        <v>26</v>
      </c>
      <c r="C10" s="33">
        <v>99.3</v>
      </c>
      <c r="D10" s="33">
        <v>71.3</v>
      </c>
      <c r="E10" s="33">
        <v>59.3</v>
      </c>
      <c r="F10" s="33">
        <v>47.7</v>
      </c>
      <c r="G10" s="33"/>
      <c r="H10" s="71">
        <v>74.1</v>
      </c>
      <c r="I10" s="22">
        <f>(+H10)/'AAUP 07_08'!H10-1</f>
        <v>0.030598052851182</v>
      </c>
      <c r="J10" s="23"/>
      <c r="K10" s="49"/>
      <c r="L10" s="20">
        <f>120+36</f>
        <v>156</v>
      </c>
      <c r="M10" s="20">
        <f>119+75</f>
        <v>194</v>
      </c>
      <c r="N10" s="20">
        <f>80+67</f>
        <v>147</v>
      </c>
      <c r="O10" s="20">
        <f>4+9</f>
        <v>13</v>
      </c>
      <c r="P10" s="20">
        <f t="shared" si="0"/>
        <v>510</v>
      </c>
      <c r="Q10" s="20"/>
      <c r="R10" s="46">
        <f t="shared" si="1"/>
        <v>15490.8</v>
      </c>
      <c r="S10" s="46">
        <f t="shared" si="2"/>
        <v>13832.199999999999</v>
      </c>
      <c r="T10" s="46">
        <f t="shared" si="3"/>
        <v>8717.1</v>
      </c>
      <c r="U10" s="46">
        <f t="shared" si="4"/>
        <v>620.1</v>
      </c>
      <c r="V10" s="46">
        <f t="shared" si="5"/>
        <v>37791</v>
      </c>
    </row>
    <row r="11" spans="1:22" ht="15.75">
      <c r="A11" s="17"/>
      <c r="B11" s="1" t="s">
        <v>44</v>
      </c>
      <c r="C11" s="33">
        <v>113.4</v>
      </c>
      <c r="D11" s="33">
        <v>87.2</v>
      </c>
      <c r="E11" s="33">
        <v>73.4</v>
      </c>
      <c r="F11" s="33">
        <v>53.6</v>
      </c>
      <c r="G11" s="33"/>
      <c r="H11" s="71">
        <v>92.4</v>
      </c>
      <c r="I11" s="22">
        <f>(+H11)/'AAUP 07_08'!H11-1</f>
        <v>0.0781796966161028</v>
      </c>
      <c r="J11" s="23"/>
      <c r="K11" s="49"/>
      <c r="L11" s="20">
        <f>160+71</f>
        <v>231</v>
      </c>
      <c r="M11" s="20">
        <f>84+62</f>
        <v>146</v>
      </c>
      <c r="N11" s="20">
        <f>78+61</f>
        <v>139</v>
      </c>
      <c r="O11" s="20">
        <f>1+6</f>
        <v>7</v>
      </c>
      <c r="P11" s="20">
        <f t="shared" si="0"/>
        <v>523</v>
      </c>
      <c r="Q11" s="20"/>
      <c r="R11" s="46">
        <f t="shared" si="1"/>
        <v>26195.4</v>
      </c>
      <c r="S11" s="46">
        <f t="shared" si="2"/>
        <v>12731.2</v>
      </c>
      <c r="T11" s="46">
        <f t="shared" si="3"/>
        <v>10202.6</v>
      </c>
      <c r="U11" s="46">
        <f t="shared" si="4"/>
        <v>375.2</v>
      </c>
      <c r="V11" s="46">
        <f t="shared" si="5"/>
        <v>48325.200000000004</v>
      </c>
    </row>
    <row r="12" spans="1:22" ht="15.75">
      <c r="A12" s="17"/>
      <c r="B12" s="1" t="s">
        <v>40</v>
      </c>
      <c r="C12" s="33">
        <v>106.3</v>
      </c>
      <c r="D12" s="33">
        <v>78.3</v>
      </c>
      <c r="E12" s="33">
        <v>71.8</v>
      </c>
      <c r="F12" s="33">
        <v>53.4</v>
      </c>
      <c r="G12" s="33"/>
      <c r="H12" s="71">
        <v>79.6</v>
      </c>
      <c r="I12" s="22">
        <f>(+H12)/'AAUP 07_08'!H12-1</f>
        <v>0.014012738853503182</v>
      </c>
      <c r="J12" s="23"/>
      <c r="K12" s="49"/>
      <c r="L12" s="49">
        <f>167+45</f>
        <v>212</v>
      </c>
      <c r="M12" s="20">
        <f>161+102</f>
        <v>263</v>
      </c>
      <c r="N12" s="20">
        <f>126+108</f>
        <v>234</v>
      </c>
      <c r="O12" s="20">
        <f>53+43</f>
        <v>96</v>
      </c>
      <c r="P12" s="20">
        <f t="shared" si="0"/>
        <v>805</v>
      </c>
      <c r="Q12" s="20"/>
      <c r="R12" s="46">
        <f t="shared" si="1"/>
        <v>22535.6</v>
      </c>
      <c r="S12" s="46">
        <f t="shared" si="2"/>
        <v>20592.899999999998</v>
      </c>
      <c r="T12" s="46">
        <f t="shared" si="3"/>
        <v>16801.2</v>
      </c>
      <c r="U12" s="46">
        <f t="shared" si="4"/>
        <v>5126.4</v>
      </c>
      <c r="V12" s="46">
        <f t="shared" si="5"/>
        <v>64077.99999999999</v>
      </c>
    </row>
    <row r="13" spans="1:22" s="16" customFormat="1" ht="15.75">
      <c r="A13" s="24"/>
      <c r="B13" s="1" t="s">
        <v>27</v>
      </c>
      <c r="C13" s="33">
        <v>121.8</v>
      </c>
      <c r="D13" s="33">
        <v>77.1</v>
      </c>
      <c r="E13" s="33">
        <v>65.1</v>
      </c>
      <c r="F13" s="33">
        <v>46</v>
      </c>
      <c r="G13" s="33"/>
      <c r="H13" s="71">
        <v>75.6</v>
      </c>
      <c r="I13" s="22">
        <f>(+H13)/'AAUP 07_08'!H13-1</f>
        <v>0.038461538461538325</v>
      </c>
      <c r="J13" s="25"/>
      <c r="K13" s="50"/>
      <c r="L13" s="20">
        <f>175+50</f>
        <v>225</v>
      </c>
      <c r="M13" s="20">
        <f>174+150</f>
        <v>324</v>
      </c>
      <c r="N13" s="20">
        <f>144+194</f>
        <v>338</v>
      </c>
      <c r="O13" s="20">
        <f>29+65</f>
        <v>94</v>
      </c>
      <c r="P13" s="20">
        <f t="shared" si="0"/>
        <v>981</v>
      </c>
      <c r="Q13" s="21"/>
      <c r="R13" s="46">
        <f t="shared" si="1"/>
        <v>27405</v>
      </c>
      <c r="S13" s="46">
        <f t="shared" si="2"/>
        <v>24980.399999999998</v>
      </c>
      <c r="T13" s="46">
        <f t="shared" si="3"/>
        <v>22003.8</v>
      </c>
      <c r="U13" s="46">
        <f t="shared" si="4"/>
        <v>4324</v>
      </c>
      <c r="V13" s="46">
        <f t="shared" si="5"/>
        <v>74163.59999999999</v>
      </c>
    </row>
    <row r="14" spans="1:22" ht="15.75">
      <c r="A14" s="17"/>
      <c r="B14" s="1" t="s">
        <v>28</v>
      </c>
      <c r="C14" s="33">
        <v>119.9</v>
      </c>
      <c r="D14" s="33">
        <v>80.3</v>
      </c>
      <c r="E14" s="33">
        <v>77.8</v>
      </c>
      <c r="F14" s="33"/>
      <c r="G14" s="33"/>
      <c r="H14" s="71">
        <v>85.8</v>
      </c>
      <c r="I14" s="22">
        <f>(+H14)/'AAUP 07_08'!H14-1</f>
        <v>0.03498190591073569</v>
      </c>
      <c r="J14" s="23"/>
      <c r="K14" s="49"/>
      <c r="L14" s="20">
        <f>325+60</f>
        <v>385</v>
      </c>
      <c r="M14" s="20">
        <f>189+100</f>
        <v>289</v>
      </c>
      <c r="N14" s="20">
        <f>118+76</f>
        <v>194</v>
      </c>
      <c r="O14" s="20"/>
      <c r="P14" s="20">
        <f t="shared" si="0"/>
        <v>868</v>
      </c>
      <c r="Q14" s="20"/>
      <c r="R14" s="46">
        <f t="shared" si="1"/>
        <v>46161.5</v>
      </c>
      <c r="S14" s="46">
        <f t="shared" si="2"/>
        <v>23206.7</v>
      </c>
      <c r="T14" s="46">
        <f t="shared" si="3"/>
        <v>15093.199999999999</v>
      </c>
      <c r="U14" s="46">
        <f t="shared" si="4"/>
        <v>0</v>
      </c>
      <c r="V14" s="46">
        <f t="shared" si="5"/>
        <v>74474.4</v>
      </c>
    </row>
    <row r="15" spans="1:22" ht="15.75">
      <c r="A15" s="17"/>
      <c r="B15" s="1" t="s">
        <v>29</v>
      </c>
      <c r="C15" s="46">
        <v>118.7</v>
      </c>
      <c r="D15" s="46">
        <v>84.5</v>
      </c>
      <c r="E15" s="46">
        <v>72.9</v>
      </c>
      <c r="F15" s="33">
        <v>60.2</v>
      </c>
      <c r="G15" s="33"/>
      <c r="H15" s="71">
        <v>89.1</v>
      </c>
      <c r="I15" s="22">
        <f>(+H15)/'AAUP 07_08'!H15-1</f>
        <v>0.007918552036199067</v>
      </c>
      <c r="J15" s="23"/>
      <c r="K15" s="49"/>
      <c r="L15" s="20">
        <f>251+91</f>
        <v>342</v>
      </c>
      <c r="M15" s="20">
        <f>214+140</f>
        <v>354</v>
      </c>
      <c r="N15" s="20">
        <f>122+150</f>
        <v>272</v>
      </c>
      <c r="O15" s="20">
        <f>3+20</f>
        <v>23</v>
      </c>
      <c r="P15" s="20">
        <f t="shared" si="0"/>
        <v>991</v>
      </c>
      <c r="Q15" s="20"/>
      <c r="R15" s="46">
        <f t="shared" si="1"/>
        <v>40595.4</v>
      </c>
      <c r="S15" s="46">
        <f t="shared" si="2"/>
        <v>29913</v>
      </c>
      <c r="T15" s="46">
        <f t="shared" si="3"/>
        <v>19828.800000000003</v>
      </c>
      <c r="U15" s="46">
        <f t="shared" si="4"/>
        <v>1384.6000000000001</v>
      </c>
      <c r="V15" s="46">
        <f t="shared" si="5"/>
        <v>88298.09999999999</v>
      </c>
    </row>
    <row r="16" spans="1:22" ht="15.75">
      <c r="A16" s="17"/>
      <c r="B16" s="1" t="s">
        <v>30</v>
      </c>
      <c r="C16" s="33">
        <v>99.5</v>
      </c>
      <c r="D16" s="33">
        <v>75.9</v>
      </c>
      <c r="E16" s="33">
        <v>61.2</v>
      </c>
      <c r="F16" s="33"/>
      <c r="G16" s="33"/>
      <c r="H16" s="71">
        <v>70.8</v>
      </c>
      <c r="I16" s="22">
        <f>(+H16)/'AAUP 07_08'!H16-1</f>
        <v>0.02757619738751793</v>
      </c>
      <c r="J16" s="23"/>
      <c r="K16" s="49"/>
      <c r="L16" s="20">
        <f>148+65</f>
        <v>213</v>
      </c>
      <c r="M16" s="20">
        <f>150+127</f>
        <v>277</v>
      </c>
      <c r="N16" s="20">
        <f>118+137</f>
        <v>255</v>
      </c>
      <c r="O16" s="20">
        <f>1+0</f>
        <v>1</v>
      </c>
      <c r="P16" s="20">
        <f t="shared" si="0"/>
        <v>746</v>
      </c>
      <c r="Q16" s="20"/>
      <c r="R16" s="46">
        <f t="shared" si="1"/>
        <v>21193.5</v>
      </c>
      <c r="S16" s="46">
        <f t="shared" si="2"/>
        <v>21024.300000000003</v>
      </c>
      <c r="T16" s="46">
        <f t="shared" si="3"/>
        <v>15606</v>
      </c>
      <c r="U16" s="46">
        <f t="shared" si="4"/>
        <v>0</v>
      </c>
      <c r="V16" s="46">
        <f t="shared" si="5"/>
        <v>52816.799999999996</v>
      </c>
    </row>
    <row r="17" spans="1:22" ht="15.75">
      <c r="A17" s="17"/>
      <c r="B17" s="1" t="s">
        <v>31</v>
      </c>
      <c r="C17" s="33">
        <v>112.9</v>
      </c>
      <c r="D17" s="33">
        <v>88</v>
      </c>
      <c r="E17" s="33">
        <v>70.7</v>
      </c>
      <c r="F17" s="33"/>
      <c r="G17" s="33"/>
      <c r="H17" s="71">
        <v>84.8</v>
      </c>
      <c r="I17" s="22">
        <f>(+H17)/'AAUP 07_08'!H17-1</f>
        <v>0.027878787878787836</v>
      </c>
      <c r="J17" s="23"/>
      <c r="K17" s="49"/>
      <c r="L17" s="20">
        <f>80+46</f>
        <v>126</v>
      </c>
      <c r="M17" s="20">
        <f>61+57</f>
        <v>118</v>
      </c>
      <c r="N17" s="20">
        <f>62+75</f>
        <v>137</v>
      </c>
      <c r="O17" s="20">
        <f>1+0</f>
        <v>1</v>
      </c>
      <c r="P17" s="20">
        <f t="shared" si="0"/>
        <v>382</v>
      </c>
      <c r="Q17" s="20"/>
      <c r="R17" s="46">
        <f t="shared" si="1"/>
        <v>14225.400000000001</v>
      </c>
      <c r="S17" s="46">
        <f t="shared" si="2"/>
        <v>10384</v>
      </c>
      <c r="T17" s="46">
        <f t="shared" si="3"/>
        <v>9685.9</v>
      </c>
      <c r="U17" s="46">
        <f t="shared" si="4"/>
        <v>0</v>
      </c>
      <c r="V17" s="46">
        <f t="shared" si="5"/>
        <v>32393.6</v>
      </c>
    </row>
    <row r="18" spans="1:22" ht="15.75">
      <c r="A18" s="17"/>
      <c r="B18" s="1" t="s">
        <v>32</v>
      </c>
      <c r="C18" s="33">
        <v>99.9</v>
      </c>
      <c r="D18" s="33">
        <v>69.9</v>
      </c>
      <c r="E18" s="33">
        <v>59.1</v>
      </c>
      <c r="F18" s="33">
        <v>41</v>
      </c>
      <c r="G18" s="33"/>
      <c r="H18" s="71">
        <v>70.7</v>
      </c>
      <c r="I18" s="22">
        <f>(+H18)/'AAUP 07_08'!H18-1</f>
        <v>0.02315484804630974</v>
      </c>
      <c r="J18" s="23"/>
      <c r="K18" s="49"/>
      <c r="L18" s="20">
        <f>199+49</f>
        <v>248</v>
      </c>
      <c r="M18" s="20">
        <f>150+100</f>
        <v>250</v>
      </c>
      <c r="N18" s="20">
        <f>110+132</f>
        <v>242</v>
      </c>
      <c r="O18" s="20">
        <f>48+59</f>
        <v>107</v>
      </c>
      <c r="P18" s="20">
        <f t="shared" si="0"/>
        <v>847</v>
      </c>
      <c r="Q18" s="20"/>
      <c r="R18" s="46">
        <f t="shared" si="1"/>
        <v>24775.2</v>
      </c>
      <c r="S18" s="46">
        <f t="shared" si="2"/>
        <v>17475</v>
      </c>
      <c r="T18" s="46">
        <f t="shared" si="3"/>
        <v>14302.2</v>
      </c>
      <c r="U18" s="46">
        <f t="shared" si="4"/>
        <v>4387</v>
      </c>
      <c r="V18" s="46">
        <f t="shared" si="5"/>
        <v>59882.9</v>
      </c>
    </row>
    <row r="19" spans="1:22" s="62" customFormat="1" ht="15.75">
      <c r="A19" s="12"/>
      <c r="B19" s="6" t="s">
        <v>7</v>
      </c>
      <c r="C19" s="54">
        <v>106.7</v>
      </c>
      <c r="D19" s="54">
        <v>75.5</v>
      </c>
      <c r="E19" s="54">
        <v>62.4</v>
      </c>
      <c r="F19" s="54"/>
      <c r="G19" s="54"/>
      <c r="H19" s="87">
        <v>78.5</v>
      </c>
      <c r="I19" s="53">
        <f>(+H19)/'AAUP 07_08'!H19-1</f>
        <v>0.04249667994687911</v>
      </c>
      <c r="J19" s="59"/>
      <c r="K19" s="60"/>
      <c r="L19" s="81">
        <v>145</v>
      </c>
      <c r="M19" s="81">
        <v>198</v>
      </c>
      <c r="N19" s="81">
        <v>217</v>
      </c>
      <c r="O19" s="81"/>
      <c r="P19" s="81">
        <f t="shared" si="0"/>
        <v>560</v>
      </c>
      <c r="Q19" s="81"/>
      <c r="R19" s="61">
        <f t="shared" si="1"/>
        <v>15471.5</v>
      </c>
      <c r="S19" s="61">
        <f t="shared" si="2"/>
        <v>14949</v>
      </c>
      <c r="T19" s="61">
        <f t="shared" si="3"/>
        <v>13540.8</v>
      </c>
      <c r="U19" s="61">
        <f t="shared" si="4"/>
        <v>0</v>
      </c>
      <c r="V19" s="61">
        <f t="shared" si="5"/>
        <v>43960</v>
      </c>
    </row>
    <row r="20" spans="1:22" s="62" customFormat="1" ht="15.75">
      <c r="A20" s="12"/>
      <c r="B20" s="6" t="s">
        <v>9</v>
      </c>
      <c r="C20" s="54">
        <v>94.8</v>
      </c>
      <c r="D20" s="54">
        <v>68.1</v>
      </c>
      <c r="E20" s="54">
        <v>59.7</v>
      </c>
      <c r="F20" s="54"/>
      <c r="G20" s="54"/>
      <c r="H20" s="87">
        <v>73.5</v>
      </c>
      <c r="I20" s="53">
        <f>(+H20)/'AAUP 07_08'!H20-1</f>
        <v>0.0683139534883721</v>
      </c>
      <c r="J20" s="59"/>
      <c r="K20" s="60"/>
      <c r="L20" s="81">
        <v>131</v>
      </c>
      <c r="M20" s="81">
        <v>163</v>
      </c>
      <c r="N20" s="81">
        <v>138</v>
      </c>
      <c r="O20" s="81"/>
      <c r="P20" s="81">
        <f>SUM(L20:O20)</f>
        <v>432</v>
      </c>
      <c r="Q20" s="81"/>
      <c r="R20" s="61">
        <f>C20*L20</f>
        <v>12418.8</v>
      </c>
      <c r="S20" s="61">
        <f>D20*M20</f>
        <v>11100.3</v>
      </c>
      <c r="T20" s="61">
        <f>E20*N20</f>
        <v>8238.6</v>
      </c>
      <c r="U20" s="61">
        <f>F20*O20</f>
        <v>0</v>
      </c>
      <c r="V20" s="61">
        <f>H20*P20</f>
        <v>31752</v>
      </c>
    </row>
    <row r="21" spans="1:22" ht="15.75">
      <c r="A21" s="17"/>
      <c r="B21" s="1" t="s">
        <v>33</v>
      </c>
      <c r="C21" s="33">
        <v>87.9</v>
      </c>
      <c r="D21" s="33">
        <v>66</v>
      </c>
      <c r="E21" s="33">
        <v>62.2</v>
      </c>
      <c r="F21" s="33">
        <v>42.3</v>
      </c>
      <c r="G21" s="33"/>
      <c r="H21" s="71">
        <v>65.6</v>
      </c>
      <c r="I21" s="22">
        <f>(+H21)/'AAUP 07_08'!H21-1</f>
        <v>0.012345679012345734</v>
      </c>
      <c r="J21" s="23"/>
      <c r="K21" s="49"/>
      <c r="L21" s="20">
        <f>105+34</f>
        <v>139</v>
      </c>
      <c r="M21" s="20">
        <f>53+31</f>
        <v>84</v>
      </c>
      <c r="N21" s="20">
        <f>62+37</f>
        <v>99</v>
      </c>
      <c r="O21" s="20">
        <f>39+81</f>
        <v>120</v>
      </c>
      <c r="P21" s="20">
        <f t="shared" si="0"/>
        <v>442</v>
      </c>
      <c r="Q21" s="20"/>
      <c r="R21" s="46">
        <f t="shared" si="1"/>
        <v>12218.1</v>
      </c>
      <c r="S21" s="46">
        <f t="shared" si="2"/>
        <v>5544</v>
      </c>
      <c r="T21" s="46">
        <f t="shared" si="3"/>
        <v>6157.8</v>
      </c>
      <c r="U21" s="46">
        <f t="shared" si="4"/>
        <v>5076</v>
      </c>
      <c r="V21" s="46">
        <f t="shared" si="5"/>
        <v>28995.199999999997</v>
      </c>
    </row>
    <row r="22" spans="1:22" ht="15.75">
      <c r="A22" s="17"/>
      <c r="B22" s="1" t="s">
        <v>6</v>
      </c>
      <c r="C22" s="33">
        <v>127.3</v>
      </c>
      <c r="D22" s="33">
        <v>85.6</v>
      </c>
      <c r="E22" s="33">
        <v>71.1</v>
      </c>
      <c r="F22" s="33">
        <v>44.5</v>
      </c>
      <c r="G22" s="33"/>
      <c r="H22" s="71">
        <v>87.3</v>
      </c>
      <c r="I22" s="22">
        <f>(+H22)/'AAUP 07_08'!H22-1</f>
        <v>0.04801920768307322</v>
      </c>
      <c r="J22" s="23"/>
      <c r="K22" s="49"/>
      <c r="L22" s="20">
        <f>378+114</f>
        <v>492</v>
      </c>
      <c r="M22" s="20">
        <f>293+132</f>
        <v>425</v>
      </c>
      <c r="N22" s="20">
        <f>248+264</f>
        <v>512</v>
      </c>
      <c r="O22" s="20">
        <f>31+68</f>
        <v>99</v>
      </c>
      <c r="P22" s="20">
        <f t="shared" si="0"/>
        <v>1528</v>
      </c>
      <c r="Q22" s="20"/>
      <c r="R22" s="46">
        <f t="shared" si="1"/>
        <v>62631.6</v>
      </c>
      <c r="S22" s="46">
        <f t="shared" si="2"/>
        <v>36380</v>
      </c>
      <c r="T22" s="46">
        <f t="shared" si="3"/>
        <v>36403.2</v>
      </c>
      <c r="U22" s="46">
        <f t="shared" si="4"/>
        <v>4405.5</v>
      </c>
      <c r="V22" s="46">
        <f t="shared" si="5"/>
        <v>133394.4</v>
      </c>
    </row>
    <row r="23" spans="1:22" ht="15.75">
      <c r="A23" s="17"/>
      <c r="B23" s="1" t="s">
        <v>34</v>
      </c>
      <c r="C23" s="33">
        <v>88.7</v>
      </c>
      <c r="D23" s="33">
        <v>67.8</v>
      </c>
      <c r="E23" s="33">
        <v>55.7</v>
      </c>
      <c r="F23" s="33">
        <v>39.8</v>
      </c>
      <c r="G23" s="33"/>
      <c r="H23" s="71">
        <v>66.6</v>
      </c>
      <c r="I23" s="22">
        <f>(+H23)/'AAUP 07_08'!H23-1</f>
        <v>0.0690208667736758</v>
      </c>
      <c r="J23" s="23"/>
      <c r="K23" s="49"/>
      <c r="L23" s="20">
        <f>151+64</f>
        <v>215</v>
      </c>
      <c r="M23" s="20">
        <f>106+71</f>
        <v>177</v>
      </c>
      <c r="N23" s="20">
        <f>84+86</f>
        <v>170</v>
      </c>
      <c r="O23" s="20">
        <f>36+73</f>
        <v>109</v>
      </c>
      <c r="P23" s="20">
        <f t="shared" si="0"/>
        <v>671</v>
      </c>
      <c r="Q23" s="20"/>
      <c r="R23" s="46">
        <f t="shared" si="1"/>
        <v>19070.5</v>
      </c>
      <c r="S23" s="46">
        <f t="shared" si="2"/>
        <v>12000.6</v>
      </c>
      <c r="T23" s="46">
        <f t="shared" si="3"/>
        <v>9469</v>
      </c>
      <c r="U23" s="46">
        <f t="shared" si="4"/>
        <v>4338.2</v>
      </c>
      <c r="V23" s="46">
        <f t="shared" si="5"/>
        <v>44688.6</v>
      </c>
    </row>
    <row r="24" spans="1:22" ht="15.75">
      <c r="A24" s="17"/>
      <c r="B24" s="1" t="s">
        <v>35</v>
      </c>
      <c r="C24" s="33">
        <v>122.9</v>
      </c>
      <c r="D24" s="33">
        <v>87.3</v>
      </c>
      <c r="E24" s="33">
        <v>62.1</v>
      </c>
      <c r="F24" s="33">
        <v>52.5</v>
      </c>
      <c r="G24" s="33"/>
      <c r="H24" s="71">
        <v>86.8</v>
      </c>
      <c r="I24" s="22">
        <f>(+H24)/'AAUP 07_08'!H24-1</f>
        <v>0</v>
      </c>
      <c r="J24" s="23"/>
      <c r="K24" s="49"/>
      <c r="L24" s="20">
        <f>327+87</f>
        <v>414</v>
      </c>
      <c r="M24" s="20">
        <f>229+171</f>
        <v>400</v>
      </c>
      <c r="N24" s="20">
        <f>262+201</f>
        <v>463</v>
      </c>
      <c r="O24" s="20">
        <f>50+56</f>
        <v>106</v>
      </c>
      <c r="P24" s="20">
        <f t="shared" si="0"/>
        <v>1383</v>
      </c>
      <c r="Q24" s="20"/>
      <c r="R24" s="46">
        <f t="shared" si="1"/>
        <v>50880.600000000006</v>
      </c>
      <c r="S24" s="46">
        <f t="shared" si="2"/>
        <v>34920</v>
      </c>
      <c r="T24" s="46">
        <f t="shared" si="3"/>
        <v>28752.3</v>
      </c>
      <c r="U24" s="46">
        <f t="shared" si="4"/>
        <v>5565</v>
      </c>
      <c r="V24" s="46">
        <f t="shared" si="5"/>
        <v>120044.4</v>
      </c>
    </row>
    <row r="25" spans="1:22" ht="15.75">
      <c r="A25" s="17"/>
      <c r="B25" s="1" t="s">
        <v>36</v>
      </c>
      <c r="C25" s="33">
        <v>94.3</v>
      </c>
      <c r="D25" s="33">
        <v>70.2</v>
      </c>
      <c r="E25" s="33">
        <v>61.9</v>
      </c>
      <c r="F25" s="33">
        <v>50.4</v>
      </c>
      <c r="G25" s="33"/>
      <c r="H25" s="71">
        <v>67.3</v>
      </c>
      <c r="I25" s="22">
        <f>(+H25)/'AAUP 07_08'!H25-1</f>
        <v>-0.0014836795252226587</v>
      </c>
      <c r="J25" s="23"/>
      <c r="K25" s="49"/>
      <c r="L25" s="20">
        <f>169+51</f>
        <v>220</v>
      </c>
      <c r="M25" s="20">
        <f>149+80</f>
        <v>229</v>
      </c>
      <c r="N25" s="20">
        <f>91+80</f>
        <v>171</v>
      </c>
      <c r="O25" s="20">
        <f>4+21</f>
        <v>25</v>
      </c>
      <c r="P25" s="20">
        <f t="shared" si="0"/>
        <v>645</v>
      </c>
      <c r="Q25" s="20"/>
      <c r="R25" s="46">
        <f t="shared" si="1"/>
        <v>20746</v>
      </c>
      <c r="S25" s="46">
        <f t="shared" si="2"/>
        <v>16075.800000000001</v>
      </c>
      <c r="T25" s="46">
        <f t="shared" si="3"/>
        <v>10584.9</v>
      </c>
      <c r="U25" s="46">
        <f t="shared" si="4"/>
        <v>1260</v>
      </c>
      <c r="V25" s="46">
        <f t="shared" si="5"/>
        <v>43408.5</v>
      </c>
    </row>
    <row r="26" spans="1:22" ht="15.75">
      <c r="A26" s="17"/>
      <c r="B26" s="70" t="s">
        <v>37</v>
      </c>
      <c r="C26" s="33">
        <v>112.7</v>
      </c>
      <c r="D26" s="33">
        <v>80.6</v>
      </c>
      <c r="E26" s="33">
        <v>65.5</v>
      </c>
      <c r="F26" s="33">
        <v>48.5</v>
      </c>
      <c r="G26" s="33"/>
      <c r="H26" s="71">
        <v>78</v>
      </c>
      <c r="I26" s="22">
        <f>(+H26)/'AAUP 07_08'!H26-1</f>
        <v>0</v>
      </c>
      <c r="J26" s="23"/>
      <c r="K26" s="49"/>
      <c r="L26" s="20">
        <f>227+73</f>
        <v>300</v>
      </c>
      <c r="M26" s="20">
        <f>214+149</f>
        <v>363</v>
      </c>
      <c r="N26" s="20">
        <f>238+248</f>
        <v>486</v>
      </c>
      <c r="O26" s="20">
        <f>67+115</f>
        <v>182</v>
      </c>
      <c r="P26" s="20">
        <f t="shared" si="0"/>
        <v>1331</v>
      </c>
      <c r="Q26" s="20"/>
      <c r="R26" s="46">
        <f t="shared" si="1"/>
        <v>33810</v>
      </c>
      <c r="S26" s="46">
        <f t="shared" si="2"/>
        <v>29257.8</v>
      </c>
      <c r="T26" s="46">
        <f t="shared" si="3"/>
        <v>31833</v>
      </c>
      <c r="U26" s="46">
        <f t="shared" si="4"/>
        <v>8827</v>
      </c>
      <c r="V26" s="46">
        <f t="shared" si="5"/>
        <v>103818</v>
      </c>
    </row>
    <row r="27" spans="1:22" ht="15.75">
      <c r="A27" s="17"/>
      <c r="B27" s="70" t="s">
        <v>39</v>
      </c>
      <c r="C27" s="33">
        <v>110.9</v>
      </c>
      <c r="D27" s="33">
        <v>84.2</v>
      </c>
      <c r="E27" s="33">
        <v>69</v>
      </c>
      <c r="F27" s="33">
        <v>65.5</v>
      </c>
      <c r="G27" s="33"/>
      <c r="H27" s="71">
        <v>82.6</v>
      </c>
      <c r="I27" s="22">
        <f>(+H27)/'AAUP 07_08'!H27-1</f>
        <v>0.03379224030037542</v>
      </c>
      <c r="J27" s="23"/>
      <c r="K27" s="49"/>
      <c r="L27" s="20">
        <f>237+55</f>
        <v>292</v>
      </c>
      <c r="M27" s="20">
        <f>164+112</f>
        <v>276</v>
      </c>
      <c r="N27" s="20">
        <f>140+143</f>
        <v>283</v>
      </c>
      <c r="O27" s="20">
        <f>3+29</f>
        <v>32</v>
      </c>
      <c r="P27" s="20">
        <f t="shared" si="0"/>
        <v>883</v>
      </c>
      <c r="Q27" s="20"/>
      <c r="R27" s="46">
        <f t="shared" si="1"/>
        <v>32382.800000000003</v>
      </c>
      <c r="S27" s="46">
        <f t="shared" si="2"/>
        <v>23239.2</v>
      </c>
      <c r="T27" s="46">
        <f t="shared" si="3"/>
        <v>19527</v>
      </c>
      <c r="U27" s="46">
        <f t="shared" si="4"/>
        <v>2096</v>
      </c>
      <c r="V27" s="46">
        <f t="shared" si="5"/>
        <v>72935.79999999999</v>
      </c>
    </row>
    <row r="28" spans="1:22" s="77" customFormat="1" ht="15.75">
      <c r="A28" s="69"/>
      <c r="B28" s="70" t="s">
        <v>24</v>
      </c>
      <c r="C28" s="71">
        <v>93.7</v>
      </c>
      <c r="D28" s="71">
        <v>71</v>
      </c>
      <c r="E28" s="71">
        <v>63.5</v>
      </c>
      <c r="F28" s="71">
        <v>52.1</v>
      </c>
      <c r="G28" s="71"/>
      <c r="H28" s="71">
        <v>68.9</v>
      </c>
      <c r="I28" s="22">
        <f>(+H28)/'AAUP 07_08'!H28-1</f>
        <v>0.02377414561664204</v>
      </c>
      <c r="J28" s="73"/>
      <c r="K28" s="74"/>
      <c r="L28" s="75">
        <f>149+77</f>
        <v>226</v>
      </c>
      <c r="M28" s="75">
        <f>180+122</f>
        <v>302</v>
      </c>
      <c r="N28" s="75">
        <f>125+153</f>
        <v>278</v>
      </c>
      <c r="O28" s="75">
        <f>4+9</f>
        <v>13</v>
      </c>
      <c r="P28" s="75">
        <f t="shared" si="0"/>
        <v>819</v>
      </c>
      <c r="Q28" s="75"/>
      <c r="R28" s="76">
        <f t="shared" si="1"/>
        <v>21176.2</v>
      </c>
      <c r="S28" s="76">
        <f t="shared" si="2"/>
        <v>21442</v>
      </c>
      <c r="T28" s="76">
        <f t="shared" si="3"/>
        <v>17653</v>
      </c>
      <c r="U28" s="76">
        <f t="shared" si="4"/>
        <v>677.3000000000001</v>
      </c>
      <c r="V28" s="76">
        <f t="shared" si="5"/>
        <v>56429.100000000006</v>
      </c>
    </row>
    <row r="29" spans="1:22" s="77" customFormat="1" ht="15.75">
      <c r="A29" s="69"/>
      <c r="B29" s="70"/>
      <c r="C29" s="71"/>
      <c r="D29" s="71"/>
      <c r="E29" s="71"/>
      <c r="F29" s="71"/>
      <c r="G29" s="71"/>
      <c r="H29" s="71"/>
      <c r="I29" s="75"/>
      <c r="J29" s="73"/>
      <c r="K29" s="74"/>
      <c r="L29" s="75"/>
      <c r="M29" s="75"/>
      <c r="N29" s="75"/>
      <c r="O29" s="75"/>
      <c r="P29" s="75"/>
      <c r="Q29" s="75"/>
      <c r="R29" s="76"/>
      <c r="S29" s="76"/>
      <c r="T29" s="76"/>
      <c r="U29" s="76"/>
      <c r="V29" s="76"/>
    </row>
    <row r="30" spans="1:22" s="77" customFormat="1" ht="15.75">
      <c r="A30" s="69"/>
      <c r="B30" s="78" t="s">
        <v>42</v>
      </c>
      <c r="C30" s="71">
        <f aca="true" t="shared" si="6" ref="C30:F31">R30/L30</f>
        <v>109.33369544858587</v>
      </c>
      <c r="D30" s="71">
        <f t="shared" si="6"/>
        <v>77.9107810781078</v>
      </c>
      <c r="E30" s="71">
        <f t="shared" si="6"/>
        <v>65.42298524404087</v>
      </c>
      <c r="F30" s="71">
        <f t="shared" si="6"/>
        <v>47.22785030461271</v>
      </c>
      <c r="G30" s="71"/>
      <c r="H30" s="71">
        <f>V30/P30</f>
        <v>78.88659739958207</v>
      </c>
      <c r="I30" s="22">
        <f>(+H30)/'AAUP 07_08'!H30-1</f>
        <v>0.02704301594721592</v>
      </c>
      <c r="J30" s="73"/>
      <c r="K30" s="74"/>
      <c r="L30" s="79">
        <f>SUM(L8:L28)</f>
        <v>5339</v>
      </c>
      <c r="M30" s="79">
        <f>SUM(M8:M28)</f>
        <v>5454</v>
      </c>
      <c r="N30" s="79">
        <f>SUM(N8:N28)</f>
        <v>5286</v>
      </c>
      <c r="O30" s="79">
        <f>SUM(O8:O28)</f>
        <v>1149</v>
      </c>
      <c r="P30" s="79">
        <f>SUM(L30:O30)</f>
        <v>17228</v>
      </c>
      <c r="Q30" s="75"/>
      <c r="R30" s="76">
        <f>SUM(R8:R28)</f>
        <v>583732.6</v>
      </c>
      <c r="S30" s="76">
        <f>SUM(S8:S28)</f>
        <v>424925.39999999997</v>
      </c>
      <c r="T30" s="76">
        <f>SUM(T8:T28)</f>
        <v>345825.9</v>
      </c>
      <c r="U30" s="76">
        <f>SUM(U8:U28)</f>
        <v>54264.8</v>
      </c>
      <c r="V30" s="76">
        <f>SUM(V8:V28)</f>
        <v>1359058.3</v>
      </c>
    </row>
    <row r="31" spans="1:22" s="77" customFormat="1" ht="15.75">
      <c r="A31" s="69"/>
      <c r="B31" s="78" t="s">
        <v>43</v>
      </c>
      <c r="C31" s="71">
        <f t="shared" si="6"/>
        <v>109.78516689709657</v>
      </c>
      <c r="D31" s="71">
        <f t="shared" si="6"/>
        <v>78.31849597486746</v>
      </c>
      <c r="E31" s="71">
        <f t="shared" si="6"/>
        <v>65.71618332995335</v>
      </c>
      <c r="F31" s="71">
        <f t="shared" si="6"/>
        <v>47.22785030461271</v>
      </c>
      <c r="G31" s="71"/>
      <c r="H31" s="71">
        <f>V31/P31</f>
        <v>79.04325572801183</v>
      </c>
      <c r="I31" s="22">
        <f>(+H31)/'AAUP 07_08'!H31-1</f>
        <v>0.02552233927566383</v>
      </c>
      <c r="J31" s="73"/>
      <c r="K31" s="74"/>
      <c r="L31" s="75">
        <f>L30-(L19+L20)</f>
        <v>5063</v>
      </c>
      <c r="M31" s="75">
        <f>M30-(M19+M20)</f>
        <v>5093</v>
      </c>
      <c r="N31" s="75">
        <f>N30-(N19+N20)</f>
        <v>4931</v>
      </c>
      <c r="O31" s="75">
        <f>O30-(O19+O20)</f>
        <v>1149</v>
      </c>
      <c r="P31" s="75">
        <f>SUM(L31:O31)</f>
        <v>16236</v>
      </c>
      <c r="Q31" s="75"/>
      <c r="R31" s="76">
        <f>R30-(R19+R20)</f>
        <v>555842.2999999999</v>
      </c>
      <c r="S31" s="76">
        <f>S30-(S19+S20)</f>
        <v>398876.1</v>
      </c>
      <c r="T31" s="76">
        <f>T30-(T19+T20)</f>
        <v>324046.5</v>
      </c>
      <c r="U31" s="76">
        <f>U30-(U19+U20)</f>
        <v>54264.8</v>
      </c>
      <c r="V31" s="76">
        <f>V30-(V19+V20)</f>
        <v>1283346.3</v>
      </c>
    </row>
    <row r="32" spans="1:22" ht="15.75">
      <c r="A32" s="17"/>
      <c r="B32" s="1"/>
      <c r="C32" s="33"/>
      <c r="D32" s="33"/>
      <c r="E32" s="33"/>
      <c r="F32" s="33"/>
      <c r="G32" s="33"/>
      <c r="H32" s="71"/>
      <c r="I32" s="20"/>
      <c r="J32" s="23"/>
      <c r="K32" s="49"/>
      <c r="L32" s="20"/>
      <c r="M32" s="20"/>
      <c r="N32" s="20"/>
      <c r="O32" s="20"/>
      <c r="P32" s="20"/>
      <c r="Q32" s="20"/>
      <c r="R32" s="46"/>
      <c r="S32" s="20"/>
      <c r="T32" s="20"/>
      <c r="U32" s="20"/>
      <c r="V32" s="20"/>
    </row>
    <row r="33" spans="1:24" ht="15.75">
      <c r="A33" s="17"/>
      <c r="B33" s="1" t="s">
        <v>5</v>
      </c>
      <c r="C33" s="41">
        <v>111.2</v>
      </c>
      <c r="D33" s="41">
        <v>75.3</v>
      </c>
      <c r="E33" s="41">
        <v>61.1</v>
      </c>
      <c r="F33" s="41"/>
      <c r="G33" s="41"/>
      <c r="H33" s="88">
        <v>81.6</v>
      </c>
      <c r="I33" s="22">
        <f>(+H33)/'AAUP 07_08'!H33-1</f>
        <v>0.07227332457293034</v>
      </c>
      <c r="J33" s="55"/>
      <c r="K33" s="57"/>
      <c r="L33" s="47">
        <f>257+79</f>
        <v>336</v>
      </c>
      <c r="M33" s="47">
        <f>222+139</f>
        <v>361</v>
      </c>
      <c r="N33" s="47">
        <f>186+188</f>
        <v>374</v>
      </c>
      <c r="O33" s="47"/>
      <c r="P33" s="47">
        <f>SUM(L33:O33)</f>
        <v>1071</v>
      </c>
      <c r="Q33" s="47"/>
      <c r="R33" s="56">
        <f aca="true" t="shared" si="7" ref="R33:U36">C33*L33</f>
        <v>37363.200000000004</v>
      </c>
      <c r="S33" s="56">
        <f t="shared" si="7"/>
        <v>27183.3</v>
      </c>
      <c r="T33" s="56">
        <f t="shared" si="7"/>
        <v>22851.4</v>
      </c>
      <c r="U33" s="56">
        <f t="shared" si="7"/>
        <v>0</v>
      </c>
      <c r="V33" s="91">
        <f>H33*P33</f>
        <v>87393.59999999999</v>
      </c>
      <c r="X33" s="16"/>
    </row>
    <row r="34" spans="1:24" ht="15.75">
      <c r="A34" s="17"/>
      <c r="B34" s="1" t="s">
        <v>7</v>
      </c>
      <c r="C34" s="33">
        <v>106.7</v>
      </c>
      <c r="D34" s="33">
        <v>75.5</v>
      </c>
      <c r="E34" s="33">
        <v>62.4</v>
      </c>
      <c r="F34" s="33"/>
      <c r="G34" s="33"/>
      <c r="H34" s="71">
        <v>78.5</v>
      </c>
      <c r="I34" s="22">
        <f>(+H34)/'AAUP 07_08'!H34-1</f>
        <v>0.04249667994687911</v>
      </c>
      <c r="J34" s="23"/>
      <c r="K34" s="49"/>
      <c r="L34" s="20">
        <f>108+37</f>
        <v>145</v>
      </c>
      <c r="M34" s="20">
        <f>113+85</f>
        <v>198</v>
      </c>
      <c r="N34" s="20">
        <f>115+102</f>
        <v>217</v>
      </c>
      <c r="O34" s="20"/>
      <c r="P34" s="20">
        <f>SUM(L34:O34)</f>
        <v>560</v>
      </c>
      <c r="Q34" s="20"/>
      <c r="R34" s="46">
        <f t="shared" si="7"/>
        <v>15471.5</v>
      </c>
      <c r="S34" s="46">
        <f t="shared" si="7"/>
        <v>14949</v>
      </c>
      <c r="T34" s="46">
        <f t="shared" si="7"/>
        <v>13540.8</v>
      </c>
      <c r="U34" s="46">
        <f t="shared" si="7"/>
        <v>0</v>
      </c>
      <c r="V34" s="21">
        <f>H34*P34</f>
        <v>43960</v>
      </c>
      <c r="X34" s="16"/>
    </row>
    <row r="35" spans="1:24" ht="15.75">
      <c r="A35" s="17"/>
      <c r="B35" s="1" t="s">
        <v>20</v>
      </c>
      <c r="C35" s="33">
        <v>110</v>
      </c>
      <c r="D35" s="33">
        <v>80.7</v>
      </c>
      <c r="E35" s="33">
        <v>71.2</v>
      </c>
      <c r="F35" s="33"/>
      <c r="G35" s="33"/>
      <c r="H35" s="71">
        <v>89.9</v>
      </c>
      <c r="I35" s="22">
        <f>(+H35)/'AAUP 07_08'!H35-1</f>
        <v>0.06264775413711599</v>
      </c>
      <c r="J35" s="23"/>
      <c r="K35" s="49"/>
      <c r="L35" s="49">
        <f>111+10</f>
        <v>121</v>
      </c>
      <c r="M35" s="49">
        <f>77+12</f>
        <v>89</v>
      </c>
      <c r="N35" s="49">
        <f>59+27</f>
        <v>86</v>
      </c>
      <c r="O35" s="20"/>
      <c r="P35" s="20">
        <f>SUM(L35:O35)</f>
        <v>296</v>
      </c>
      <c r="Q35" s="20"/>
      <c r="R35" s="46">
        <f t="shared" si="7"/>
        <v>13310</v>
      </c>
      <c r="S35" s="46">
        <f t="shared" si="7"/>
        <v>7182.3</v>
      </c>
      <c r="T35" s="46">
        <f t="shared" si="7"/>
        <v>6123.2</v>
      </c>
      <c r="U35" s="46">
        <f t="shared" si="7"/>
        <v>0</v>
      </c>
      <c r="V35" s="21">
        <f>H35*P35</f>
        <v>26610.4</v>
      </c>
      <c r="X35" s="16"/>
    </row>
    <row r="36" spans="1:24" ht="15.75">
      <c r="A36" s="17"/>
      <c r="B36" s="5" t="s">
        <v>9</v>
      </c>
      <c r="C36" s="38">
        <v>94.8</v>
      </c>
      <c r="D36" s="38">
        <v>68.1</v>
      </c>
      <c r="E36" s="38">
        <v>59.7</v>
      </c>
      <c r="F36" s="38"/>
      <c r="G36" s="38"/>
      <c r="H36" s="89">
        <v>73.5</v>
      </c>
      <c r="I36" s="22">
        <f>(+H36)/'AAUP 07_08'!H36-1</f>
        <v>0.0683139534883721</v>
      </c>
      <c r="J36" s="23"/>
      <c r="K36" s="49"/>
      <c r="L36" s="26">
        <f>99+32</f>
        <v>131</v>
      </c>
      <c r="M36" s="26">
        <f>87+76</f>
        <v>163</v>
      </c>
      <c r="N36" s="26">
        <f>53+85</f>
        <v>138</v>
      </c>
      <c r="O36" s="26"/>
      <c r="P36" s="26">
        <f>SUM(L36:O36)</f>
        <v>432</v>
      </c>
      <c r="Q36" s="26"/>
      <c r="R36" s="51">
        <f t="shared" si="7"/>
        <v>12418.8</v>
      </c>
      <c r="S36" s="51">
        <f t="shared" si="7"/>
        <v>11100.3</v>
      </c>
      <c r="T36" s="51">
        <f t="shared" si="7"/>
        <v>8238.6</v>
      </c>
      <c r="U36" s="51">
        <f t="shared" si="7"/>
        <v>0</v>
      </c>
      <c r="V36" s="52">
        <f>H36*P36</f>
        <v>31752</v>
      </c>
      <c r="X36" s="16"/>
    </row>
    <row r="37" spans="1:24" ht="15.75">
      <c r="A37" s="17"/>
      <c r="B37" s="7" t="s">
        <v>16</v>
      </c>
      <c r="C37" s="33">
        <f>R37/L37</f>
        <v>107.18076398362894</v>
      </c>
      <c r="D37" s="33">
        <f>S37/M37</f>
        <v>74.49432799013564</v>
      </c>
      <c r="E37" s="33">
        <f>T37/N37</f>
        <v>62.27484662576686</v>
      </c>
      <c r="F37" s="33"/>
      <c r="G37" s="33"/>
      <c r="H37" s="71">
        <f>V37/P37</f>
        <v>80.42221280203475</v>
      </c>
      <c r="I37" s="22">
        <f>(+H37)/'AAUP 07_08'!H37-1</f>
        <v>0.06366812781142217</v>
      </c>
      <c r="J37" s="23"/>
      <c r="K37" s="49"/>
      <c r="L37" s="20">
        <f>SUM(L33:L36)</f>
        <v>733</v>
      </c>
      <c r="M37" s="20">
        <f>SUM(M33:M36)</f>
        <v>811</v>
      </c>
      <c r="N37" s="20">
        <f>SUM(N33:N36)</f>
        <v>815</v>
      </c>
      <c r="O37" s="20">
        <f>SUM(O33:O36)</f>
        <v>0</v>
      </c>
      <c r="P37" s="20">
        <f>SUM(P33:P36)</f>
        <v>2359</v>
      </c>
      <c r="Q37" s="20"/>
      <c r="R37" s="46">
        <f>SUM(R33:R36)</f>
        <v>78563.50000000001</v>
      </c>
      <c r="S37" s="46">
        <f>SUM(S33:S36)</f>
        <v>60414.90000000001</v>
      </c>
      <c r="T37" s="46">
        <f>SUM(T33:T36)</f>
        <v>50753.99999999999</v>
      </c>
      <c r="U37" s="46">
        <f>SUM(U33:U36)</f>
        <v>0</v>
      </c>
      <c r="V37" s="46">
        <f>SUM(V33:V36)</f>
        <v>189715.99999999997</v>
      </c>
      <c r="X37" s="16"/>
    </row>
    <row r="38" spans="1:11" ht="15.75">
      <c r="A38" s="17"/>
      <c r="B38" s="7" t="s">
        <v>46</v>
      </c>
      <c r="C38" s="22">
        <f>C31/C37-1</f>
        <v>0.02429916355014461</v>
      </c>
      <c r="D38" s="22">
        <f>D31/D37-1</f>
        <v>0.051335022248112594</v>
      </c>
      <c r="E38" s="22">
        <f>E31/E37-1</f>
        <v>0.05526046053339617</v>
      </c>
      <c r="F38" s="22"/>
      <c r="G38" s="33"/>
      <c r="H38" s="72">
        <f>H31/H37-1</f>
        <v>-0.017146470185013807</v>
      </c>
      <c r="J38" s="18"/>
      <c r="K38" s="31"/>
    </row>
    <row r="39" spans="1:29" ht="16.5" thickBot="1">
      <c r="A39" s="17"/>
      <c r="B39" s="2"/>
      <c r="C39" s="32"/>
      <c r="D39" s="32"/>
      <c r="E39" s="32"/>
      <c r="F39" s="32"/>
      <c r="G39" s="32"/>
      <c r="H39" s="83"/>
      <c r="I39" s="19"/>
      <c r="J39" s="18"/>
      <c r="K39" s="31"/>
      <c r="L39" s="31"/>
      <c r="M39" s="31"/>
      <c r="N39" s="31"/>
      <c r="O39" s="31"/>
      <c r="P39" s="31"/>
      <c r="Q39" s="31"/>
      <c r="R39" s="5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6.5" thickTop="1">
      <c r="A40" s="17"/>
      <c r="B40" s="15" t="s">
        <v>17</v>
      </c>
      <c r="C40" s="33"/>
      <c r="D40" s="33"/>
      <c r="E40" s="33"/>
      <c r="F40" s="33"/>
      <c r="G40" s="33"/>
      <c r="H40" s="71"/>
      <c r="J40" s="18"/>
      <c r="K40" s="31"/>
      <c r="L40" s="31"/>
      <c r="M40" s="31"/>
      <c r="N40" s="31"/>
      <c r="O40" s="31"/>
      <c r="P40" s="31"/>
      <c r="Q40" s="31"/>
      <c r="R40" s="5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5.75">
      <c r="A41" s="17"/>
      <c r="B41" s="80"/>
      <c r="C41" s="33"/>
      <c r="D41" s="33"/>
      <c r="E41" s="33"/>
      <c r="F41" s="33"/>
      <c r="G41" s="33"/>
      <c r="H41" s="71"/>
      <c r="J41" s="18"/>
      <c r="K41" s="31"/>
      <c r="L41" s="31"/>
      <c r="M41" s="31"/>
      <c r="N41" s="31"/>
      <c r="O41" s="31"/>
      <c r="P41" s="31"/>
      <c r="Q41" s="31"/>
      <c r="R41" s="5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5.75">
      <c r="A42" s="17"/>
      <c r="B42" s="1"/>
      <c r="C42" s="33"/>
      <c r="D42" s="33"/>
      <c r="E42" s="33"/>
      <c r="F42" s="33"/>
      <c r="G42" s="33"/>
      <c r="H42" s="71"/>
      <c r="J42" s="18"/>
      <c r="K42" s="31"/>
      <c r="L42" s="31"/>
      <c r="M42" s="31"/>
      <c r="N42" s="31"/>
      <c r="O42" s="31"/>
      <c r="P42" s="31"/>
      <c r="Q42" s="31"/>
      <c r="R42" s="5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11" ht="15.75">
      <c r="A43" s="27"/>
      <c r="B43" s="28"/>
      <c r="C43" s="39"/>
      <c r="D43" s="39"/>
      <c r="E43" s="39"/>
      <c r="F43" s="39"/>
      <c r="G43" s="39"/>
      <c r="H43" s="89"/>
      <c r="I43" s="29" t="s">
        <v>21</v>
      </c>
      <c r="J43" s="30"/>
      <c r="K43" s="31"/>
    </row>
  </sheetData>
  <sheetProtection/>
  <mergeCells count="2">
    <mergeCell ref="B2:I2"/>
    <mergeCell ref="B1:I1"/>
  </mergeCells>
  <printOptions/>
  <pageMargins left="0.75" right="0.5" top="0.5" bottom="0.5" header="0.5" footer="0.5"/>
  <pageSetup horizontalDpi="300" verticalDpi="3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5.75"/>
  <cols>
    <col min="1" max="1" width="2.625" style="15" customWidth="1"/>
    <col min="2" max="2" width="42.75390625" style="15" customWidth="1"/>
    <col min="3" max="6" width="11.375" style="40" customWidth="1"/>
    <col min="7" max="7" width="2.625" style="40" customWidth="1"/>
    <col min="8" max="8" width="11.375" style="90" customWidth="1"/>
    <col min="9" max="9" width="9.125" style="15" customWidth="1"/>
    <col min="10" max="11" width="2.625" style="15" customWidth="1"/>
    <col min="12" max="16" width="9.125" style="15" bestFit="1" customWidth="1"/>
    <col min="17" max="17" width="2.625" style="15" customWidth="1"/>
    <col min="18" max="18" width="11.375" style="42" bestFit="1" customWidth="1"/>
    <col min="19" max="19" width="9.75390625" style="15" customWidth="1"/>
    <col min="20" max="20" width="9.75390625" style="15" bestFit="1" customWidth="1"/>
    <col min="21" max="21" width="9.125" style="15" bestFit="1" customWidth="1"/>
    <col min="22" max="22" width="11.375" style="15" bestFit="1" customWidth="1"/>
    <col min="23" max="25" width="9.00390625" style="15" customWidth="1"/>
    <col min="26" max="26" width="9.125" style="15" bestFit="1" customWidth="1"/>
    <col min="27" max="16384" width="9.00390625" style="15" customWidth="1"/>
  </cols>
  <sheetData>
    <row r="1" spans="1:11" ht="15.75">
      <c r="A1" s="13"/>
      <c r="B1" s="113" t="s">
        <v>38</v>
      </c>
      <c r="C1" s="113"/>
      <c r="D1" s="113"/>
      <c r="E1" s="113"/>
      <c r="F1" s="113"/>
      <c r="G1" s="113"/>
      <c r="H1" s="113"/>
      <c r="I1" s="113"/>
      <c r="J1" s="14"/>
      <c r="K1" s="31"/>
    </row>
    <row r="2" spans="1:11" ht="15.75">
      <c r="A2" s="17"/>
      <c r="B2" s="114" t="s">
        <v>41</v>
      </c>
      <c r="C2" s="114"/>
      <c r="D2" s="114"/>
      <c r="E2" s="114"/>
      <c r="F2" s="114"/>
      <c r="G2" s="114"/>
      <c r="H2" s="114"/>
      <c r="I2" s="114"/>
      <c r="J2" s="18"/>
      <c r="K2" s="31"/>
    </row>
    <row r="3" spans="1:22" ht="16.5" thickBot="1">
      <c r="A3" s="17"/>
      <c r="B3" s="2"/>
      <c r="C3" s="32"/>
      <c r="D3" s="32"/>
      <c r="E3" s="32"/>
      <c r="F3" s="32"/>
      <c r="G3" s="32"/>
      <c r="H3" s="83"/>
      <c r="I3" s="19"/>
      <c r="J3" s="18"/>
      <c r="K3" s="31"/>
      <c r="L3" s="19"/>
      <c r="M3" s="19"/>
      <c r="N3" s="19"/>
      <c r="O3" s="19"/>
      <c r="P3" s="19"/>
      <c r="Q3" s="19"/>
      <c r="R3" s="43"/>
      <c r="S3" s="19"/>
      <c r="T3" s="19"/>
      <c r="U3" s="19"/>
      <c r="V3" s="19"/>
    </row>
    <row r="4" spans="1:11" ht="16.5" thickTop="1">
      <c r="A4" s="17"/>
      <c r="B4" s="1"/>
      <c r="C4" s="33"/>
      <c r="D4" s="33"/>
      <c r="E4" s="33"/>
      <c r="F4" s="33"/>
      <c r="G4" s="33"/>
      <c r="H4" s="71"/>
      <c r="J4" s="18"/>
      <c r="K4" s="31"/>
    </row>
    <row r="5" spans="1:22" ht="15.75">
      <c r="A5" s="11"/>
      <c r="B5" s="1"/>
      <c r="C5" s="34"/>
      <c r="D5" s="34"/>
      <c r="E5" s="34"/>
      <c r="F5" s="34"/>
      <c r="G5" s="34"/>
      <c r="H5" s="84" t="s">
        <v>10</v>
      </c>
      <c r="I5" s="3"/>
      <c r="J5" s="10"/>
      <c r="K5" s="48"/>
      <c r="L5" s="1"/>
      <c r="M5" s="1"/>
      <c r="N5" s="1"/>
      <c r="O5" s="1"/>
      <c r="P5" s="1"/>
      <c r="Q5" s="1"/>
      <c r="R5" s="44"/>
      <c r="S5" s="1"/>
      <c r="T5" s="1"/>
      <c r="U5" s="1"/>
      <c r="V5" s="1"/>
    </row>
    <row r="6" spans="1:26" ht="15.75">
      <c r="A6" s="11"/>
      <c r="B6" s="1"/>
      <c r="C6" s="35" t="s">
        <v>11</v>
      </c>
      <c r="D6" s="35"/>
      <c r="E6" s="35"/>
      <c r="F6" s="35"/>
      <c r="G6" s="35"/>
      <c r="H6" s="85"/>
      <c r="I6" s="7" t="s">
        <v>0</v>
      </c>
      <c r="J6" s="10"/>
      <c r="K6" s="48"/>
      <c r="L6" s="3" t="s">
        <v>12</v>
      </c>
      <c r="M6" s="3"/>
      <c r="N6" s="3"/>
      <c r="O6" s="3"/>
      <c r="P6" s="3"/>
      <c r="Q6" s="4"/>
      <c r="R6" s="45"/>
      <c r="S6" s="4"/>
      <c r="T6" s="4"/>
      <c r="U6" s="4"/>
      <c r="V6" s="4"/>
      <c r="X6" s="40"/>
      <c r="Y6" s="63">
        <v>2007</v>
      </c>
      <c r="Z6" s="42"/>
    </row>
    <row r="7" spans="1:26" ht="15.75">
      <c r="A7" s="11"/>
      <c r="B7" s="5"/>
      <c r="C7" s="36" t="s">
        <v>1</v>
      </c>
      <c r="D7" s="36" t="s">
        <v>2</v>
      </c>
      <c r="E7" s="36" t="s">
        <v>3</v>
      </c>
      <c r="F7" s="36" t="s">
        <v>4</v>
      </c>
      <c r="G7" s="37"/>
      <c r="H7" s="86" t="s">
        <v>13</v>
      </c>
      <c r="I7" s="8" t="s">
        <v>14</v>
      </c>
      <c r="J7" s="10"/>
      <c r="K7" s="48"/>
      <c r="L7" s="8" t="s">
        <v>1</v>
      </c>
      <c r="M7" s="8" t="s">
        <v>2</v>
      </c>
      <c r="N7" s="8" t="s">
        <v>3</v>
      </c>
      <c r="O7" s="8" t="s">
        <v>4</v>
      </c>
      <c r="P7" s="9" t="s">
        <v>15</v>
      </c>
      <c r="Q7" s="48"/>
      <c r="R7" s="8" t="s">
        <v>1</v>
      </c>
      <c r="S7" s="8" t="s">
        <v>2</v>
      </c>
      <c r="T7" s="8" t="s">
        <v>3</v>
      </c>
      <c r="U7" s="8" t="s">
        <v>4</v>
      </c>
      <c r="V7" s="9" t="s">
        <v>15</v>
      </c>
      <c r="X7" s="36" t="s">
        <v>13</v>
      </c>
      <c r="Y7" s="64" t="s">
        <v>18</v>
      </c>
      <c r="Z7" s="65" t="s">
        <v>15</v>
      </c>
    </row>
    <row r="8" spans="1:27" ht="15.75">
      <c r="A8" s="17"/>
      <c r="B8" s="1" t="s">
        <v>23</v>
      </c>
      <c r="C8" s="33">
        <v>110.8</v>
      </c>
      <c r="D8" s="33">
        <v>77.7</v>
      </c>
      <c r="E8" s="33">
        <v>64.4</v>
      </c>
      <c r="F8" s="33">
        <v>48.5</v>
      </c>
      <c r="G8" s="33"/>
      <c r="H8" s="71">
        <v>79</v>
      </c>
      <c r="I8" s="22">
        <f>(+H8)/X8-1</f>
        <v>0.06182795698924726</v>
      </c>
      <c r="J8" s="23"/>
      <c r="K8" s="49"/>
      <c r="L8" s="20">
        <f>126+41</f>
        <v>167</v>
      </c>
      <c r="M8" s="20">
        <f>119+76</f>
        <v>195</v>
      </c>
      <c r="N8" s="20">
        <f>87+108</f>
        <v>195</v>
      </c>
      <c r="O8" s="20">
        <f>31+41</f>
        <v>72</v>
      </c>
      <c r="P8" s="20">
        <f aca="true" t="shared" si="0" ref="P8:P28">SUM(L8:O8)</f>
        <v>629</v>
      </c>
      <c r="Q8" s="20"/>
      <c r="R8" s="46">
        <f aca="true" t="shared" si="1" ref="R8:R28">C8*L8</f>
        <v>18503.6</v>
      </c>
      <c r="S8" s="46">
        <f aca="true" t="shared" si="2" ref="S8:S28">D8*M8</f>
        <v>15151.5</v>
      </c>
      <c r="T8" s="46">
        <f aca="true" t="shared" si="3" ref="T8:T28">E8*N8</f>
        <v>12558.000000000002</v>
      </c>
      <c r="U8" s="46">
        <f aca="true" t="shared" si="4" ref="U8:U28">F8*O8</f>
        <v>3492</v>
      </c>
      <c r="V8" s="46">
        <f aca="true" t="shared" si="5" ref="V8:V28">H8*P8</f>
        <v>49691</v>
      </c>
      <c r="X8" s="42">
        <v>74.4</v>
      </c>
      <c r="Y8" s="16">
        <f>121+125+74+24+36+82+108+40</f>
        <v>610</v>
      </c>
      <c r="Z8" s="42">
        <f>X8*Y8</f>
        <v>45384</v>
      </c>
      <c r="AA8" s="1" t="s">
        <v>23</v>
      </c>
    </row>
    <row r="9" spans="1:27" ht="15.75">
      <c r="A9" s="17"/>
      <c r="B9" s="1" t="s">
        <v>25</v>
      </c>
      <c r="C9" s="33">
        <v>98.2</v>
      </c>
      <c r="D9" s="33">
        <v>70.6</v>
      </c>
      <c r="E9" s="33">
        <v>58.2</v>
      </c>
      <c r="F9" s="33">
        <v>45.5</v>
      </c>
      <c r="G9" s="33"/>
      <c r="H9" s="71">
        <v>77</v>
      </c>
      <c r="I9" s="22">
        <f aca="true" t="shared" si="6" ref="I9:I28">(+H9)/X9-1</f>
        <v>0.017173051519154603</v>
      </c>
      <c r="J9" s="23"/>
      <c r="K9" s="49"/>
      <c r="L9" s="20">
        <f>358+111</f>
        <v>469</v>
      </c>
      <c r="M9" s="20">
        <f>247+182</f>
        <v>429</v>
      </c>
      <c r="N9" s="20">
        <f>135+163</f>
        <v>298</v>
      </c>
      <c r="O9" s="20">
        <f>11+40</f>
        <v>51</v>
      </c>
      <c r="P9" s="20">
        <f t="shared" si="0"/>
        <v>1247</v>
      </c>
      <c r="Q9" s="20"/>
      <c r="R9" s="46">
        <f t="shared" si="1"/>
        <v>46055.8</v>
      </c>
      <c r="S9" s="46">
        <f t="shared" si="2"/>
        <v>30287.399999999998</v>
      </c>
      <c r="T9" s="46">
        <f t="shared" si="3"/>
        <v>17343.600000000002</v>
      </c>
      <c r="U9" s="46">
        <f t="shared" si="4"/>
        <v>2320.5</v>
      </c>
      <c r="V9" s="46">
        <f t="shared" si="5"/>
        <v>96019</v>
      </c>
      <c r="X9" s="42">
        <v>75.7</v>
      </c>
      <c r="Y9" s="16">
        <f>365+254+138+11+109+169+175+42</f>
        <v>1263</v>
      </c>
      <c r="Z9" s="42">
        <f aca="true" t="shared" si="7" ref="Z9:Z28">X9*Y9</f>
        <v>95609.1</v>
      </c>
      <c r="AA9" s="1" t="s">
        <v>25</v>
      </c>
    </row>
    <row r="10" spans="1:27" ht="15.75">
      <c r="A10" s="17"/>
      <c r="B10" s="1" t="s">
        <v>26</v>
      </c>
      <c r="C10" s="33">
        <v>96.6</v>
      </c>
      <c r="D10" s="33">
        <v>70.5</v>
      </c>
      <c r="E10" s="33">
        <v>56.7</v>
      </c>
      <c r="F10" s="33">
        <v>49.1</v>
      </c>
      <c r="G10" s="33"/>
      <c r="H10" s="71">
        <v>71.9</v>
      </c>
      <c r="I10" s="22">
        <f t="shared" si="6"/>
        <v>0.06360946745562157</v>
      </c>
      <c r="J10" s="23"/>
      <c r="K10" s="49"/>
      <c r="L10" s="20">
        <f>125+36</f>
        <v>161</v>
      </c>
      <c r="M10" s="20">
        <f>126+76</f>
        <v>202</v>
      </c>
      <c r="N10" s="20">
        <f>80+64</f>
        <v>144</v>
      </c>
      <c r="O10" s="20">
        <f>5+6</f>
        <v>11</v>
      </c>
      <c r="P10" s="20">
        <f t="shared" si="0"/>
        <v>518</v>
      </c>
      <c r="Q10" s="20"/>
      <c r="R10" s="46">
        <f t="shared" si="1"/>
        <v>15552.599999999999</v>
      </c>
      <c r="S10" s="46">
        <f t="shared" si="2"/>
        <v>14241</v>
      </c>
      <c r="T10" s="46">
        <f t="shared" si="3"/>
        <v>8164.8</v>
      </c>
      <c r="U10" s="46">
        <f t="shared" si="4"/>
        <v>540.1</v>
      </c>
      <c r="V10" s="46">
        <f t="shared" si="5"/>
        <v>37244.200000000004</v>
      </c>
      <c r="X10" s="42">
        <v>67.6</v>
      </c>
      <c r="Y10" s="16">
        <f>128+126+83+2+33+80+66+4</f>
        <v>522</v>
      </c>
      <c r="Z10" s="42">
        <f t="shared" si="7"/>
        <v>35287.2</v>
      </c>
      <c r="AA10" s="1" t="s">
        <v>26</v>
      </c>
    </row>
    <row r="11" spans="1:27" ht="15.75">
      <c r="A11" s="17"/>
      <c r="B11" s="1" t="s">
        <v>44</v>
      </c>
      <c r="C11" s="33">
        <v>104.9</v>
      </c>
      <c r="D11" s="33">
        <v>81</v>
      </c>
      <c r="E11" s="33">
        <v>68</v>
      </c>
      <c r="F11" s="33">
        <v>49.6</v>
      </c>
      <c r="G11" s="33"/>
      <c r="H11" s="71">
        <v>85.7</v>
      </c>
      <c r="I11" s="22">
        <f t="shared" si="6"/>
        <v>0.001168224299065601</v>
      </c>
      <c r="J11" s="23"/>
      <c r="K11" s="49"/>
      <c r="L11" s="20">
        <f>157+61</f>
        <v>218</v>
      </c>
      <c r="M11" s="20">
        <f>78+58</f>
        <v>136</v>
      </c>
      <c r="N11" s="20">
        <f>71+61</f>
        <v>132</v>
      </c>
      <c r="O11" s="20">
        <f>0+6</f>
        <v>6</v>
      </c>
      <c r="P11" s="20">
        <f>SUM(L11:O11)</f>
        <v>492</v>
      </c>
      <c r="Q11" s="20"/>
      <c r="R11" s="46">
        <f>C11*L11</f>
        <v>22868.2</v>
      </c>
      <c r="S11" s="46">
        <f>D11*M11</f>
        <v>11016</v>
      </c>
      <c r="T11" s="46">
        <f>E11*N11</f>
        <v>8976</v>
      </c>
      <c r="U11" s="46">
        <f>F11*O11</f>
        <v>297.6</v>
      </c>
      <c r="V11" s="46">
        <f>H11*P11</f>
        <v>42164.4</v>
      </c>
      <c r="X11" s="42">
        <v>85.6</v>
      </c>
      <c r="Y11" s="16">
        <f>160+77+74+0+65+55+63+7</f>
        <v>501</v>
      </c>
      <c r="Z11" s="42">
        <f t="shared" si="7"/>
        <v>42885.6</v>
      </c>
      <c r="AA11" s="1" t="s">
        <v>44</v>
      </c>
    </row>
    <row r="12" spans="1:27" ht="15.75">
      <c r="A12" s="17"/>
      <c r="B12" s="1" t="s">
        <v>40</v>
      </c>
      <c r="C12" s="33">
        <v>103.8</v>
      </c>
      <c r="D12" s="33">
        <v>76.5</v>
      </c>
      <c r="E12" s="33">
        <v>71.4</v>
      </c>
      <c r="F12" s="33">
        <v>53</v>
      </c>
      <c r="G12" s="33"/>
      <c r="H12" s="71">
        <v>78.5</v>
      </c>
      <c r="I12" s="22">
        <f t="shared" si="6"/>
        <v>0.03562005277044866</v>
      </c>
      <c r="J12" s="23"/>
      <c r="K12" s="49"/>
      <c r="L12" s="20">
        <f>164+51</f>
        <v>215</v>
      </c>
      <c r="M12" s="20">
        <f>181+106</f>
        <v>287</v>
      </c>
      <c r="N12" s="20">
        <f>119+88</f>
        <v>207</v>
      </c>
      <c r="O12" s="20">
        <f>53+42</f>
        <v>95</v>
      </c>
      <c r="P12" s="20">
        <f t="shared" si="0"/>
        <v>804</v>
      </c>
      <c r="Q12" s="20"/>
      <c r="R12" s="46">
        <f t="shared" si="1"/>
        <v>22317</v>
      </c>
      <c r="S12" s="46">
        <f t="shared" si="2"/>
        <v>21955.5</v>
      </c>
      <c r="T12" s="46">
        <f t="shared" si="3"/>
        <v>14779.800000000001</v>
      </c>
      <c r="U12" s="46">
        <f t="shared" si="4"/>
        <v>5035</v>
      </c>
      <c r="V12" s="46">
        <f t="shared" si="5"/>
        <v>63114</v>
      </c>
      <c r="X12" s="42">
        <v>75.8</v>
      </c>
      <c r="Y12" s="16">
        <f>155+171+114+36+41+94+71+35</f>
        <v>717</v>
      </c>
      <c r="Z12" s="42">
        <f t="shared" si="7"/>
        <v>54348.6</v>
      </c>
      <c r="AA12" s="1" t="s">
        <v>40</v>
      </c>
    </row>
    <row r="13" spans="1:27" ht="15.75">
      <c r="A13" s="17"/>
      <c r="B13" s="1" t="s">
        <v>27</v>
      </c>
      <c r="C13" s="33">
        <v>116.5</v>
      </c>
      <c r="D13" s="33">
        <v>74</v>
      </c>
      <c r="E13" s="33">
        <v>62.3</v>
      </c>
      <c r="F13" s="33">
        <v>43.5</v>
      </c>
      <c r="G13" s="33"/>
      <c r="H13" s="71">
        <v>72.8</v>
      </c>
      <c r="I13" s="22">
        <f t="shared" si="6"/>
        <v>0.040000000000000036</v>
      </c>
      <c r="J13" s="23"/>
      <c r="K13" s="49"/>
      <c r="L13" s="20">
        <f>178+44</f>
        <v>222</v>
      </c>
      <c r="M13" s="20">
        <f>178+148</f>
        <v>326</v>
      </c>
      <c r="N13" s="20">
        <f>139+170</f>
        <v>309</v>
      </c>
      <c r="O13" s="20">
        <f>47+65</f>
        <v>112</v>
      </c>
      <c r="P13" s="20">
        <f t="shared" si="0"/>
        <v>969</v>
      </c>
      <c r="Q13" s="20"/>
      <c r="R13" s="46">
        <f t="shared" si="1"/>
        <v>25863</v>
      </c>
      <c r="S13" s="46">
        <f t="shared" si="2"/>
        <v>24124</v>
      </c>
      <c r="T13" s="46">
        <f t="shared" si="3"/>
        <v>19250.7</v>
      </c>
      <c r="U13" s="46">
        <f t="shared" si="4"/>
        <v>4872</v>
      </c>
      <c r="V13" s="46">
        <f t="shared" si="5"/>
        <v>70543.2</v>
      </c>
      <c r="X13" s="42">
        <v>70</v>
      </c>
      <c r="Y13" s="16">
        <f>180+160+143+39+42+147+172+57</f>
        <v>940</v>
      </c>
      <c r="Z13" s="42">
        <f t="shared" si="7"/>
        <v>65800</v>
      </c>
      <c r="AA13" s="1" t="s">
        <v>27</v>
      </c>
    </row>
    <row r="14" spans="1:27" ht="15.75">
      <c r="A14" s="17"/>
      <c r="B14" s="1" t="s">
        <v>28</v>
      </c>
      <c r="C14" s="33">
        <v>113.9</v>
      </c>
      <c r="D14" s="33">
        <v>76.6</v>
      </c>
      <c r="E14" s="33">
        <v>76</v>
      </c>
      <c r="F14" s="33"/>
      <c r="G14" s="33"/>
      <c r="H14" s="71">
        <v>82.9</v>
      </c>
      <c r="I14" s="22">
        <f t="shared" si="6"/>
        <v>0.053367217280813284</v>
      </c>
      <c r="J14" s="23"/>
      <c r="K14" s="49"/>
      <c r="L14" s="20">
        <f>328+63</f>
        <v>391</v>
      </c>
      <c r="M14" s="20">
        <f>201+108</f>
        <v>309</v>
      </c>
      <c r="N14" s="20">
        <f>105+68</f>
        <v>173</v>
      </c>
      <c r="O14" s="20"/>
      <c r="P14" s="20">
        <f t="shared" si="0"/>
        <v>873</v>
      </c>
      <c r="Q14" s="20"/>
      <c r="R14" s="46">
        <f t="shared" si="1"/>
        <v>44534.9</v>
      </c>
      <c r="S14" s="46">
        <f t="shared" si="2"/>
        <v>23669.399999999998</v>
      </c>
      <c r="T14" s="46">
        <f t="shared" si="3"/>
        <v>13148</v>
      </c>
      <c r="U14" s="46">
        <f t="shared" si="4"/>
        <v>0</v>
      </c>
      <c r="V14" s="46">
        <f t="shared" si="5"/>
        <v>72371.70000000001</v>
      </c>
      <c r="X14" s="42">
        <v>78.7</v>
      </c>
      <c r="Y14" s="16">
        <f>327+210+105+58+104+75</f>
        <v>879</v>
      </c>
      <c r="Z14" s="42">
        <f t="shared" si="7"/>
        <v>69177.3</v>
      </c>
      <c r="AA14" s="1" t="s">
        <v>28</v>
      </c>
    </row>
    <row r="15" spans="1:27" ht="15.75">
      <c r="A15" s="17"/>
      <c r="B15" s="1" t="s">
        <v>29</v>
      </c>
      <c r="C15" s="33">
        <v>115.6</v>
      </c>
      <c r="D15" s="33">
        <v>82.5</v>
      </c>
      <c r="E15" s="33">
        <v>71.5</v>
      </c>
      <c r="F15" s="33">
        <v>57.2</v>
      </c>
      <c r="G15" s="33"/>
      <c r="H15" s="71">
        <v>88.4</v>
      </c>
      <c r="I15" s="22">
        <f t="shared" si="6"/>
        <v>0.019607843137254832</v>
      </c>
      <c r="J15" s="23"/>
      <c r="K15" s="49"/>
      <c r="L15" s="20">
        <f>269+92</f>
        <v>361</v>
      </c>
      <c r="M15" s="20">
        <f>226+132</f>
        <v>358</v>
      </c>
      <c r="N15" s="20">
        <f>108+143</f>
        <v>251</v>
      </c>
      <c r="O15" s="20">
        <f>1+14</f>
        <v>15</v>
      </c>
      <c r="P15" s="20">
        <f t="shared" si="0"/>
        <v>985</v>
      </c>
      <c r="Q15" s="20"/>
      <c r="R15" s="46">
        <f t="shared" si="1"/>
        <v>41731.6</v>
      </c>
      <c r="S15" s="46">
        <f t="shared" si="2"/>
        <v>29535</v>
      </c>
      <c r="T15" s="46">
        <f t="shared" si="3"/>
        <v>17946.5</v>
      </c>
      <c r="U15" s="46">
        <f t="shared" si="4"/>
        <v>858</v>
      </c>
      <c r="V15" s="46">
        <f t="shared" si="5"/>
        <v>87074</v>
      </c>
      <c r="X15" s="42">
        <v>86.7</v>
      </c>
      <c r="Y15" s="16">
        <f>264+231+100+1+90+136+132+10</f>
        <v>964</v>
      </c>
      <c r="Z15" s="42">
        <f t="shared" si="7"/>
        <v>83578.8</v>
      </c>
      <c r="AA15" s="1" t="s">
        <v>29</v>
      </c>
    </row>
    <row r="16" spans="1:27" ht="15.75">
      <c r="A16" s="17"/>
      <c r="B16" s="1" t="s">
        <v>30</v>
      </c>
      <c r="C16" s="33">
        <v>94.7</v>
      </c>
      <c r="D16" s="33">
        <v>73.9</v>
      </c>
      <c r="E16" s="33">
        <v>59.9</v>
      </c>
      <c r="F16" s="33"/>
      <c r="G16" s="33"/>
      <c r="H16" s="71">
        <v>68.9</v>
      </c>
      <c r="I16" s="22">
        <f t="shared" si="6"/>
        <v>0.03298350824587715</v>
      </c>
      <c r="J16" s="23"/>
      <c r="K16" s="49"/>
      <c r="L16" s="20">
        <f>152+56</f>
        <v>208</v>
      </c>
      <c r="M16" s="20">
        <f>155+140</f>
        <v>295</v>
      </c>
      <c r="N16" s="20">
        <f>118+121</f>
        <v>239</v>
      </c>
      <c r="O16" s="20">
        <f>1+0</f>
        <v>1</v>
      </c>
      <c r="P16" s="20">
        <f t="shared" si="0"/>
        <v>743</v>
      </c>
      <c r="Q16" s="20"/>
      <c r="R16" s="46">
        <f t="shared" si="1"/>
        <v>19697.600000000002</v>
      </c>
      <c r="S16" s="46">
        <f t="shared" si="2"/>
        <v>21800.5</v>
      </c>
      <c r="T16" s="46">
        <f t="shared" si="3"/>
        <v>14316.1</v>
      </c>
      <c r="U16" s="46">
        <f t="shared" si="4"/>
        <v>0</v>
      </c>
      <c r="V16" s="46">
        <f t="shared" si="5"/>
        <v>51192.700000000004</v>
      </c>
      <c r="X16" s="42">
        <v>66.7</v>
      </c>
      <c r="Y16" s="16">
        <f>145+165+126+1+52+135+113+1</f>
        <v>738</v>
      </c>
      <c r="Z16" s="42">
        <f t="shared" si="7"/>
        <v>49224.6</v>
      </c>
      <c r="AA16" s="1" t="s">
        <v>30</v>
      </c>
    </row>
    <row r="17" spans="1:27" ht="15.75">
      <c r="A17" s="17"/>
      <c r="B17" s="1" t="s">
        <v>31</v>
      </c>
      <c r="C17" s="33">
        <v>109.1</v>
      </c>
      <c r="D17" s="33">
        <v>85.8</v>
      </c>
      <c r="E17" s="33">
        <v>68.3</v>
      </c>
      <c r="F17" s="33"/>
      <c r="G17" s="33"/>
      <c r="H17" s="71">
        <v>82.5</v>
      </c>
      <c r="I17" s="22">
        <f t="shared" si="6"/>
        <v>0.04035308953341743</v>
      </c>
      <c r="J17" s="23"/>
      <c r="K17" s="49"/>
      <c r="L17" s="20">
        <f>82+44</f>
        <v>126</v>
      </c>
      <c r="M17" s="20">
        <f>59+58</f>
        <v>117</v>
      </c>
      <c r="N17" s="20">
        <f>65+64</f>
        <v>129</v>
      </c>
      <c r="O17" s="20">
        <f>1+0</f>
        <v>1</v>
      </c>
      <c r="P17" s="20">
        <f t="shared" si="0"/>
        <v>373</v>
      </c>
      <c r="Q17" s="20"/>
      <c r="R17" s="46">
        <f t="shared" si="1"/>
        <v>13746.599999999999</v>
      </c>
      <c r="S17" s="46">
        <f t="shared" si="2"/>
        <v>10038.6</v>
      </c>
      <c r="T17" s="46">
        <f t="shared" si="3"/>
        <v>8810.699999999999</v>
      </c>
      <c r="U17" s="46">
        <f t="shared" si="4"/>
        <v>0</v>
      </c>
      <c r="V17" s="46">
        <f t="shared" si="5"/>
        <v>30772.5</v>
      </c>
      <c r="X17" s="42">
        <v>79.3</v>
      </c>
      <c r="Y17" s="16">
        <f>80+57+58+1+40+54+70+0</f>
        <v>360</v>
      </c>
      <c r="Z17" s="42">
        <f t="shared" si="7"/>
        <v>28548</v>
      </c>
      <c r="AA17" s="1" t="s">
        <v>31</v>
      </c>
    </row>
    <row r="18" spans="1:27" ht="15.75">
      <c r="A18" s="17"/>
      <c r="B18" s="1" t="s">
        <v>32</v>
      </c>
      <c r="C18" s="33">
        <v>94.6</v>
      </c>
      <c r="D18" s="33">
        <v>68.5</v>
      </c>
      <c r="E18" s="33">
        <v>58.6</v>
      </c>
      <c r="F18" s="33">
        <v>40.8</v>
      </c>
      <c r="G18" s="33"/>
      <c r="H18" s="71">
        <v>69.1</v>
      </c>
      <c r="I18" s="22">
        <f t="shared" si="6"/>
        <v>0.022189349112426093</v>
      </c>
      <c r="J18" s="23"/>
      <c r="K18" s="49"/>
      <c r="L18" s="20">
        <f>205+49</f>
        <v>254</v>
      </c>
      <c r="M18" s="20">
        <f>144+90</f>
        <v>234</v>
      </c>
      <c r="N18" s="20">
        <f>115+133</f>
        <v>248</v>
      </c>
      <c r="O18" s="20">
        <f>45+61</f>
        <v>106</v>
      </c>
      <c r="P18" s="20">
        <f t="shared" si="0"/>
        <v>842</v>
      </c>
      <c r="Q18" s="20"/>
      <c r="R18" s="46">
        <f t="shared" si="1"/>
        <v>24028.399999999998</v>
      </c>
      <c r="S18" s="46">
        <f t="shared" si="2"/>
        <v>16029</v>
      </c>
      <c r="T18" s="46">
        <f t="shared" si="3"/>
        <v>14532.800000000001</v>
      </c>
      <c r="U18" s="46">
        <f t="shared" si="4"/>
        <v>4324.799999999999</v>
      </c>
      <c r="V18" s="46">
        <f t="shared" si="5"/>
        <v>58182.2</v>
      </c>
      <c r="X18" s="42">
        <v>67.6</v>
      </c>
      <c r="Y18" s="16">
        <f>201+137+123+43+47+76+119+53</f>
        <v>799</v>
      </c>
      <c r="Z18" s="42">
        <f t="shared" si="7"/>
        <v>54012.399999999994</v>
      </c>
      <c r="AA18" s="1" t="s">
        <v>32</v>
      </c>
    </row>
    <row r="19" spans="1:27" s="62" customFormat="1" ht="15.75">
      <c r="A19" s="12"/>
      <c r="B19" s="6" t="s">
        <v>7</v>
      </c>
      <c r="C19" s="54">
        <v>101.7</v>
      </c>
      <c r="D19" s="54">
        <v>72.2</v>
      </c>
      <c r="E19" s="54">
        <v>59.9</v>
      </c>
      <c r="F19" s="54"/>
      <c r="G19" s="54"/>
      <c r="H19" s="87">
        <v>75.3</v>
      </c>
      <c r="I19" s="53">
        <f t="shared" si="6"/>
        <v>0.04438280166435504</v>
      </c>
      <c r="J19" s="59"/>
      <c r="K19" s="60"/>
      <c r="L19" s="81">
        <v>143</v>
      </c>
      <c r="M19" s="81">
        <v>193</v>
      </c>
      <c r="N19" s="81">
        <v>207</v>
      </c>
      <c r="O19" s="81"/>
      <c r="P19" s="81">
        <f t="shared" si="0"/>
        <v>543</v>
      </c>
      <c r="Q19" s="81"/>
      <c r="R19" s="61">
        <f t="shared" si="1"/>
        <v>14543.1</v>
      </c>
      <c r="S19" s="61">
        <f t="shared" si="2"/>
        <v>13934.6</v>
      </c>
      <c r="T19" s="61">
        <f t="shared" si="3"/>
        <v>12399.3</v>
      </c>
      <c r="U19" s="61">
        <f t="shared" si="4"/>
        <v>0</v>
      </c>
      <c r="V19" s="61">
        <f t="shared" si="5"/>
        <v>40887.9</v>
      </c>
      <c r="X19" s="94">
        <v>72.1</v>
      </c>
      <c r="Y19" s="66">
        <v>510</v>
      </c>
      <c r="Z19" s="42">
        <f t="shared" si="7"/>
        <v>36771</v>
      </c>
      <c r="AA19" s="6" t="s">
        <v>7</v>
      </c>
    </row>
    <row r="20" spans="1:27" s="62" customFormat="1" ht="15.75">
      <c r="A20" s="12"/>
      <c r="B20" s="6" t="s">
        <v>9</v>
      </c>
      <c r="C20" s="54">
        <v>89.5</v>
      </c>
      <c r="D20" s="54">
        <v>64.4</v>
      </c>
      <c r="E20" s="54">
        <v>56.4</v>
      </c>
      <c r="F20" s="54"/>
      <c r="G20" s="54"/>
      <c r="H20" s="87">
        <v>68.8</v>
      </c>
      <c r="I20" s="53">
        <f t="shared" si="6"/>
        <v>-0.02824858757062143</v>
      </c>
      <c r="J20" s="59"/>
      <c r="K20" s="60"/>
      <c r="L20" s="81">
        <v>118</v>
      </c>
      <c r="M20" s="81">
        <v>155</v>
      </c>
      <c r="N20" s="81">
        <v>143</v>
      </c>
      <c r="O20" s="81"/>
      <c r="P20" s="81">
        <f>SUM(L20:O20)</f>
        <v>416</v>
      </c>
      <c r="Q20" s="81"/>
      <c r="R20" s="61">
        <f>C20*L20</f>
        <v>10561</v>
      </c>
      <c r="S20" s="61">
        <f>D20*M20</f>
        <v>9982</v>
      </c>
      <c r="T20" s="61">
        <f>E20*N20</f>
        <v>8065.2</v>
      </c>
      <c r="U20" s="61">
        <f>F20*O20</f>
        <v>0</v>
      </c>
      <c r="V20" s="61">
        <f>H20*P20</f>
        <v>28620.8</v>
      </c>
      <c r="X20" s="94">
        <v>70.8</v>
      </c>
      <c r="Y20" s="66">
        <v>357</v>
      </c>
      <c r="Z20" s="42">
        <f t="shared" si="7"/>
        <v>25275.6</v>
      </c>
      <c r="AA20" s="6" t="s">
        <v>9</v>
      </c>
    </row>
    <row r="21" spans="1:27" ht="15.75">
      <c r="A21" s="17"/>
      <c r="B21" s="1" t="s">
        <v>33</v>
      </c>
      <c r="C21" s="33">
        <v>85.6</v>
      </c>
      <c r="D21" s="33">
        <v>67.8</v>
      </c>
      <c r="E21" s="33">
        <v>59</v>
      </c>
      <c r="F21" s="33">
        <v>40.4</v>
      </c>
      <c r="G21" s="33"/>
      <c r="H21" s="71">
        <v>64.8</v>
      </c>
      <c r="I21" s="22">
        <f t="shared" si="6"/>
        <v>0.0536585365853659</v>
      </c>
      <c r="J21" s="23"/>
      <c r="K21" s="49"/>
      <c r="L21" s="20">
        <f>113+33</f>
        <v>146</v>
      </c>
      <c r="M21" s="20">
        <f>57+31</f>
        <v>88</v>
      </c>
      <c r="N21" s="20">
        <f>50+30</f>
        <v>80</v>
      </c>
      <c r="O21" s="20">
        <f>37+80</f>
        <v>117</v>
      </c>
      <c r="P21" s="20">
        <f t="shared" si="0"/>
        <v>431</v>
      </c>
      <c r="Q21" s="20"/>
      <c r="R21" s="46">
        <f t="shared" si="1"/>
        <v>12497.599999999999</v>
      </c>
      <c r="S21" s="46">
        <f t="shared" si="2"/>
        <v>5966.4</v>
      </c>
      <c r="T21" s="46">
        <f t="shared" si="3"/>
        <v>4720</v>
      </c>
      <c r="U21" s="46">
        <f t="shared" si="4"/>
        <v>4726.8</v>
      </c>
      <c r="V21" s="46">
        <f t="shared" si="5"/>
        <v>27928.8</v>
      </c>
      <c r="X21" s="42">
        <v>61.5</v>
      </c>
      <c r="Y21" s="16">
        <f>124+53+53+35+35+37+38+77</f>
        <v>452</v>
      </c>
      <c r="Z21" s="42">
        <f t="shared" si="7"/>
        <v>27798</v>
      </c>
      <c r="AA21" s="1" t="s">
        <v>33</v>
      </c>
    </row>
    <row r="22" spans="1:27" ht="15.75">
      <c r="A22" s="17"/>
      <c r="B22" s="1" t="s">
        <v>6</v>
      </c>
      <c r="C22" s="33">
        <v>121.9</v>
      </c>
      <c r="D22" s="33">
        <v>80.4</v>
      </c>
      <c r="E22" s="33">
        <v>67.7</v>
      </c>
      <c r="F22" s="33">
        <v>41.5</v>
      </c>
      <c r="G22" s="33"/>
      <c r="H22" s="71">
        <v>83.3</v>
      </c>
      <c r="I22" s="22">
        <f t="shared" si="6"/>
        <v>-0.014201183431952646</v>
      </c>
      <c r="J22" s="23"/>
      <c r="K22" s="49"/>
      <c r="L22" s="20">
        <f>379+112</f>
        <v>491</v>
      </c>
      <c r="M22" s="20">
        <f>284+137</f>
        <v>421</v>
      </c>
      <c r="N22" s="20">
        <f>243+265</f>
        <v>508</v>
      </c>
      <c r="O22" s="20">
        <f>22+67</f>
        <v>89</v>
      </c>
      <c r="P22" s="20">
        <f t="shared" si="0"/>
        <v>1509</v>
      </c>
      <c r="Q22" s="20"/>
      <c r="R22" s="46">
        <f t="shared" si="1"/>
        <v>59852.9</v>
      </c>
      <c r="S22" s="46">
        <f t="shared" si="2"/>
        <v>33848.4</v>
      </c>
      <c r="T22" s="46">
        <f t="shared" si="3"/>
        <v>34391.6</v>
      </c>
      <c r="U22" s="46">
        <f t="shared" si="4"/>
        <v>3693.5</v>
      </c>
      <c r="V22" s="46">
        <f t="shared" si="5"/>
        <v>125699.7</v>
      </c>
      <c r="X22" s="42">
        <v>84.5</v>
      </c>
      <c r="Y22" s="16">
        <f>373+279+245+15+110+134+243+49</f>
        <v>1448</v>
      </c>
      <c r="Z22" s="42">
        <f t="shared" si="7"/>
        <v>122356</v>
      </c>
      <c r="AA22" s="1" t="s">
        <v>6</v>
      </c>
    </row>
    <row r="23" spans="1:27" ht="15.75">
      <c r="A23" s="17"/>
      <c r="B23" s="1" t="s">
        <v>34</v>
      </c>
      <c r="C23" s="33">
        <v>83.6</v>
      </c>
      <c r="D23" s="33">
        <v>65.1</v>
      </c>
      <c r="E23" s="33">
        <v>52.7</v>
      </c>
      <c r="F23" s="33">
        <v>38</v>
      </c>
      <c r="G23" s="33"/>
      <c r="H23" s="71">
        <v>62.3</v>
      </c>
      <c r="I23" s="22">
        <f t="shared" si="6"/>
        <v>-0.009538950715421324</v>
      </c>
      <c r="J23" s="23"/>
      <c r="K23" s="49"/>
      <c r="L23" s="20">
        <f>140+50</f>
        <v>190</v>
      </c>
      <c r="M23" s="20">
        <f>92+70</f>
        <v>162</v>
      </c>
      <c r="N23" s="20">
        <f>87+78</f>
        <v>165</v>
      </c>
      <c r="O23" s="20">
        <f>37+74</f>
        <v>111</v>
      </c>
      <c r="P23" s="20">
        <f t="shared" si="0"/>
        <v>628</v>
      </c>
      <c r="Q23" s="20"/>
      <c r="R23" s="46">
        <f t="shared" si="1"/>
        <v>15883.999999999998</v>
      </c>
      <c r="S23" s="46">
        <f t="shared" si="2"/>
        <v>10546.199999999999</v>
      </c>
      <c r="T23" s="46">
        <f t="shared" si="3"/>
        <v>8695.5</v>
      </c>
      <c r="U23" s="46">
        <f t="shared" si="4"/>
        <v>4218</v>
      </c>
      <c r="V23" s="46">
        <f t="shared" si="5"/>
        <v>39124.4</v>
      </c>
      <c r="X23" s="42">
        <v>62.9</v>
      </c>
      <c r="Y23" s="16">
        <f>142+87+102+33+45+66+84+65</f>
        <v>624</v>
      </c>
      <c r="Z23" s="42">
        <f t="shared" si="7"/>
        <v>39249.6</v>
      </c>
      <c r="AA23" s="1" t="s">
        <v>34</v>
      </c>
    </row>
    <row r="24" spans="1:27" ht="15.75">
      <c r="A24" s="17"/>
      <c r="B24" s="1" t="s">
        <v>35</v>
      </c>
      <c r="C24" s="33">
        <v>121.6</v>
      </c>
      <c r="D24" s="33">
        <v>89.5</v>
      </c>
      <c r="E24" s="33">
        <v>72</v>
      </c>
      <c r="F24" s="33">
        <v>54</v>
      </c>
      <c r="G24" s="33"/>
      <c r="H24" s="71">
        <v>86.8</v>
      </c>
      <c r="I24" s="22">
        <f t="shared" si="6"/>
        <v>0.02358490566037741</v>
      </c>
      <c r="J24" s="23"/>
      <c r="K24" s="49"/>
      <c r="L24" s="20">
        <f>314+93</f>
        <v>407</v>
      </c>
      <c r="M24" s="20">
        <f>204+138</f>
        <v>342</v>
      </c>
      <c r="N24" s="20">
        <f>101+93</f>
        <v>194</v>
      </c>
      <c r="O24" s="20">
        <f>41+47</f>
        <v>88</v>
      </c>
      <c r="P24" s="20">
        <f t="shared" si="0"/>
        <v>1031</v>
      </c>
      <c r="Q24" s="20"/>
      <c r="R24" s="46">
        <f t="shared" si="1"/>
        <v>49491.2</v>
      </c>
      <c r="S24" s="46">
        <f t="shared" si="2"/>
        <v>30609</v>
      </c>
      <c r="T24" s="46">
        <f t="shared" si="3"/>
        <v>13968</v>
      </c>
      <c r="U24" s="46">
        <f t="shared" si="4"/>
        <v>4752</v>
      </c>
      <c r="V24" s="46">
        <f t="shared" si="5"/>
        <v>89490.8</v>
      </c>
      <c r="X24" s="42">
        <v>84.8</v>
      </c>
      <c r="Y24" s="16">
        <f>302+208+89+36+92+135+95+43</f>
        <v>1000</v>
      </c>
      <c r="Z24" s="42">
        <f t="shared" si="7"/>
        <v>84800</v>
      </c>
      <c r="AA24" s="1" t="s">
        <v>35</v>
      </c>
    </row>
    <row r="25" spans="1:27" ht="15.75">
      <c r="A25" s="17"/>
      <c r="B25" s="1" t="s">
        <v>36</v>
      </c>
      <c r="C25" s="33">
        <v>93.8</v>
      </c>
      <c r="D25" s="33">
        <v>67.8</v>
      </c>
      <c r="E25" s="33">
        <v>61.8</v>
      </c>
      <c r="F25" s="33">
        <v>52</v>
      </c>
      <c r="G25" s="33"/>
      <c r="H25" s="71">
        <v>67.4</v>
      </c>
      <c r="I25" s="97" t="s">
        <v>45</v>
      </c>
      <c r="J25" s="23"/>
      <c r="K25" s="49"/>
      <c r="L25" s="20">
        <f>183+42</f>
        <v>225</v>
      </c>
      <c r="M25" s="20">
        <f>144+69</f>
        <v>213</v>
      </c>
      <c r="N25" s="20">
        <f>84+64</f>
        <v>148</v>
      </c>
      <c r="O25" s="20">
        <f>2+7</f>
        <v>9</v>
      </c>
      <c r="P25" s="20">
        <f t="shared" si="0"/>
        <v>595</v>
      </c>
      <c r="Q25" s="20"/>
      <c r="R25" s="46">
        <f t="shared" si="1"/>
        <v>21105</v>
      </c>
      <c r="S25" s="46">
        <f t="shared" si="2"/>
        <v>14441.4</v>
      </c>
      <c r="T25" s="46">
        <f t="shared" si="3"/>
        <v>9146.4</v>
      </c>
      <c r="U25" s="46">
        <f t="shared" si="4"/>
        <v>468</v>
      </c>
      <c r="V25" s="46">
        <f t="shared" si="5"/>
        <v>40103</v>
      </c>
      <c r="X25" s="42"/>
      <c r="Y25" s="16"/>
      <c r="Z25" s="42"/>
      <c r="AA25" s="1" t="s">
        <v>36</v>
      </c>
    </row>
    <row r="26" spans="1:27" s="77" customFormat="1" ht="15.75">
      <c r="A26" s="69"/>
      <c r="B26" s="70" t="s">
        <v>37</v>
      </c>
      <c r="C26" s="71">
        <v>110.5</v>
      </c>
      <c r="D26" s="71">
        <v>80.6</v>
      </c>
      <c r="E26" s="71">
        <v>65.3</v>
      </c>
      <c r="F26" s="71">
        <v>46.4</v>
      </c>
      <c r="G26" s="71"/>
      <c r="H26" s="71">
        <v>78</v>
      </c>
      <c r="I26" s="22">
        <f t="shared" si="6"/>
        <v>0.048387096774193505</v>
      </c>
      <c r="J26" s="73"/>
      <c r="K26" s="74"/>
      <c r="L26" s="75">
        <f>223+67</f>
        <v>290</v>
      </c>
      <c r="M26" s="75">
        <f>214+147</f>
        <v>361</v>
      </c>
      <c r="N26" s="75">
        <f>216+235</f>
        <v>451</v>
      </c>
      <c r="O26" s="75">
        <f>57+90</f>
        <v>147</v>
      </c>
      <c r="P26" s="75">
        <f t="shared" si="0"/>
        <v>1249</v>
      </c>
      <c r="Q26" s="75"/>
      <c r="R26" s="76">
        <f t="shared" si="1"/>
        <v>32045</v>
      </c>
      <c r="S26" s="76">
        <f t="shared" si="2"/>
        <v>29096.6</v>
      </c>
      <c r="T26" s="76">
        <f t="shared" si="3"/>
        <v>29450.3</v>
      </c>
      <c r="U26" s="76">
        <f t="shared" si="4"/>
        <v>6820.8</v>
      </c>
      <c r="V26" s="76">
        <f t="shared" si="5"/>
        <v>97422</v>
      </c>
      <c r="X26" s="92">
        <v>74.4</v>
      </c>
      <c r="Y26" s="93">
        <f>156+173+149+36+41+134+178+69</f>
        <v>936</v>
      </c>
      <c r="Z26" s="42">
        <f t="shared" si="7"/>
        <v>69638.40000000001</v>
      </c>
      <c r="AA26" s="70" t="s">
        <v>37</v>
      </c>
    </row>
    <row r="27" spans="1:27" s="77" customFormat="1" ht="15.75">
      <c r="A27" s="69"/>
      <c r="B27" s="70" t="s">
        <v>39</v>
      </c>
      <c r="C27" s="71">
        <v>105.6</v>
      </c>
      <c r="D27" s="71">
        <v>80.4</v>
      </c>
      <c r="E27" s="71">
        <v>66.8</v>
      </c>
      <c r="F27" s="71">
        <v>62.1</v>
      </c>
      <c r="G27" s="71"/>
      <c r="H27" s="71">
        <v>79.9</v>
      </c>
      <c r="I27" s="22">
        <f t="shared" si="6"/>
        <v>0.029639175257732076</v>
      </c>
      <c r="J27" s="73"/>
      <c r="K27" s="74"/>
      <c r="L27" s="75">
        <f>239+58</f>
        <v>297</v>
      </c>
      <c r="M27" s="75">
        <f>163+98</f>
        <v>261</v>
      </c>
      <c r="N27" s="75">
        <f>134+131</f>
        <v>265</v>
      </c>
      <c r="O27" s="75">
        <f>4+26</f>
        <v>30</v>
      </c>
      <c r="P27" s="75">
        <f t="shared" si="0"/>
        <v>853</v>
      </c>
      <c r="Q27" s="75"/>
      <c r="R27" s="76">
        <f t="shared" si="1"/>
        <v>31363.199999999997</v>
      </c>
      <c r="S27" s="76">
        <f t="shared" si="2"/>
        <v>20984.4</v>
      </c>
      <c r="T27" s="76">
        <f t="shared" si="3"/>
        <v>17702</v>
      </c>
      <c r="U27" s="76">
        <f t="shared" si="4"/>
        <v>1863</v>
      </c>
      <c r="V27" s="76">
        <f t="shared" si="5"/>
        <v>68154.70000000001</v>
      </c>
      <c r="X27" s="92">
        <v>77.6</v>
      </c>
      <c r="Y27" s="93">
        <f>248+159+136+5+53+106+126+23</f>
        <v>856</v>
      </c>
      <c r="Z27" s="42">
        <f t="shared" si="7"/>
        <v>66425.59999999999</v>
      </c>
      <c r="AA27" s="70" t="s">
        <v>39</v>
      </c>
    </row>
    <row r="28" spans="1:27" s="77" customFormat="1" ht="15.75">
      <c r="A28" s="69"/>
      <c r="B28" s="70" t="s">
        <v>24</v>
      </c>
      <c r="C28" s="71">
        <v>92.2</v>
      </c>
      <c r="D28" s="71">
        <v>71</v>
      </c>
      <c r="E28" s="71">
        <v>61.1</v>
      </c>
      <c r="F28" s="71">
        <v>46.7</v>
      </c>
      <c r="G28" s="71"/>
      <c r="H28" s="71">
        <v>67.3</v>
      </c>
      <c r="I28" s="22">
        <f t="shared" si="6"/>
        <v>0.0499219968798752</v>
      </c>
      <c r="J28" s="73"/>
      <c r="K28" s="74"/>
      <c r="L28" s="75">
        <f>153+67</f>
        <v>220</v>
      </c>
      <c r="M28" s="75">
        <f>167+114</f>
        <v>281</v>
      </c>
      <c r="N28" s="75">
        <f>131+156</f>
        <v>287</v>
      </c>
      <c r="O28" s="75">
        <f>4+6</f>
        <v>10</v>
      </c>
      <c r="P28" s="75">
        <f t="shared" si="0"/>
        <v>798</v>
      </c>
      <c r="Q28" s="75"/>
      <c r="R28" s="76">
        <f t="shared" si="1"/>
        <v>20284</v>
      </c>
      <c r="S28" s="76">
        <f t="shared" si="2"/>
        <v>19951</v>
      </c>
      <c r="T28" s="76">
        <f t="shared" si="3"/>
        <v>17535.7</v>
      </c>
      <c r="U28" s="76">
        <f t="shared" si="4"/>
        <v>467</v>
      </c>
      <c r="V28" s="76">
        <f t="shared" si="5"/>
        <v>53705.399999999994</v>
      </c>
      <c r="X28" s="92">
        <v>64.1</v>
      </c>
      <c r="Y28" s="93">
        <f>141+165+135+1+68+119+162+7</f>
        <v>798</v>
      </c>
      <c r="Z28" s="42">
        <f t="shared" si="7"/>
        <v>51151.799999999996</v>
      </c>
      <c r="AA28" s="70" t="s">
        <v>24</v>
      </c>
    </row>
    <row r="29" spans="1:22" s="77" customFormat="1" ht="15.75">
      <c r="A29" s="69"/>
      <c r="B29" s="70"/>
      <c r="C29" s="71"/>
      <c r="D29" s="71"/>
      <c r="E29" s="71"/>
      <c r="F29" s="71"/>
      <c r="G29" s="71"/>
      <c r="H29" s="71"/>
      <c r="I29" s="75"/>
      <c r="J29" s="73"/>
      <c r="K29" s="74"/>
      <c r="L29" s="75"/>
      <c r="M29" s="75"/>
      <c r="N29" s="75"/>
      <c r="O29" s="75"/>
      <c r="P29" s="75"/>
      <c r="Q29" s="75"/>
      <c r="R29" s="76"/>
      <c r="S29" s="76"/>
      <c r="T29" s="76"/>
      <c r="U29" s="76"/>
      <c r="V29" s="76"/>
    </row>
    <row r="30" spans="1:26" s="77" customFormat="1" ht="15.75">
      <c r="A30" s="69"/>
      <c r="B30" s="78" t="s">
        <v>42</v>
      </c>
      <c r="C30" s="71">
        <f aca="true" t="shared" si="8" ref="C30:F31">R30/L30</f>
        <v>105.75790562135741</v>
      </c>
      <c r="D30" s="71">
        <f t="shared" si="8"/>
        <v>75.90082013047531</v>
      </c>
      <c r="E30" s="71">
        <f t="shared" si="8"/>
        <v>64.08988057825268</v>
      </c>
      <c r="F30" s="71">
        <f t="shared" si="8"/>
        <v>45.517366946778715</v>
      </c>
      <c r="G30" s="71"/>
      <c r="H30" s="71">
        <f>V30/P30</f>
        <v>76.80943852855759</v>
      </c>
      <c r="I30" s="22">
        <f>(+H30)/X30-1</f>
        <v>0.022544475834141542</v>
      </c>
      <c r="J30" s="73"/>
      <c r="K30" s="74"/>
      <c r="L30" s="79">
        <f>SUM(L8:L28)</f>
        <v>5319</v>
      </c>
      <c r="M30" s="79">
        <f>SUM(M8:M28)</f>
        <v>5365</v>
      </c>
      <c r="N30" s="79">
        <f>SUM(N8:N28)</f>
        <v>4773</v>
      </c>
      <c r="O30" s="79">
        <f>SUM(O8:O28)</f>
        <v>1071</v>
      </c>
      <c r="P30" s="79">
        <f>SUM(L30:O30)</f>
        <v>16528</v>
      </c>
      <c r="Q30" s="75"/>
      <c r="R30" s="76">
        <f>SUM(R8:R28)</f>
        <v>562526.3</v>
      </c>
      <c r="S30" s="76">
        <f>SUM(S8:S28)</f>
        <v>407207.9</v>
      </c>
      <c r="T30" s="76">
        <f>SUM(T8:T28)</f>
        <v>305901</v>
      </c>
      <c r="U30" s="76">
        <f>SUM(U8:U28)</f>
        <v>48749.100000000006</v>
      </c>
      <c r="V30" s="76">
        <f>SUM(V8:V28)</f>
        <v>1269506.4</v>
      </c>
      <c r="X30" s="76">
        <f>Z30/Y30</f>
        <v>75.11598795338485</v>
      </c>
      <c r="Y30" s="93">
        <f>SUM(Y8:Y28)</f>
        <v>15274</v>
      </c>
      <c r="Z30" s="92">
        <f>SUM(Z8:Z28)</f>
        <v>1147321.6</v>
      </c>
    </row>
    <row r="31" spans="1:26" s="77" customFormat="1" ht="15.75">
      <c r="A31" s="69"/>
      <c r="B31" s="78" t="s">
        <v>43</v>
      </c>
      <c r="C31" s="71">
        <f t="shared" si="8"/>
        <v>106.251917754053</v>
      </c>
      <c r="D31" s="71">
        <f t="shared" si="8"/>
        <v>76.39850508271877</v>
      </c>
      <c r="E31" s="71">
        <f t="shared" si="8"/>
        <v>64.53459190594619</v>
      </c>
      <c r="F31" s="71">
        <f t="shared" si="8"/>
        <v>45.517366946778715</v>
      </c>
      <c r="G31" s="71"/>
      <c r="H31" s="71">
        <f>V31/P31</f>
        <v>77.07609351917272</v>
      </c>
      <c r="I31" s="22">
        <f>(+H31)/X31-1</f>
        <v>0.02318332158275216</v>
      </c>
      <c r="J31" s="73"/>
      <c r="K31" s="74"/>
      <c r="L31" s="75">
        <f>L30-(L19+L20)</f>
        <v>5058</v>
      </c>
      <c r="M31" s="75">
        <f>M30-(M19+M20)</f>
        <v>5017</v>
      </c>
      <c r="N31" s="75">
        <f>N30-(N19+N20)</f>
        <v>4423</v>
      </c>
      <c r="O31" s="75">
        <f>O30-(O19+O20)</f>
        <v>1071</v>
      </c>
      <c r="P31" s="75">
        <f>SUM(L31:O31)</f>
        <v>15569</v>
      </c>
      <c r="Q31" s="75"/>
      <c r="R31" s="76">
        <f>R30-(R19+R20)</f>
        <v>537422.2000000001</v>
      </c>
      <c r="S31" s="76">
        <f>S30-(S19+S20)</f>
        <v>383291.30000000005</v>
      </c>
      <c r="T31" s="76">
        <f>T30-(T19+T20)</f>
        <v>285436.5</v>
      </c>
      <c r="U31" s="76">
        <f>U30-(U19+U20)</f>
        <v>48749.100000000006</v>
      </c>
      <c r="V31" s="76">
        <f>V30-(V19+V20)</f>
        <v>1199997.7</v>
      </c>
      <c r="X31" s="76">
        <f>Z31/Y31</f>
        <v>75.3297008398695</v>
      </c>
      <c r="Y31" s="93">
        <f>Y30-(Y19+Y20)</f>
        <v>14407</v>
      </c>
      <c r="Z31" s="92">
        <f>Z30-(Z19+Z20)</f>
        <v>1085275</v>
      </c>
    </row>
    <row r="32" spans="1:22" ht="15.75">
      <c r="A32" s="17"/>
      <c r="B32" s="1"/>
      <c r="C32" s="33"/>
      <c r="D32" s="33"/>
      <c r="E32" s="33"/>
      <c r="F32" s="33"/>
      <c r="G32" s="33"/>
      <c r="H32" s="71"/>
      <c r="I32" s="20"/>
      <c r="J32" s="23"/>
      <c r="K32" s="49"/>
      <c r="L32" s="20"/>
      <c r="M32" s="20"/>
      <c r="N32" s="20"/>
      <c r="O32" s="20"/>
      <c r="P32" s="20"/>
      <c r="Q32" s="20"/>
      <c r="R32" s="46"/>
      <c r="S32" s="20"/>
      <c r="T32" s="20"/>
      <c r="U32" s="20"/>
      <c r="V32" s="20"/>
    </row>
    <row r="33" spans="1:27" ht="15.75">
      <c r="A33" s="17"/>
      <c r="B33" s="1" t="s">
        <v>5</v>
      </c>
      <c r="C33" s="41">
        <v>102.8</v>
      </c>
      <c r="D33" s="41">
        <v>70.8</v>
      </c>
      <c r="E33" s="41">
        <v>58.2</v>
      </c>
      <c r="F33" s="41"/>
      <c r="G33" s="41"/>
      <c r="H33" s="88">
        <v>76.1</v>
      </c>
      <c r="I33" s="22">
        <f>(+H33)/X33-1</f>
        <v>0.020107238605898026</v>
      </c>
      <c r="J33" s="55"/>
      <c r="K33" s="57"/>
      <c r="L33" s="47">
        <f>259+75</f>
        <v>334</v>
      </c>
      <c r="M33" s="47">
        <f>215+129</f>
        <v>344</v>
      </c>
      <c r="N33" s="47">
        <f>211+183</f>
        <v>394</v>
      </c>
      <c r="O33" s="47"/>
      <c r="P33" s="47">
        <f>SUM(L33:O33)</f>
        <v>1072</v>
      </c>
      <c r="Q33" s="47"/>
      <c r="R33" s="56">
        <f aca="true" t="shared" si="9" ref="R33:U36">C33*L33</f>
        <v>34335.2</v>
      </c>
      <c r="S33" s="56">
        <f t="shared" si="9"/>
        <v>24355.2</v>
      </c>
      <c r="T33" s="56">
        <f t="shared" si="9"/>
        <v>22930.800000000003</v>
      </c>
      <c r="U33" s="56">
        <f t="shared" si="9"/>
        <v>0</v>
      </c>
      <c r="V33" s="56">
        <f>H33*P33</f>
        <v>81579.2</v>
      </c>
      <c r="X33" s="95">
        <v>74.6</v>
      </c>
      <c r="Y33" s="16">
        <f>263+218+207+76+117+174</f>
        <v>1055</v>
      </c>
      <c r="Z33" s="42">
        <f>X33*Y33</f>
        <v>78703</v>
      </c>
      <c r="AA33" s="1" t="s">
        <v>5</v>
      </c>
    </row>
    <row r="34" spans="1:27" ht="15.75">
      <c r="A34" s="17"/>
      <c r="B34" s="1" t="s">
        <v>7</v>
      </c>
      <c r="C34" s="33">
        <v>101.7</v>
      </c>
      <c r="D34" s="33">
        <v>72.2</v>
      </c>
      <c r="E34" s="33">
        <v>59.9</v>
      </c>
      <c r="F34" s="33"/>
      <c r="G34" s="33"/>
      <c r="H34" s="71">
        <v>75.3</v>
      </c>
      <c r="I34" s="22">
        <f>(+H34)/X34-1</f>
        <v>0.04438280166435504</v>
      </c>
      <c r="J34" s="23"/>
      <c r="K34" s="49"/>
      <c r="L34" s="20">
        <f>107+36</f>
        <v>143</v>
      </c>
      <c r="M34" s="20">
        <f>108+85</f>
        <v>193</v>
      </c>
      <c r="N34" s="20">
        <f>118+89</f>
        <v>207</v>
      </c>
      <c r="O34" s="20"/>
      <c r="P34" s="20">
        <f>SUM(L34:O34)</f>
        <v>543</v>
      </c>
      <c r="Q34" s="20"/>
      <c r="R34" s="46">
        <f t="shared" si="9"/>
        <v>14543.1</v>
      </c>
      <c r="S34" s="46">
        <f t="shared" si="9"/>
        <v>13934.6</v>
      </c>
      <c r="T34" s="46">
        <f t="shared" si="9"/>
        <v>12399.3</v>
      </c>
      <c r="U34" s="46">
        <f t="shared" si="9"/>
        <v>0</v>
      </c>
      <c r="V34" s="46">
        <f>H34*P34</f>
        <v>40887.9</v>
      </c>
      <c r="X34" s="76">
        <v>72.1</v>
      </c>
      <c r="Y34" s="16">
        <f>107+112+102+30+82+77</f>
        <v>510</v>
      </c>
      <c r="Z34" s="42">
        <f>X34*Y34</f>
        <v>36771</v>
      </c>
      <c r="AA34" s="1" t="s">
        <v>7</v>
      </c>
    </row>
    <row r="35" spans="1:27" ht="15.75">
      <c r="A35" s="17"/>
      <c r="B35" s="1" t="s">
        <v>8</v>
      </c>
      <c r="C35" s="33">
        <v>103</v>
      </c>
      <c r="D35" s="33">
        <v>74.9</v>
      </c>
      <c r="E35" s="33">
        <v>67</v>
      </c>
      <c r="F35" s="33"/>
      <c r="G35" s="33"/>
      <c r="H35" s="71">
        <v>84.6</v>
      </c>
      <c r="I35" s="22">
        <f>(+H35)/X35-1</f>
        <v>0.03676470588235303</v>
      </c>
      <c r="J35" s="23"/>
      <c r="K35" s="49"/>
      <c r="L35" s="49">
        <f>108+8</f>
        <v>116</v>
      </c>
      <c r="M35" s="49">
        <f>76+9</f>
        <v>85</v>
      </c>
      <c r="N35" s="49">
        <f>52+22</f>
        <v>74</v>
      </c>
      <c r="O35" s="20"/>
      <c r="P35" s="20">
        <f>SUM(L35:O35)</f>
        <v>275</v>
      </c>
      <c r="Q35" s="20"/>
      <c r="R35" s="46">
        <f t="shared" si="9"/>
        <v>11948</v>
      </c>
      <c r="S35" s="46">
        <f t="shared" si="9"/>
        <v>6366.500000000001</v>
      </c>
      <c r="T35" s="46">
        <f t="shared" si="9"/>
        <v>4958</v>
      </c>
      <c r="U35" s="46">
        <f t="shared" si="9"/>
        <v>0</v>
      </c>
      <c r="V35" s="46">
        <f>H35*P35</f>
        <v>23265</v>
      </c>
      <c r="X35" s="76">
        <v>81.6</v>
      </c>
      <c r="Y35" s="16">
        <f>107+76+55+7+7+21</f>
        <v>273</v>
      </c>
      <c r="Z35" s="42">
        <f>X35*Y35</f>
        <v>22276.8</v>
      </c>
      <c r="AA35" s="1" t="s">
        <v>8</v>
      </c>
    </row>
    <row r="36" spans="1:27" ht="15.75">
      <c r="A36" s="17"/>
      <c r="B36" s="5" t="s">
        <v>9</v>
      </c>
      <c r="C36" s="38">
        <v>89.5</v>
      </c>
      <c r="D36" s="38">
        <v>64.4</v>
      </c>
      <c r="E36" s="38">
        <v>56.4</v>
      </c>
      <c r="F36" s="38"/>
      <c r="G36" s="38"/>
      <c r="H36" s="89">
        <v>68.8</v>
      </c>
      <c r="I36" s="22">
        <f>(+H36)/X36-1</f>
        <v>-0.02824858757062143</v>
      </c>
      <c r="J36" s="23"/>
      <c r="K36" s="49"/>
      <c r="L36" s="26">
        <f>90+28</f>
        <v>118</v>
      </c>
      <c r="M36" s="26">
        <f>83+72</f>
        <v>155</v>
      </c>
      <c r="N36" s="26">
        <f>54+89</f>
        <v>143</v>
      </c>
      <c r="O36" s="26"/>
      <c r="P36" s="26">
        <f>SUM(L36:O36)</f>
        <v>416</v>
      </c>
      <c r="Q36" s="26"/>
      <c r="R36" s="51">
        <f t="shared" si="9"/>
        <v>10561</v>
      </c>
      <c r="S36" s="51">
        <f t="shared" si="9"/>
        <v>9982</v>
      </c>
      <c r="T36" s="51">
        <f t="shared" si="9"/>
        <v>8065.2</v>
      </c>
      <c r="U36" s="51">
        <f t="shared" si="9"/>
        <v>0</v>
      </c>
      <c r="V36" s="51">
        <f>H36*P36</f>
        <v>28620.8</v>
      </c>
      <c r="X36" s="96">
        <v>70.8</v>
      </c>
      <c r="Y36" s="67">
        <f>82+73+48+29+52+73</f>
        <v>357</v>
      </c>
      <c r="Z36" s="68">
        <f>X36*Y36</f>
        <v>25275.6</v>
      </c>
      <c r="AA36" s="48" t="s">
        <v>9</v>
      </c>
    </row>
    <row r="37" spans="1:26" ht="15.75">
      <c r="A37" s="17"/>
      <c r="B37" s="7" t="s">
        <v>16</v>
      </c>
      <c r="C37" s="33">
        <f>R37/L37</f>
        <v>100.4040787623066</v>
      </c>
      <c r="D37" s="33">
        <f>S37/M37</f>
        <v>70.31956241956242</v>
      </c>
      <c r="E37" s="33">
        <f>T37/N37</f>
        <v>59.111613691931545</v>
      </c>
      <c r="F37" s="33"/>
      <c r="G37" s="33"/>
      <c r="H37" s="71">
        <f>V37/P37</f>
        <v>75.60836947094536</v>
      </c>
      <c r="I37" s="22">
        <f>(+H37)/X37-1</f>
        <v>0.017996907180217958</v>
      </c>
      <c r="J37" s="23"/>
      <c r="K37" s="49"/>
      <c r="L37" s="20">
        <f>SUM(L33:L36)</f>
        <v>711</v>
      </c>
      <c r="M37" s="20">
        <f>SUM(M33:M36)</f>
        <v>777</v>
      </c>
      <c r="N37" s="20">
        <f>SUM(N33:N36)</f>
        <v>818</v>
      </c>
      <c r="O37" s="20">
        <f>SUM(O33:O36)</f>
        <v>0</v>
      </c>
      <c r="P37" s="20">
        <f>SUM(P33:P36)</f>
        <v>2306</v>
      </c>
      <c r="Q37" s="20"/>
      <c r="R37" s="46">
        <f>SUM(R33:R36)</f>
        <v>71387.29999999999</v>
      </c>
      <c r="S37" s="46">
        <f>SUM(S33:S36)</f>
        <v>54638.3</v>
      </c>
      <c r="T37" s="46">
        <f>SUM(T33:T36)</f>
        <v>48353.3</v>
      </c>
      <c r="U37" s="46">
        <f>SUM(U33:U36)</f>
        <v>0</v>
      </c>
      <c r="V37" s="46">
        <f>SUM(V33:V36)</f>
        <v>174352.9</v>
      </c>
      <c r="X37" s="76">
        <f>Z37/Y37</f>
        <v>74.27170842824601</v>
      </c>
      <c r="Y37" s="16">
        <f>SUM(Y33:Y36)</f>
        <v>2195</v>
      </c>
      <c r="Z37" s="42">
        <f>SUM(Z33:Z36)</f>
        <v>163026.4</v>
      </c>
    </row>
    <row r="38" spans="1:11" ht="15.75">
      <c r="A38" s="17"/>
      <c r="B38" s="7" t="s">
        <v>46</v>
      </c>
      <c r="C38" s="22">
        <f>C31/C37-1</f>
        <v>0.05824304215359999</v>
      </c>
      <c r="D38" s="22">
        <f>D31/D37-1</f>
        <v>0.08644739037035354</v>
      </c>
      <c r="E38" s="22">
        <f>E31/E37-1</f>
        <v>0.09174133263011996</v>
      </c>
      <c r="F38" s="22"/>
      <c r="G38" s="33"/>
      <c r="H38" s="72">
        <f>H31/H37-1</f>
        <v>0.019412190191343326</v>
      </c>
      <c r="J38" s="18"/>
      <c r="K38" s="31"/>
    </row>
    <row r="39" spans="1:29" ht="16.5" thickBot="1">
      <c r="A39" s="17"/>
      <c r="B39" s="2"/>
      <c r="C39" s="32"/>
      <c r="D39" s="32"/>
      <c r="E39" s="32"/>
      <c r="F39" s="32"/>
      <c r="G39" s="32"/>
      <c r="H39" s="83"/>
      <c r="I39" s="19"/>
      <c r="J39" s="18"/>
      <c r="K39" s="31"/>
      <c r="L39" s="31"/>
      <c r="M39" s="31"/>
      <c r="N39" s="31"/>
      <c r="O39" s="31"/>
      <c r="P39" s="31"/>
      <c r="Q39" s="31"/>
      <c r="R39" s="5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6.5" thickTop="1">
      <c r="A40" s="17"/>
      <c r="B40" s="15" t="s">
        <v>17</v>
      </c>
      <c r="C40" s="33"/>
      <c r="D40" s="33"/>
      <c r="E40" s="33"/>
      <c r="F40" s="33"/>
      <c r="G40" s="33"/>
      <c r="H40" s="71"/>
      <c r="J40" s="18"/>
      <c r="K40" s="31"/>
      <c r="L40" s="31"/>
      <c r="M40" s="31"/>
      <c r="N40" s="31"/>
      <c r="O40" s="31"/>
      <c r="P40" s="31"/>
      <c r="Q40" s="31"/>
      <c r="R40" s="5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5.75">
      <c r="A41" s="17"/>
      <c r="B41" s="80"/>
      <c r="C41" s="33"/>
      <c r="D41" s="33"/>
      <c r="E41" s="33"/>
      <c r="F41" s="33"/>
      <c r="G41" s="33"/>
      <c r="H41" s="71"/>
      <c r="J41" s="18"/>
      <c r="K41" s="31"/>
      <c r="L41" s="31"/>
      <c r="M41" s="31"/>
      <c r="N41" s="31"/>
      <c r="O41" s="31"/>
      <c r="P41" s="31"/>
      <c r="Q41" s="31"/>
      <c r="R41" s="5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5.75">
      <c r="A42" s="17"/>
      <c r="B42" s="1"/>
      <c r="C42" s="33"/>
      <c r="D42" s="33"/>
      <c r="E42" s="33"/>
      <c r="F42" s="33"/>
      <c r="G42" s="33"/>
      <c r="H42" s="71"/>
      <c r="J42" s="18"/>
      <c r="K42" s="31"/>
      <c r="L42" s="31"/>
      <c r="M42" s="31"/>
      <c r="N42" s="31"/>
      <c r="O42" s="31"/>
      <c r="P42" s="31"/>
      <c r="Q42" s="31"/>
      <c r="R42" s="5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11" ht="15.75">
      <c r="A43" s="27"/>
      <c r="B43" s="28"/>
      <c r="C43" s="39"/>
      <c r="D43" s="39"/>
      <c r="E43" s="39"/>
      <c r="F43" s="39"/>
      <c r="G43" s="39"/>
      <c r="H43" s="89"/>
      <c r="I43" s="29" t="s">
        <v>19</v>
      </c>
      <c r="J43" s="30"/>
      <c r="K43" s="31"/>
    </row>
  </sheetData>
  <sheetProtection/>
  <mergeCells count="2">
    <mergeCell ref="B2:I2"/>
    <mergeCell ref="B1:I1"/>
  </mergeCells>
  <printOptions/>
  <pageMargins left="0.75" right="0.5" top="0.5" bottom="0.5" header="0.5" footer="0.5"/>
  <pageSetup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Mullen, Planning &amp; Budget</dc:creator>
  <cp:keywords/>
  <dc:description/>
  <cp:lastModifiedBy>sader</cp:lastModifiedBy>
  <cp:lastPrinted>2013-04-26T16:38:30Z</cp:lastPrinted>
  <dcterms:created xsi:type="dcterms:W3CDTF">1999-02-23T19:42:03Z</dcterms:created>
  <dcterms:modified xsi:type="dcterms:W3CDTF">2014-05-28T20:54:07Z</dcterms:modified>
  <cp:category/>
  <cp:version/>
  <cp:contentType/>
  <cp:contentStatus/>
</cp:coreProperties>
</file>