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12120" windowHeight="8400" activeTab="0"/>
  </bookViews>
  <sheets>
    <sheet name="A" sheetId="1" r:id="rId1"/>
  </sheets>
  <definedNames>
    <definedName name="_xlnm.Print_Area" localSheetId="0">'A'!$A$3:$AZ$25</definedName>
  </definedNames>
  <calcPr fullCalcOnLoad="1"/>
</workbook>
</file>

<file path=xl/sharedStrings.xml><?xml version="1.0" encoding="utf-8"?>
<sst xmlns="http://schemas.openxmlformats.org/spreadsheetml/2006/main" count="90" uniqueCount="59">
  <si>
    <t>TABLE 3.40</t>
  </si>
  <si>
    <t>STUDENT/FACULTY RATIOS</t>
  </si>
  <si>
    <t>Fall 1986</t>
  </si>
  <si>
    <t>Fall 1987</t>
  </si>
  <si>
    <t>Fall 1988</t>
  </si>
  <si>
    <t>Fall 1989</t>
  </si>
  <si>
    <t>Fall 1990</t>
  </si>
  <si>
    <t>Fall 1992</t>
  </si>
  <si>
    <t>Fall 1993</t>
  </si>
  <si>
    <t>Fall 1994</t>
  </si>
  <si>
    <t>Fall 1995</t>
  </si>
  <si>
    <t>Fall 1996</t>
  </si>
  <si>
    <t>UMC</t>
  </si>
  <si>
    <t>UMKC</t>
  </si>
  <si>
    <t>UMSL</t>
  </si>
  <si>
    <t>Fall 1997</t>
  </si>
  <si>
    <t>Fall 1991</t>
  </si>
  <si>
    <t>Fall 1998</t>
  </si>
  <si>
    <t>Fall 1999</t>
  </si>
  <si>
    <t>Fall 2000</t>
  </si>
  <si>
    <t>Fall 2001</t>
  </si>
  <si>
    <t>Fall 2002</t>
  </si>
  <si>
    <t>Fall 2003</t>
  </si>
  <si>
    <t>Fall 1985</t>
  </si>
  <si>
    <t>Fall 1984</t>
  </si>
  <si>
    <t>Fall 1983</t>
  </si>
  <si>
    <t>Fall 1982</t>
  </si>
  <si>
    <t>Fall 1981</t>
  </si>
  <si>
    <t>Fall 1980</t>
  </si>
  <si>
    <t>Fall 1979</t>
  </si>
  <si>
    <t>Fall 1978</t>
  </si>
  <si>
    <t>Fall 1977</t>
  </si>
  <si>
    <t>Fall 1976</t>
  </si>
  <si>
    <t>Fall 1975</t>
  </si>
  <si>
    <t>Fall 1974</t>
  </si>
  <si>
    <t>Fall 1973</t>
  </si>
  <si>
    <t>Fall 1972</t>
  </si>
  <si>
    <t>Fall 1971</t>
  </si>
  <si>
    <t>Fall 1970</t>
  </si>
  <si>
    <t>UM System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</si>
  <si>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</si>
  <si>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Fall 2004</t>
  </si>
  <si>
    <t>Fall 2005</t>
  </si>
  <si>
    <t>Fall 2006</t>
  </si>
  <si>
    <t>Values used to generate ratios are On Campus FTE Enrollment and Full-Time</t>
  </si>
  <si>
    <t>Sources: Enrollment data - DHE 02 and Faculty data - IPEDS HR (EAP section)</t>
  </si>
  <si>
    <t>*Values used to generate ratios are On Campus FTE Enrollment and Ranked Faculty.</t>
  </si>
  <si>
    <t>*Sources: FTE Appointments - HR Repository and Enrollment Data - DHE 02</t>
  </si>
  <si>
    <t>*</t>
  </si>
  <si>
    <t xml:space="preserve">   Non-Medical Instructional Faculty.</t>
  </si>
  <si>
    <t>Fall 2007</t>
  </si>
  <si>
    <t>Fall 2008</t>
  </si>
  <si>
    <t>MST</t>
  </si>
  <si>
    <t>Fall 2009</t>
  </si>
  <si>
    <t>Fall 2010</t>
  </si>
  <si>
    <t>Fall 2011</t>
  </si>
  <si>
    <t>Fall 2012</t>
  </si>
  <si>
    <t>Fall 2013</t>
  </si>
  <si>
    <t>IR&amp;P 3/14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</si>
</sst>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41">
    <font>
      <sz val="10"/>
      <name val="Arial MT"/>
      <family val="0"/>
    </font>
    <font>
      <sz val="10"/>
      <name val="Arial"/>
      <family val="0"/>
    </font>
    <font>
      <sz val="10"/>
      <name val="TimesNewRomanPS"/>
      <family val="1"/>
    </font>
    <font>
      <b/>
      <sz val="9"/>
      <name val="Arial"/>
      <family val="2"/>
    </font>
    <font>
      <b/>
      <sz val="10"/>
      <name val="TimesNewRomanPS"/>
      <family val="1"/>
    </font>
    <font>
      <b/>
      <sz val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1" fillId="0" borderId="19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0" fontId="0" fillId="0" borderId="20" xfId="0" applyFont="1" applyBorder="1" applyAlignment="1">
      <alignment/>
    </xf>
    <xf numFmtId="164" fontId="2" fillId="0" borderId="0" xfId="0" applyNumberFormat="1" applyFont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J56"/>
  <sheetViews>
    <sheetView tabSelected="1" zoomScale="87" zoomScaleNormal="87" zoomScalePageLayoutView="0" workbookViewId="0" topLeftCell="A1">
      <selection activeCell="A1" sqref="A1"/>
    </sheetView>
  </sheetViews>
  <sheetFormatPr defaultColWidth="8.7109375" defaultRowHeight="12.75"/>
  <cols>
    <col min="1" max="1" width="2.7109375" style="20" customWidth="1"/>
    <col min="2" max="2" width="20.7109375" style="20" customWidth="1"/>
    <col min="3" max="26" width="9.140625" style="20" hidden="1" customWidth="1"/>
    <col min="27" max="41" width="9.00390625" style="20" hidden="1" customWidth="1"/>
    <col min="42" max="42" width="9.00390625" style="20" customWidth="1"/>
    <col min="43" max="43" width="2.7109375" style="20" customWidth="1"/>
    <col min="44" max="44" width="9.00390625" style="20" customWidth="1"/>
    <col min="45" max="45" width="2.7109375" style="20" customWidth="1"/>
    <col min="46" max="46" width="9.00390625" style="20" customWidth="1"/>
    <col min="47" max="47" width="2.7109375" style="20" customWidth="1"/>
    <col min="48" max="48" width="9.00390625" style="20" customWidth="1"/>
    <col min="49" max="49" width="2.7109375" style="20" customWidth="1"/>
    <col min="50" max="50" width="9.00390625" style="20" customWidth="1"/>
    <col min="51" max="51" width="2.7109375" style="20" customWidth="1"/>
    <col min="52" max="52" width="1.7109375" style="20" customWidth="1"/>
    <col min="53" max="53" width="7.7109375" style="20" customWidth="1"/>
    <col min="54" max="16384" width="8.7109375" style="20" customWidth="1"/>
  </cols>
  <sheetData>
    <row r="1" spans="1:5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62" ht="12.75">
      <c r="A4" s="2"/>
      <c r="B4" s="6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4"/>
      <c r="AZ4" s="5"/>
      <c r="BA4" s="5"/>
      <c r="BB4" s="1" t="s">
        <v>40</v>
      </c>
      <c r="BC4" s="1"/>
      <c r="BD4" s="1"/>
      <c r="BE4" s="1"/>
      <c r="BF4" s="1"/>
      <c r="BG4" s="1"/>
      <c r="BH4" s="1"/>
      <c r="BI4" s="1"/>
      <c r="BJ4" s="1"/>
    </row>
    <row r="5" spans="1:51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9"/>
    </row>
    <row r="6" spans="1:51" ht="12.75">
      <c r="A6" s="7"/>
      <c r="B6" s="10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9"/>
    </row>
    <row r="7" spans="1:51" ht="13.5" thickBot="1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2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9"/>
    </row>
    <row r="8" spans="1:51" ht="13.5" thickTop="1">
      <c r="A8" s="7"/>
      <c r="B8" s="13"/>
      <c r="C8" s="14" t="s">
        <v>38</v>
      </c>
      <c r="D8" s="14" t="s">
        <v>37</v>
      </c>
      <c r="E8" s="14" t="s">
        <v>36</v>
      </c>
      <c r="F8" s="14" t="s">
        <v>35</v>
      </c>
      <c r="G8" s="14" t="s">
        <v>34</v>
      </c>
      <c r="H8" s="14" t="s">
        <v>33</v>
      </c>
      <c r="I8" s="14" t="s">
        <v>32</v>
      </c>
      <c r="J8" s="14" t="s">
        <v>31</v>
      </c>
      <c r="K8" s="14" t="s">
        <v>30</v>
      </c>
      <c r="L8" s="14" t="s">
        <v>29</v>
      </c>
      <c r="M8" s="14" t="s">
        <v>28</v>
      </c>
      <c r="N8" s="14" t="s">
        <v>27</v>
      </c>
      <c r="O8" s="14" t="s">
        <v>26</v>
      </c>
      <c r="P8" s="14" t="s">
        <v>25</v>
      </c>
      <c r="Q8" s="14" t="s">
        <v>24</v>
      </c>
      <c r="R8" s="14" t="s">
        <v>23</v>
      </c>
      <c r="S8" s="14" t="s">
        <v>2</v>
      </c>
      <c r="T8" s="14" t="s">
        <v>3</v>
      </c>
      <c r="U8" s="14" t="s">
        <v>4</v>
      </c>
      <c r="V8" s="14" t="s">
        <v>5</v>
      </c>
      <c r="W8" s="14" t="s">
        <v>6</v>
      </c>
      <c r="X8" s="14" t="s">
        <v>16</v>
      </c>
      <c r="Y8" s="14" t="s">
        <v>7</v>
      </c>
      <c r="Z8" s="14" t="s">
        <v>8</v>
      </c>
      <c r="AA8" s="14" t="s">
        <v>9</v>
      </c>
      <c r="AB8" s="14" t="s">
        <v>10</v>
      </c>
      <c r="AC8" s="14" t="s">
        <v>11</v>
      </c>
      <c r="AD8" s="15" t="s">
        <v>15</v>
      </c>
      <c r="AE8" s="24" t="s">
        <v>17</v>
      </c>
      <c r="AF8" s="24" t="s">
        <v>18</v>
      </c>
      <c r="AG8" s="24" t="s">
        <v>19</v>
      </c>
      <c r="AH8" s="24" t="s">
        <v>20</v>
      </c>
      <c r="AI8" s="24" t="s">
        <v>21</v>
      </c>
      <c r="AJ8" s="24" t="s">
        <v>22</v>
      </c>
      <c r="AK8" s="24" t="s">
        <v>41</v>
      </c>
      <c r="AL8" s="24" t="s">
        <v>42</v>
      </c>
      <c r="AM8" s="24" t="s">
        <v>43</v>
      </c>
      <c r="AN8" s="24" t="s">
        <v>50</v>
      </c>
      <c r="AO8" s="24" t="s">
        <v>51</v>
      </c>
      <c r="AP8" s="24" t="s">
        <v>53</v>
      </c>
      <c r="AQ8" s="24"/>
      <c r="AR8" s="24" t="s">
        <v>54</v>
      </c>
      <c r="AS8" s="24"/>
      <c r="AT8" s="24" t="s">
        <v>55</v>
      </c>
      <c r="AU8" s="24"/>
      <c r="AV8" s="24" t="s">
        <v>56</v>
      </c>
      <c r="AW8" s="24"/>
      <c r="AX8" s="24" t="s">
        <v>57</v>
      </c>
      <c r="AY8" s="9"/>
    </row>
    <row r="9" spans="1:51" ht="12.75">
      <c r="A9" s="7"/>
      <c r="B9" s="8"/>
      <c r="C9" s="27" t="s">
        <v>48</v>
      </c>
      <c r="D9" s="27" t="s">
        <v>48</v>
      </c>
      <c r="E9" s="27" t="s">
        <v>48</v>
      </c>
      <c r="F9" s="27" t="s">
        <v>48</v>
      </c>
      <c r="G9" s="27" t="s">
        <v>48</v>
      </c>
      <c r="H9" s="27" t="s">
        <v>48</v>
      </c>
      <c r="I9" s="27" t="s">
        <v>48</v>
      </c>
      <c r="J9" s="27" t="s">
        <v>48</v>
      </c>
      <c r="K9" s="27" t="s">
        <v>48</v>
      </c>
      <c r="L9" s="27" t="s">
        <v>48</v>
      </c>
      <c r="M9" s="27" t="s">
        <v>48</v>
      </c>
      <c r="N9" s="27" t="s">
        <v>48</v>
      </c>
      <c r="O9" s="27" t="s">
        <v>48</v>
      </c>
      <c r="P9" s="27" t="s">
        <v>48</v>
      </c>
      <c r="Q9" s="27" t="s">
        <v>48</v>
      </c>
      <c r="R9" s="27" t="s">
        <v>48</v>
      </c>
      <c r="S9" s="27" t="s">
        <v>48</v>
      </c>
      <c r="T9" s="27" t="s">
        <v>48</v>
      </c>
      <c r="U9" s="27" t="s">
        <v>48</v>
      </c>
      <c r="V9" s="27" t="s">
        <v>48</v>
      </c>
      <c r="W9" s="27" t="s">
        <v>48</v>
      </c>
      <c r="X9" s="27" t="s">
        <v>48</v>
      </c>
      <c r="Y9" s="27" t="s">
        <v>48</v>
      </c>
      <c r="Z9" s="27" t="s">
        <v>48</v>
      </c>
      <c r="AA9" s="27" t="s">
        <v>48</v>
      </c>
      <c r="AB9" s="27" t="s">
        <v>48</v>
      </c>
      <c r="AC9" s="27" t="s">
        <v>48</v>
      </c>
      <c r="AD9" s="27" t="s">
        <v>48</v>
      </c>
      <c r="AE9" s="27" t="s">
        <v>48</v>
      </c>
      <c r="AF9" s="27" t="s">
        <v>48</v>
      </c>
      <c r="AG9" s="27" t="s">
        <v>48</v>
      </c>
      <c r="AH9" s="27" t="s">
        <v>48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9"/>
    </row>
    <row r="10" spans="1:51" ht="12.75">
      <c r="A10" s="7"/>
      <c r="B10" s="8" t="s">
        <v>12</v>
      </c>
      <c r="C10" s="28">
        <v>20.4</v>
      </c>
      <c r="D10" s="28"/>
      <c r="E10" s="28"/>
      <c r="F10" s="28">
        <v>19</v>
      </c>
      <c r="G10" s="28"/>
      <c r="H10" s="28"/>
      <c r="I10" s="28">
        <v>20.3</v>
      </c>
      <c r="J10" s="28"/>
      <c r="K10" s="28"/>
      <c r="L10" s="28">
        <v>19.1</v>
      </c>
      <c r="M10" s="28">
        <v>19.7</v>
      </c>
      <c r="N10" s="28">
        <v>20.7</v>
      </c>
      <c r="O10" s="28">
        <v>22.2</v>
      </c>
      <c r="P10" s="28">
        <v>21.7</v>
      </c>
      <c r="Q10" s="28">
        <v>21.3</v>
      </c>
      <c r="R10" s="28">
        <v>20.9</v>
      </c>
      <c r="S10" s="28">
        <f>19437/968.88</f>
        <v>20.06130790190736</v>
      </c>
      <c r="T10" s="28">
        <f>19524/978.9</f>
        <v>19.94483604045357</v>
      </c>
      <c r="U10" s="28">
        <f>19849/976.74</f>
        <v>20.321682331019513</v>
      </c>
      <c r="V10" s="28">
        <f>20517/987.11</f>
        <v>20.784917587705525</v>
      </c>
      <c r="W10" s="28">
        <f>21042/982.79</f>
        <v>21.410474262049878</v>
      </c>
      <c r="X10" s="28">
        <v>21.1</v>
      </c>
      <c r="Y10" s="28">
        <f>19562/953.59</f>
        <v>20.514057404125463</v>
      </c>
      <c r="Z10" s="28">
        <f>18405/959.8</f>
        <v>19.175869972911023</v>
      </c>
      <c r="AA10" s="28">
        <f>18223/965.22</f>
        <v>18.87963365864777</v>
      </c>
      <c r="AB10" s="28">
        <f>18557/965.12</f>
        <v>19.227660809018566</v>
      </c>
      <c r="AC10" s="28">
        <f>18813/991.14</f>
        <v>18.9811731945033</v>
      </c>
      <c r="AD10" s="28">
        <f>18909.4/959.87</f>
        <v>19.699959369497954</v>
      </c>
      <c r="AE10" s="28">
        <f>19258.7/987.63</f>
        <v>19.49991393538066</v>
      </c>
      <c r="AF10" s="28">
        <f>19412/1011.23</f>
        <v>19.196424156720035</v>
      </c>
      <c r="AG10" s="28">
        <f>19950/1001.78</f>
        <v>19.914552097266867</v>
      </c>
      <c r="AH10" s="28">
        <f>20230.6/1076.58</f>
        <v>18.791543591744226</v>
      </c>
      <c r="AI10" s="16">
        <f>21353/1204</f>
        <v>17.735049833887043</v>
      </c>
      <c r="AJ10" s="16">
        <f>22094/1134</f>
        <v>19.483245149911816</v>
      </c>
      <c r="AK10" s="16">
        <f>22578/1140</f>
        <v>19.805263157894736</v>
      </c>
      <c r="AL10" s="16">
        <f>23209/1208</f>
        <v>19.212748344370862</v>
      </c>
      <c r="AM10" s="16">
        <f>23617/1223</f>
        <v>19.310711365494686</v>
      </c>
      <c r="AN10" s="16">
        <f>23695/1242</f>
        <v>19.078099838969404</v>
      </c>
      <c r="AO10" s="16">
        <f>25156/1242</f>
        <v>20.254428341384862</v>
      </c>
      <c r="AP10" s="16">
        <f>25968/1222</f>
        <v>21.25040916530278</v>
      </c>
      <c r="AQ10" s="16"/>
      <c r="AR10" s="16">
        <f>27032/1264</f>
        <v>21.38607594936709</v>
      </c>
      <c r="AS10" s="16"/>
      <c r="AT10" s="16">
        <f>28180/1307</f>
        <v>21.560826319816375</v>
      </c>
      <c r="AU10" s="16"/>
      <c r="AV10" s="16">
        <f>28976/1337</f>
        <v>21.672400897531787</v>
      </c>
      <c r="AW10" s="16"/>
      <c r="AX10" s="16">
        <f>28932/1345</f>
        <v>21.51078066914498</v>
      </c>
      <c r="AY10" s="9"/>
    </row>
    <row r="11" spans="1:51" ht="12.75">
      <c r="A11" s="7"/>
      <c r="B11" s="8" t="s">
        <v>13</v>
      </c>
      <c r="C11" s="28">
        <v>17.5</v>
      </c>
      <c r="D11" s="28"/>
      <c r="E11" s="28"/>
      <c r="F11" s="28">
        <v>17.2</v>
      </c>
      <c r="G11" s="28"/>
      <c r="H11" s="28"/>
      <c r="I11" s="28">
        <v>16.2</v>
      </c>
      <c r="J11" s="28"/>
      <c r="K11" s="28"/>
      <c r="L11" s="28">
        <v>15.2</v>
      </c>
      <c r="M11" s="28">
        <v>15.2</v>
      </c>
      <c r="N11" s="28">
        <v>15.3</v>
      </c>
      <c r="O11" s="28">
        <v>14.9</v>
      </c>
      <c r="P11" s="28">
        <v>15.3</v>
      </c>
      <c r="Q11" s="28">
        <v>15.4</v>
      </c>
      <c r="R11" s="28">
        <v>15.9</v>
      </c>
      <c r="S11" s="28">
        <f>7640/486.18</f>
        <v>15.71434448146777</v>
      </c>
      <c r="T11" s="28">
        <f>7654/490.53</f>
        <v>15.60353087476811</v>
      </c>
      <c r="U11" s="28">
        <f>7641/495.73</f>
        <v>15.413632420874265</v>
      </c>
      <c r="V11" s="28">
        <f>7572/504.29</f>
        <v>15.015169842749211</v>
      </c>
      <c r="W11" s="28">
        <f>7407/501.95</f>
        <v>14.756449845602152</v>
      </c>
      <c r="X11" s="28">
        <v>14.7</v>
      </c>
      <c r="Y11" s="28">
        <f>6957/463.82</f>
        <v>14.999353197361046</v>
      </c>
      <c r="Z11" s="28">
        <f>6510/476.33</f>
        <v>13.666995570297903</v>
      </c>
      <c r="AA11" s="28">
        <f>6628/488.63</f>
        <v>13.564455723144302</v>
      </c>
      <c r="AB11" s="28">
        <f>6880/481.72</f>
        <v>14.282155609067507</v>
      </c>
      <c r="AC11" s="28">
        <f>6925/490</f>
        <v>14.13265306122449</v>
      </c>
      <c r="AD11" s="28">
        <f>7118/501.43</f>
        <v>14.195401152703269</v>
      </c>
      <c r="AE11" s="28">
        <f>7205/505.77</f>
        <v>14.245605710105384</v>
      </c>
      <c r="AF11" s="28">
        <f>7427/535.04</f>
        <v>13.88120514354067</v>
      </c>
      <c r="AG11" s="28">
        <f>7435/518.27</f>
        <v>14.34580431049453</v>
      </c>
      <c r="AH11" s="28">
        <f>7782/505.45</f>
        <v>15.396181620338313</v>
      </c>
      <c r="AI11" s="16">
        <f>8395/583</f>
        <v>14.399656946826758</v>
      </c>
      <c r="AJ11" s="16">
        <f>8724/564</f>
        <v>15.46808510638298</v>
      </c>
      <c r="AK11" s="16">
        <f>9028/544</f>
        <v>16.595588235294116</v>
      </c>
      <c r="AL11" s="16">
        <f>9259/586</f>
        <v>15.800341296928327</v>
      </c>
      <c r="AM11" s="16">
        <f>9288/595</f>
        <v>15.610084033613445</v>
      </c>
      <c r="AN11" s="16">
        <f>9269/625</f>
        <v>14.8304</v>
      </c>
      <c r="AO11" s="16">
        <f>9730/639</f>
        <v>15.226917057902973</v>
      </c>
      <c r="AP11" s="16">
        <f>10259/606</f>
        <v>16.92904290429043</v>
      </c>
      <c r="AQ11" s="16"/>
      <c r="AR11" s="16">
        <f>10694/651</f>
        <v>16.427035330261138</v>
      </c>
      <c r="AS11" s="16"/>
      <c r="AT11" s="16">
        <f>10763/679</f>
        <v>15.851251840942563</v>
      </c>
      <c r="AU11" s="16"/>
      <c r="AV11" s="16">
        <f>10775/659</f>
        <v>16.350531107739</v>
      </c>
      <c r="AW11" s="16"/>
      <c r="AX11" s="16">
        <f>10870/668</f>
        <v>16.272455089820358</v>
      </c>
      <c r="AY11" s="9"/>
    </row>
    <row r="12" spans="1:51" ht="12.75">
      <c r="A12" s="7"/>
      <c r="B12" s="8" t="s">
        <v>52</v>
      </c>
      <c r="C12" s="28">
        <v>15.5</v>
      </c>
      <c r="D12" s="28"/>
      <c r="E12" s="28"/>
      <c r="F12" s="28">
        <v>13.8</v>
      </c>
      <c r="G12" s="28"/>
      <c r="H12" s="28"/>
      <c r="I12" s="28">
        <v>16.2</v>
      </c>
      <c r="J12" s="28"/>
      <c r="K12" s="28"/>
      <c r="L12" s="28">
        <v>17.2</v>
      </c>
      <c r="M12" s="28">
        <v>17.4</v>
      </c>
      <c r="N12" s="28">
        <v>20.4</v>
      </c>
      <c r="O12" s="28">
        <v>21.1</v>
      </c>
      <c r="P12" s="28">
        <v>23.3</v>
      </c>
      <c r="Q12" s="28">
        <v>21.8</v>
      </c>
      <c r="R12" s="28">
        <v>25.3</v>
      </c>
      <c r="S12" s="28">
        <f>4724/195.88</f>
        <v>24.116806207882377</v>
      </c>
      <c r="T12" s="28">
        <f>4378/196.24</f>
        <v>22.309417040358742</v>
      </c>
      <c r="U12" s="28">
        <f>4212/197.32</f>
        <v>21.346036894384756</v>
      </c>
      <c r="V12" s="28">
        <f>4314/207.04</f>
        <v>20.836553323029367</v>
      </c>
      <c r="W12" s="28">
        <f>4198/264.29</f>
        <v>15.884066744863595</v>
      </c>
      <c r="X12" s="28">
        <v>16.2</v>
      </c>
      <c r="Y12" s="28">
        <f>4501/260.84</f>
        <v>17.255788989418804</v>
      </c>
      <c r="Z12" s="28">
        <f>4619/254.71</f>
        <v>18.134348867339327</v>
      </c>
      <c r="AA12" s="28">
        <f>4457/263.58</f>
        <v>16.90947719857349</v>
      </c>
      <c r="AB12" s="28">
        <f>4455/254.01</f>
        <v>17.538679579544112</v>
      </c>
      <c r="AC12" s="28">
        <f>4455/260.1</f>
        <v>17.1280276816609</v>
      </c>
      <c r="AD12" s="28">
        <f>4185/259.32</f>
        <v>16.13836186950486</v>
      </c>
      <c r="AE12" s="28">
        <f>4187/268.57</f>
        <v>15.589976542428417</v>
      </c>
      <c r="AF12" s="28">
        <f>4039/274.56</f>
        <v>14.710810023310023</v>
      </c>
      <c r="AG12" s="28">
        <f>3951/250.2</f>
        <v>15.79136690647482</v>
      </c>
      <c r="AH12" s="28">
        <f>4057.1/253.92</f>
        <v>15.9778670447385</v>
      </c>
      <c r="AI12" s="16">
        <f>4347/309</f>
        <v>14.067961165048544</v>
      </c>
      <c r="AJ12" s="16">
        <f>4444/307</f>
        <v>14.47557003257329</v>
      </c>
      <c r="AK12" s="16">
        <f>4384/316</f>
        <v>13.873417721518987</v>
      </c>
      <c r="AL12" s="16">
        <f>4575/308</f>
        <v>14.853896103896103</v>
      </c>
      <c r="AM12" s="16">
        <f>4812/326</f>
        <v>14.760736196319018</v>
      </c>
      <c r="AN12" s="16">
        <f>5092/330</f>
        <v>15.43030303030303</v>
      </c>
      <c r="AO12" s="16">
        <f>5207/343</f>
        <v>15.180758017492712</v>
      </c>
      <c r="AP12" s="16">
        <f>5571/329</f>
        <v>16.933130699088146</v>
      </c>
      <c r="AQ12" s="16"/>
      <c r="AR12" s="16">
        <f>5865/329</f>
        <v>17.826747720364743</v>
      </c>
      <c r="AS12" s="16"/>
      <c r="AT12" s="16">
        <f>5949/343</f>
        <v>17.34402332361516</v>
      </c>
      <c r="AU12" s="16"/>
      <c r="AV12" s="16">
        <f>5995/328</f>
        <v>18.277439024390244</v>
      </c>
      <c r="AW12" s="16"/>
      <c r="AX12" s="16">
        <f>6279/339</f>
        <v>18.52212389380531</v>
      </c>
      <c r="AY12" s="9"/>
    </row>
    <row r="13" spans="1:51" ht="12.75">
      <c r="A13" s="7"/>
      <c r="B13" s="8" t="s">
        <v>14</v>
      </c>
      <c r="C13" s="28">
        <v>22.1</v>
      </c>
      <c r="D13" s="28"/>
      <c r="E13" s="28"/>
      <c r="F13" s="28">
        <v>21.1</v>
      </c>
      <c r="G13" s="28"/>
      <c r="H13" s="28"/>
      <c r="I13" s="28">
        <v>22.8</v>
      </c>
      <c r="J13" s="28"/>
      <c r="K13" s="28"/>
      <c r="L13" s="28">
        <v>21.2</v>
      </c>
      <c r="M13" s="28">
        <v>21.2</v>
      </c>
      <c r="N13" s="28">
        <v>21.1</v>
      </c>
      <c r="O13" s="28">
        <v>22.4</v>
      </c>
      <c r="P13" s="28">
        <v>25</v>
      </c>
      <c r="Q13" s="28">
        <v>24.6</v>
      </c>
      <c r="R13" s="28">
        <v>24</v>
      </c>
      <c r="S13" s="28">
        <f>7315/298.92</f>
        <v>24.471430483072393</v>
      </c>
      <c r="T13" s="28">
        <f>7514/299.46</f>
        <v>25.091831964202232</v>
      </c>
      <c r="U13" s="28">
        <f>7680/305.33</f>
        <v>25.15311302525137</v>
      </c>
      <c r="V13" s="28">
        <f>8063/319.19</f>
        <v>25.260816441617845</v>
      </c>
      <c r="W13" s="28">
        <f>8205/315.39</f>
        <v>26.015409493008658</v>
      </c>
      <c r="X13" s="28">
        <v>24.2</v>
      </c>
      <c r="Y13" s="28">
        <f>7249/317.31</f>
        <v>22.845167186662884</v>
      </c>
      <c r="Z13" s="28">
        <f>7288/325.81</f>
        <v>22.368865289585955</v>
      </c>
      <c r="AA13" s="28">
        <f>7532/367.67</f>
        <v>20.48576168847064</v>
      </c>
      <c r="AB13" s="28">
        <v>23.1</v>
      </c>
      <c r="AC13" s="28">
        <f>7602/361.32</f>
        <v>21.03952175357024</v>
      </c>
      <c r="AD13" s="28">
        <f>7422/354.33</f>
        <v>20.946575226483787</v>
      </c>
      <c r="AE13" s="28">
        <f>7690/346.05</f>
        <v>22.22222222222222</v>
      </c>
      <c r="AF13" s="28">
        <f>7775/352.36</f>
        <v>22.065501191962763</v>
      </c>
      <c r="AG13" s="28">
        <f>7840/345.2</f>
        <v>22.71147161066049</v>
      </c>
      <c r="AH13" s="28">
        <f>7977.6/349.24</f>
        <v>22.842744244645516</v>
      </c>
      <c r="AI13" s="16">
        <f>8008/412</f>
        <v>19.436893203883496</v>
      </c>
      <c r="AJ13" s="16">
        <f>7968/422</f>
        <v>18.881516587677726</v>
      </c>
      <c r="AK13" s="16">
        <f>7876/435</f>
        <v>18.105747126436782</v>
      </c>
      <c r="AL13" s="16">
        <f>8211/449</f>
        <v>18.28730512249443</v>
      </c>
      <c r="AM13" s="16">
        <f>8184/480</f>
        <v>17.05</v>
      </c>
      <c r="AN13" s="16">
        <f>8288/490</f>
        <v>16.914285714285715</v>
      </c>
      <c r="AO13" s="16">
        <f>8170/489</f>
        <v>16.70756646216769</v>
      </c>
      <c r="AP13" s="16">
        <f>8457/483</f>
        <v>17.509316770186334</v>
      </c>
      <c r="AQ13" s="16"/>
      <c r="AR13" s="16">
        <f>8645/475</f>
        <v>18.2</v>
      </c>
      <c r="AS13" s="16"/>
      <c r="AT13" s="16">
        <f>8538/462</f>
        <v>18.48051948051948</v>
      </c>
      <c r="AU13" s="16"/>
      <c r="AV13" s="16">
        <f>8422/464</f>
        <v>18.150862068965516</v>
      </c>
      <c r="AW13" s="16"/>
      <c r="AX13" s="16">
        <f>8336/463</f>
        <v>18.004319654427647</v>
      </c>
      <c r="AY13" s="9"/>
    </row>
    <row r="14" spans="1:51" ht="12.75">
      <c r="A14" s="7"/>
      <c r="B14" s="8" t="s">
        <v>39</v>
      </c>
      <c r="C14" s="31">
        <v>19.7</v>
      </c>
      <c r="D14" s="31"/>
      <c r="E14" s="31"/>
      <c r="F14" s="31">
        <v>18.3</v>
      </c>
      <c r="G14" s="31"/>
      <c r="H14" s="31"/>
      <c r="I14" s="31">
        <v>19.3</v>
      </c>
      <c r="J14" s="31"/>
      <c r="K14" s="31"/>
      <c r="L14" s="31">
        <v>18.3</v>
      </c>
      <c r="M14" s="31"/>
      <c r="N14" s="31"/>
      <c r="O14" s="31">
        <v>20.4</v>
      </c>
      <c r="P14" s="31">
        <v>20.8</v>
      </c>
      <c r="Q14" s="31">
        <v>20.4</v>
      </c>
      <c r="R14" s="31">
        <v>20.6</v>
      </c>
      <c r="S14" s="31">
        <v>20.1</v>
      </c>
      <c r="T14" s="31">
        <v>19.9</v>
      </c>
      <c r="U14" s="31">
        <v>20.8</v>
      </c>
      <c r="V14" s="31">
        <v>20.5</v>
      </c>
      <c r="W14" s="31">
        <v>19.5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>
        <f>42103/2508</f>
        <v>16.787480063795854</v>
      </c>
      <c r="AJ14" s="16">
        <f>43260/2427</f>
        <v>17.824474660074166</v>
      </c>
      <c r="AK14" s="16">
        <f>43866/2435</f>
        <v>18.014784394250512</v>
      </c>
      <c r="AL14" s="16">
        <f>45254/2551</f>
        <v>17.739709917679342</v>
      </c>
      <c r="AM14" s="16">
        <f>45901/2624</f>
        <v>17.492759146341463</v>
      </c>
      <c r="AN14" s="16">
        <f>46343/2687</f>
        <v>17.247115742463713</v>
      </c>
      <c r="AO14" s="16">
        <f>48263/2713</f>
        <v>17.789531883523775</v>
      </c>
      <c r="AP14" s="16">
        <f>50255/2640</f>
        <v>19.035984848484848</v>
      </c>
      <c r="AQ14" s="16"/>
      <c r="AR14" s="16">
        <f>52236/2719</f>
        <v>19.211474806914307</v>
      </c>
      <c r="AS14" s="16"/>
      <c r="AT14" s="16">
        <f>53430/2791</f>
        <v>19.14367610175564</v>
      </c>
      <c r="AU14" s="16"/>
      <c r="AV14" s="16">
        <f>54168/2788</f>
        <v>19.428981348637016</v>
      </c>
      <c r="AW14" s="16"/>
      <c r="AX14" s="16">
        <f>54417/2815</f>
        <v>19.33108348134991</v>
      </c>
      <c r="AY14" s="9"/>
    </row>
    <row r="15" spans="1:51" ht="12.75">
      <c r="A15" s="7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9"/>
    </row>
    <row r="16" spans="1:51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9"/>
    </row>
    <row r="17" spans="1:51" ht="12.75">
      <c r="A17" s="7"/>
      <c r="B17" s="8" t="s">
        <v>44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9"/>
    </row>
    <row r="18" spans="1:51" ht="12.75">
      <c r="A18" s="7"/>
      <c r="B18" s="8" t="s">
        <v>49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9"/>
    </row>
    <row r="19" spans="1:51" ht="12.75" hidden="1">
      <c r="A19" s="7"/>
      <c r="B19" s="29" t="s">
        <v>46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9"/>
    </row>
    <row r="20" spans="1:51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9"/>
    </row>
    <row r="21" spans="1:51" ht="12.75">
      <c r="A21" s="7"/>
      <c r="B21" s="8" t="s">
        <v>45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9"/>
    </row>
    <row r="22" spans="1:51" ht="12.75" customHeight="1" hidden="1">
      <c r="A22" s="7"/>
      <c r="B22" s="29" t="s">
        <v>47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9"/>
    </row>
    <row r="23" spans="1:51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9"/>
    </row>
    <row r="24" spans="1:51" ht="12.75">
      <c r="A24" s="1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8"/>
      <c r="AD24" s="25"/>
      <c r="AE24" s="25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 t="s">
        <v>58</v>
      </c>
      <c r="AY24" s="19"/>
    </row>
    <row r="25" spans="1:5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2.75">
      <c r="A26" s="1"/>
      <c r="B26" s="1"/>
      <c r="C26" s="26"/>
      <c r="D26" s="1"/>
      <c r="E26" s="1"/>
      <c r="F26" s="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</sheetData>
  <sheetProtection/>
  <printOptions horizontalCentered="1"/>
  <pageMargins left="0.75" right="0.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Electric Bootie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Farr</dc:creator>
  <cp:keywords/>
  <dc:description/>
  <cp:lastModifiedBy>sader</cp:lastModifiedBy>
  <cp:lastPrinted>2009-04-07T15:30:33Z</cp:lastPrinted>
  <dcterms:created xsi:type="dcterms:W3CDTF">1998-01-08T21:34:59Z</dcterms:created>
  <dcterms:modified xsi:type="dcterms:W3CDTF">2014-03-20T19:37:31Z</dcterms:modified>
  <cp:category/>
  <cp:version/>
  <cp:contentType/>
  <cp:contentStatus/>
</cp:coreProperties>
</file>