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Net Assets_K" sheetId="1" r:id="rId1"/>
    <sheet name="RECNA_K" sheetId="2" r:id="rId2"/>
    <sheet name="Cash Flows_K" sheetId="3" r:id="rId3"/>
    <sheet name="NA by Fund_K" sheetId="4" r:id="rId4"/>
    <sheet name="RECNA by Fund_K" sheetId="5" r:id="rId5"/>
    <sheet name="RECNA-Unrest CF_K" sheetId="6" r:id="rId6"/>
    <sheet name="CF Oper Rev" sheetId="7" r:id="rId7"/>
    <sheet name="Exp by Object_K" sheetId="8" r:id="rId8"/>
    <sheet name="Aux &amp; Serv Op_K" sheetId="9" r:id="rId9"/>
    <sheet name="RECNA-Aux Op_K" sheetId="10" r:id="rId10"/>
    <sheet name="Loan_K" sheetId="11" r:id="rId11"/>
    <sheet name="Endow_K" sheetId="12" r:id="rId12"/>
    <sheet name="Rest &amp; Unrest Plant_K" sheetId="13" r:id="rId13"/>
    <sheet name="Invest in Plant_K" sheetId="14" r:id="rId14"/>
    <sheet name="Bonds &amp; Notes_K" sheetId="15" r:id="rId15"/>
    <sheet name="Funds Held for Others_K" sheetId="16" r:id="rId16"/>
  </sheets>
  <definedNames>
    <definedName name="NvsASD">"V2004-06-30"</definedName>
    <definedName name="NvsAutoDrillOk">"VY"</definedName>
    <definedName name="NvsElapsedTime" localSheetId="13">0.00422951388463844</definedName>
    <definedName name="NvsElapsedTime" localSheetId="5">0.000401851852075197</definedName>
    <definedName name="NvsElapsedTime">0.00022743055887986</definedName>
    <definedName name="NvsEndTime" localSheetId="13">38211.623793287</definedName>
    <definedName name="NvsEndTime" localSheetId="5">38267.1996231481</definedName>
    <definedName name="NvsEndTime">38267.1908077546</definedName>
    <definedName name="NvsInstSpec">"%"</definedName>
    <definedName name="NvsLayoutType">"M3"</definedName>
    <definedName name="NvsNplSpec">"%,X,RZF..,CZF.."</definedName>
    <definedName name="NvsPanelEffdt">"V2099-01-01"</definedName>
    <definedName name="NvsPanelSetid">"VUOFMO"</definedName>
    <definedName name="NvsReqBU" localSheetId="13">"VKCITY"</definedName>
    <definedName name="NvsReqBU">"VKCITY"</definedName>
    <definedName name="NvsReqBUOnly">"VY"</definedName>
    <definedName name="NvsSheetType" localSheetId="13">"M"</definedName>
    <definedName name="NvsSheetType" localSheetId="4">"M"</definedName>
    <definedName name="NvsSheetType" localSheetId="5">"M"</definedName>
    <definedName name="NvsTransLed">"VN"</definedName>
    <definedName name="NvsTree.GASB_34_35_FUND" localSheetId="4">"YNNYN"</definedName>
    <definedName name="NvsTree.GASB_34_35_FUND" localSheetId="5">"YNNYN"</definedName>
    <definedName name="NvsTreeASD">"V2004-06-30"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FUND_CODE">"FUND_TBL"</definedName>
    <definedName name="NvsValTbl.SCENARIO">"BD_SCENARIO_TBL"</definedName>
    <definedName name="_xlnm.Print_Area" localSheetId="8">'Aux &amp; Serv Op_K'!$A$2:$H$35</definedName>
    <definedName name="_xlnm.Print_Area" localSheetId="14">'Bonds &amp; Notes_K'!$A$1:$G$32</definedName>
    <definedName name="_xlnm.Print_Area" localSheetId="6">'CF Oper Rev'!$A$1:$I$71</definedName>
    <definedName name="_xlnm.Print_Area" localSheetId="11">'Endow_K'!$B$1:$L$413</definedName>
    <definedName name="_xlnm.Print_Area" localSheetId="7">'Exp by Object_K'!$A$1:$H$55</definedName>
    <definedName name="_xlnm.Print_Area" localSheetId="15">'Funds Held for Others_K'!$B$2:$G$135</definedName>
    <definedName name="_xlnm.Print_Area" localSheetId="13">'Invest in Plant_K'!$A$1:$J$27</definedName>
    <definedName name="_xlnm.Print_Area" localSheetId="10">'Loan_K'!$A$1:$L$112</definedName>
    <definedName name="_xlnm.Print_Area" localSheetId="4">'RECNA by Fund_K'!$B$1:$V$418</definedName>
    <definedName name="_xlnm.Print_Area" localSheetId="5">'RECNA-Unrest CF_K'!$B$2:$R$402</definedName>
    <definedName name="_xlnm.Print_Area" localSheetId="12">'Rest &amp; Unrest Plant_K'!$A$1:$L$33</definedName>
    <definedName name="_xlnm.Print_Titles" localSheetId="8">'Aux &amp; Serv Op_K'!$2:$6</definedName>
    <definedName name="_xlnm.Print_Titles" localSheetId="6">'CF Oper Rev'!$2:$7</definedName>
    <definedName name="_xlnm.Print_Titles" localSheetId="11">'Endow_K'!$2:$6</definedName>
    <definedName name="_xlnm.Print_Titles" localSheetId="7">'Exp by Object_K'!$2:$6</definedName>
    <definedName name="_xlnm.Print_Titles" localSheetId="15">'Funds Held for Others_K'!$2:$6</definedName>
    <definedName name="_xlnm.Print_Titles" localSheetId="13">'Invest in Plant_K'!$2:$8</definedName>
    <definedName name="_xlnm.Print_Titles" localSheetId="10">'Loan_K'!$2:$6</definedName>
    <definedName name="_xlnm.Print_Titles" localSheetId="3">'NA by Fund_K'!$2:$9</definedName>
    <definedName name="_xlnm.Print_Titles" localSheetId="4">'RECNA by Fund_K'!$2:$10</definedName>
    <definedName name="_xlnm.Print_Titles" localSheetId="9">'RECNA-Aux Op_K'!$2:$6</definedName>
    <definedName name="_xlnm.Print_Titles" localSheetId="5">'RECNA-Unrest CF_K'!$2:$8</definedName>
    <definedName name="_xlnm.Print_Titles" localSheetId="12">'Rest &amp; Unrest Plant_K'!$2:$7</definedName>
    <definedName name="RBN" localSheetId="13">'Invest in Plant_K'!$N$4</definedName>
    <definedName name="RBN" localSheetId="4">'RECNA by Fund_K'!$AE$2</definedName>
    <definedName name="RBN" localSheetId="5">'RECNA-Unrest CF_K'!$S$3</definedName>
    <definedName name="RBN">'NA by Fund_K'!$AA$4</definedName>
  </definedNames>
  <calcPr fullCalcOnLoad="1"/>
</workbook>
</file>

<file path=xl/sharedStrings.xml><?xml version="1.0" encoding="utf-8"?>
<sst xmlns="http://schemas.openxmlformats.org/spreadsheetml/2006/main" count="5282" uniqueCount="3555">
  <si>
    <t>%,V863100</t>
  </si>
  <si>
    <t>Full costing</t>
  </si>
  <si>
    <t>863100</t>
  </si>
  <si>
    <t>%,V863101</t>
  </si>
  <si>
    <t>Full Costing  - 8511</t>
  </si>
  <si>
    <t>863101</t>
  </si>
  <si>
    <t>%,V865000</t>
  </si>
  <si>
    <t>Work Study/SEOG</t>
  </si>
  <si>
    <t>865000</t>
  </si>
  <si>
    <t>%,V867000</t>
  </si>
  <si>
    <t>Close out fixed price contract</t>
  </si>
  <si>
    <t>867000</t>
  </si>
  <si>
    <t>%,V868000</t>
  </si>
  <si>
    <t>Other Expenditures</t>
  </si>
  <si>
    <t>868000</t>
  </si>
  <si>
    <t>%,V893700</t>
  </si>
  <si>
    <t>Collection expense</t>
  </si>
  <si>
    <t>893700</t>
  </si>
  <si>
    <t>%,V895000</t>
  </si>
  <si>
    <t>Custodian fees/bank fees</t>
  </si>
  <si>
    <t>895000</t>
  </si>
  <si>
    <t>%,FACCOUNT,TGASB_34_35,X,NAUX &amp; EDUC ACTIV,NINVESTMENT IN PLANT,NOTHER DEPT OPERATING,NPROFESSIONAL &amp; CONSU,NSUPPLY_NONCAP ASSET,NUTILITIES,NSELF INSURANCE BENE</t>
  </si>
  <si>
    <t>%,V764000</t>
  </si>
  <si>
    <t>764000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</si>
  <si>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</si>
  <si>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</si>
  <si>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</si>
  <si>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</si>
  <si>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</si>
  <si>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</si>
  <si>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</si>
  <si>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%,V503000</t>
  </si>
  <si>
    <t>Land offset</t>
  </si>
  <si>
    <t>503000</t>
  </si>
  <si>
    <t>%,V504000</t>
  </si>
  <si>
    <t>Library Books offset</t>
  </si>
  <si>
    <t>504000</t>
  </si>
  <si>
    <t>%,V770000</t>
  </si>
  <si>
    <t>Equipment &gt; $5,000</t>
  </si>
  <si>
    <t>770000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</si>
  <si>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</si>
  <si>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</si>
  <si>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</si>
  <si>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</si>
  <si>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</si>
  <si>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</si>
  <si>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</si>
  <si>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</si>
  <si>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</si>
  <si>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%,V777600</t>
  </si>
  <si>
    <t>Laboratory - Capital</t>
  </si>
  <si>
    <t>777600</t>
  </si>
  <si>
    <t>%,V777800</t>
  </si>
  <si>
    <t>Vehicles - Capital</t>
  </si>
  <si>
    <t>777800</t>
  </si>
  <si>
    <t>%,V780000</t>
  </si>
  <si>
    <t>Library acquisitions</t>
  </si>
  <si>
    <t>780000</t>
  </si>
  <si>
    <t>%,V788100</t>
  </si>
  <si>
    <t>Library Acquisition-Capital</t>
  </si>
  <si>
    <t>788100</t>
  </si>
  <si>
    <t>%,V793000</t>
  </si>
  <si>
    <t>Landscape/Grounds capital</t>
  </si>
  <si>
    <t>793000</t>
  </si>
  <si>
    <t>%,V796500</t>
  </si>
  <si>
    <t>Bldg reno/rehab capital</t>
  </si>
  <si>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</si>
  <si>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</si>
  <si>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</si>
  <si>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</si>
  <si>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</si>
  <si>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</si>
  <si>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</si>
  <si>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%,V798500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</si>
  <si>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</si>
  <si>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</si>
  <si>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</si>
  <si>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</si>
  <si>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</si>
  <si>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</si>
  <si>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</si>
  <si>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%,FACCOUNT,TGASB_34_35,X,NCAPITAL ASSETS,NCAPITAL OFFSET</t>
  </si>
  <si>
    <t>Capital Expense</t>
  </si>
  <si>
    <t>%,V821000</t>
  </si>
  <si>
    <t>%,FACCOUNT,TGASB_34_35,X,NOTHER DEPT OPERATING,NDISP OF PLANT ASSETS,NSCHOLAR &amp; FELLOW,NCAPITAL ASSETS,NCAPITAL OFFSET,NDEPR,NINVESTMENT IN PLANT,NSELF INSURANCE BENE</t>
  </si>
  <si>
    <t xml:space="preserve">         Total Operating Expenses</t>
  </si>
  <si>
    <t>Operating Income (Loss) before Other Nonoperating</t>
  </si>
  <si>
    <t>%,V481300</t>
  </si>
  <si>
    <t>Gifts-alumni-cash</t>
  </si>
  <si>
    <t>481300</t>
  </si>
  <si>
    <t>%,R,FACCOUNT,TGASB_34_35,X,NGIFTS</t>
  </si>
  <si>
    <t>%,FACCOUNT,TGASB_34_35,X,NINTEREST CAP DEBT</t>
  </si>
  <si>
    <t>%,R,FACCOUNT,TGASB_34_35,X,NFEDERAL APPROPS,NPAYMENTS TO BENE,NRETIREMENT BENEFITS,NSTATE APPROPS</t>
  </si>
  <si>
    <t>%,R,FACCOUNT,TGASB_34_35,X,NTRANSFERS</t>
  </si>
  <si>
    <t xml:space="preserve">          Net Other Nonoperating Revenues (Expenses)</t>
  </si>
  <si>
    <t xml:space="preserve">             and Transfers</t>
  </si>
  <si>
    <t xml:space="preserve">   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</si>
  <si>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</si>
  <si>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</si>
  <si>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</si>
  <si>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</si>
  <si>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</si>
  <si>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LOAN FUNDS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</si>
  <si>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</si>
  <si>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</si>
  <si>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</si>
  <si>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</si>
  <si>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</si>
  <si>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</t>
  </si>
  <si>
    <t>%,VK6001</t>
  </si>
  <si>
    <t>HPL-DENTAL</t>
  </si>
  <si>
    <t>%,VK6002</t>
  </si>
  <si>
    <t>H P L-MEDICINE</t>
  </si>
  <si>
    <t>CHRISTIAN LOAN FUND</t>
  </si>
  <si>
    <t>TOTAL RESTRICTED</t>
  </si>
  <si>
    <t>UNRESTRICTED</t>
  </si>
  <si>
    <t>%,VK6037</t>
  </si>
  <si>
    <t>WM R JACQUES FUND</t>
  </si>
  <si>
    <t>%,VK6084</t>
  </si>
  <si>
    <t>UMKC S-T LOANS</t>
  </si>
  <si>
    <t>%,VK6089</t>
  </si>
  <si>
    <t>W WILLIAMS LOAN FUND</t>
  </si>
  <si>
    <t>%,VK6090</t>
  </si>
  <si>
    <t>M WOODSON MEM STU LN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</si>
  <si>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</si>
  <si>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</si>
  <si>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</si>
  <si>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</si>
  <si>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</si>
  <si>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</si>
  <si>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</si>
  <si>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</si>
  <si>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</si>
  <si>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</si>
  <si>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Gifts and
Other
Additions</t>
  </si>
  <si>
    <t>Income (Loss)
added to
Principal</t>
  </si>
  <si>
    <t>Gain (Loss)
on Sale of
Securities</t>
  </si>
  <si>
    <t>ENDOWMENT FUNDS</t>
  </si>
  <si>
    <t>INCOME RESTRICTED -</t>
  </si>
  <si>
    <t>%,VC0278</t>
  </si>
  <si>
    <t>HENRY ESS SCHOLARSHP</t>
  </si>
  <si>
    <t>%,VC0364</t>
  </si>
  <si>
    <t>GREEN SCH IN ADMIN</t>
  </si>
  <si>
    <t>%,VK0000</t>
  </si>
  <si>
    <t>A&amp;S FAMILY FD SCHP</t>
  </si>
  <si>
    <t>%,VK0002</t>
  </si>
  <si>
    <t>ADV ART GUILD GRANT</t>
  </si>
  <si>
    <t>%,VK0003</t>
  </si>
  <si>
    <t>C C ALLEN SCHP</t>
  </si>
  <si>
    <t>%,VK0005</t>
  </si>
  <si>
    <t>AZIMA SCHP</t>
  </si>
  <si>
    <t>%,VK0006</t>
  </si>
  <si>
    <t>J &amp; P ANDERSON SCHP</t>
  </si>
  <si>
    <t>%,VK0007</t>
  </si>
  <si>
    <t>W J BALDUS SCHP</t>
  </si>
  <si>
    <t>%,VK0008</t>
  </si>
  <si>
    <t>BIOLOGICAL SCI ENDOW</t>
  </si>
  <si>
    <t>%,VK0009</t>
  </si>
  <si>
    <t>BARGAR SCHOLARSHIP</t>
  </si>
  <si>
    <t>%,VK0010</t>
  </si>
  <si>
    <t>BALDUS SCHOLARS FUND</t>
  </si>
  <si>
    <t>%,VK0011</t>
  </si>
  <si>
    <t>GERALDINE BARROWS SC</t>
  </si>
  <si>
    <t>%,VK0013</t>
  </si>
  <si>
    <t>WHEADON BLOCH SCHP</t>
  </si>
  <si>
    <t>%,VK0014</t>
  </si>
  <si>
    <t>BRENNER TRANS SCHP</t>
  </si>
  <si>
    <t>%,VK0016</t>
  </si>
  <si>
    <t>J E BROWN AWARD</t>
  </si>
  <si>
    <t>%,VK0017</t>
  </si>
  <si>
    <t>R M BROWN MEM SCHP</t>
  </si>
  <si>
    <t>%,VK0018</t>
  </si>
  <si>
    <t>BURKHOLDER MEM SCHP</t>
  </si>
  <si>
    <t>%,VK0019</t>
  </si>
  <si>
    <t>CAIRNS SCHP IN BUS</t>
  </si>
  <si>
    <t>%,VK0020</t>
  </si>
  <si>
    <t>CAVANAUGH SCHP</t>
  </si>
  <si>
    <t>%,VK0021</t>
  </si>
  <si>
    <t>CIVIC ORCHESTRA FUND</t>
  </si>
  <si>
    <t>%,VK0022</t>
  </si>
  <si>
    <t>P K COCKEFAIR SCHP</t>
  </si>
  <si>
    <t>%,VK0023</t>
  </si>
  <si>
    <t>A &amp; J COLEMAN SCHP</t>
  </si>
  <si>
    <t>%,VK0024</t>
  </si>
  <si>
    <t>CALMES MEM SCHP FD</t>
  </si>
  <si>
    <t>%,VK0025</t>
  </si>
  <si>
    <t>FONG WU CHENG SCHP</t>
  </si>
  <si>
    <t>%,VK0026</t>
  </si>
  <si>
    <t>COLLEGE CLUB TEAGUE</t>
  </si>
  <si>
    <t>%,VK0027</t>
  </si>
  <si>
    <t>W COOK PIANO SCHP</t>
  </si>
  <si>
    <t>%,VK0028</t>
  </si>
  <si>
    <t>H W COOKINGHAM SCHP</t>
  </si>
  <si>
    <t>%,VK0030</t>
  </si>
  <si>
    <t>E &amp; H DARBY SCHP</t>
  </si>
  <si>
    <t>%,VK0031</t>
  </si>
  <si>
    <t>DE CLERCK PHARMACY</t>
  </si>
  <si>
    <t>%,VK0032</t>
  </si>
  <si>
    <t>DELTA CHI SCHP</t>
  </si>
  <si>
    <t>%,VK0033</t>
  </si>
  <si>
    <t>L L DEXTER SCHP</t>
  </si>
  <si>
    <t>%,VK0034</t>
  </si>
  <si>
    <t>DIGGS SCHOLARSHIP</t>
  </si>
  <si>
    <t>%,VK0035</t>
  </si>
  <si>
    <t>EVA R DONNELL SCHOLR</t>
  </si>
  <si>
    <t>%,VK0037</t>
  </si>
  <si>
    <t>EDUCATION ALUMNI SCH</t>
  </si>
  <si>
    <t>%,VK0038</t>
  </si>
  <si>
    <t>ESTERLY SCHOLARSHIP</t>
  </si>
  <si>
    <t>%,VK0040</t>
  </si>
  <si>
    <t>FIELD WRITING SCHP</t>
  </si>
  <si>
    <t>%,VK0041</t>
  </si>
  <si>
    <t>FINTER SCHOL COSTUME</t>
  </si>
  <si>
    <t>%,VK0042</t>
  </si>
  <si>
    <t>FLAKE SCHOLARSHIP</t>
  </si>
  <si>
    <t>%,VK0043</t>
  </si>
  <si>
    <t>FLARSHEIM SCHP</t>
  </si>
  <si>
    <t>%,VK0047</t>
  </si>
  <si>
    <t>FD DEAN FOUNDERS AWD</t>
  </si>
  <si>
    <t>%,VK0048</t>
  </si>
  <si>
    <t>MARY E FOWLER FD</t>
  </si>
  <si>
    <t>%,VK0049</t>
  </si>
  <si>
    <t>FRIENDS OF TRUMAN CA</t>
  </si>
  <si>
    <t>%,VK0050</t>
  </si>
  <si>
    <t>GEORGE &amp; GRACE FOX</t>
  </si>
  <si>
    <t>%,VK0051</t>
  </si>
  <si>
    <t>RYAN GREENBERG SCHP</t>
  </si>
  <si>
    <t>%,VK0052</t>
  </si>
  <si>
    <t>FULLERTON SCHP</t>
  </si>
  <si>
    <t>%,VK0053</t>
  </si>
  <si>
    <t>RUTH GANT MEM SCHP</t>
  </si>
  <si>
    <t>%,VK0054</t>
  </si>
  <si>
    <t>OTIS GENTRY SCHP</t>
  </si>
  <si>
    <t>%,VK0055</t>
  </si>
  <si>
    <t>GOLD STAR MOTHERS KC</t>
  </si>
  <si>
    <t>%,VK0056</t>
  </si>
  <si>
    <t>ESTATE PLANNING SOC</t>
  </si>
  <si>
    <t>%,VK0057</t>
  </si>
  <si>
    <t>M W &amp; W S GORDON FD</t>
  </si>
  <si>
    <t>%,VK0058</t>
  </si>
  <si>
    <t>FG HALL-WS GORDON FD</t>
  </si>
  <si>
    <t>%,VK0059</t>
  </si>
  <si>
    <t>S H HARE LIBRARY FD</t>
  </si>
  <si>
    <t>%,VK0060</t>
  </si>
  <si>
    <t>HARMON SCHOLARS FUND</t>
  </si>
  <si>
    <t>%,VK0062</t>
  </si>
  <si>
    <t>MIKE GREENE MEMORIAL</t>
  </si>
  <si>
    <t>%,VK0063</t>
  </si>
  <si>
    <t>HALLEY SCHP FUND</t>
  </si>
  <si>
    <t>%,VK0064</t>
  </si>
  <si>
    <t>DR DAN HEDGE SCHP</t>
  </si>
  <si>
    <t>%,VK0065</t>
  </si>
  <si>
    <t>GUERRON LEACH SCHP</t>
  </si>
  <si>
    <t>%,VK0066</t>
  </si>
  <si>
    <t>E B HODGES MEM</t>
  </si>
  <si>
    <t>%,VK0067</t>
  </si>
  <si>
    <t>HOWARD E HUSELTON SC</t>
  </si>
  <si>
    <t>%,VK0068</t>
  </si>
  <si>
    <t>IND AAUW END SCHOLAR</t>
  </si>
  <si>
    <t>%,VK0069</t>
  </si>
  <si>
    <t>INDEPEN JAYCEES SCSP</t>
  </si>
  <si>
    <t>%,VK0070</t>
  </si>
  <si>
    <t>INDEP YOUNG MATRONS</t>
  </si>
  <si>
    <t>%,VK0071</t>
  </si>
  <si>
    <t>INFO PROD INC SCHOL</t>
  </si>
  <si>
    <t>%,VK0072</t>
  </si>
  <si>
    <t>DOUGLAS IRWIN MEM SH</t>
  </si>
  <si>
    <t>%,VK0073</t>
  </si>
  <si>
    <t>ENID &amp; CROSBY KEMPER</t>
  </si>
  <si>
    <t>%,VK0074</t>
  </si>
  <si>
    <t>MARY KNUTSON SCHP</t>
  </si>
  <si>
    <t>%,VK0075</t>
  </si>
  <si>
    <t>E K JACOBS MEM SCHP</t>
  </si>
  <si>
    <t>%,VK0076</t>
  </si>
  <si>
    <t>WM JACQUES STUDNT AD</t>
  </si>
  <si>
    <t>%,VK0077</t>
  </si>
  <si>
    <t>JOB SCHOLARSHIP</t>
  </si>
  <si>
    <t>%,VK0078</t>
  </si>
  <si>
    <t>PHYLLIS J JONES</t>
  </si>
  <si>
    <t>%,VK0079</t>
  </si>
  <si>
    <t>KC ELEM TEACHERS CLB</t>
  </si>
  <si>
    <t>%,VK0080</t>
  </si>
  <si>
    <t>K C WOMENS GUILD SCH</t>
  </si>
  <si>
    <t>%,VK0081</t>
  </si>
  <si>
    <t>M B KEMP END SCHP</t>
  </si>
  <si>
    <t>%,VK0083</t>
  </si>
  <si>
    <t>ARTHUR KRIEHN SCH</t>
  </si>
  <si>
    <t>%,VK0084</t>
  </si>
  <si>
    <t>ALLEN CRONK SCHP</t>
  </si>
  <si>
    <t>%,VK0085</t>
  </si>
  <si>
    <t>SANFORD B LADD AWARD</t>
  </si>
  <si>
    <t>%,VK0086</t>
  </si>
  <si>
    <t>RALPH S LATSHAW AWD</t>
  </si>
  <si>
    <t>%,VK0087</t>
  </si>
  <si>
    <t>LEATHERMAN SCHOL FD</t>
  </si>
  <si>
    <t>%,VK0088</t>
  </si>
  <si>
    <t>D LIEBERMAN MEM SCHP</t>
  </si>
  <si>
    <t>%,VK0089</t>
  </si>
  <si>
    <t>R &amp; A M LUYBEN SCHP</t>
  </si>
  <si>
    <t>%,VK0091</t>
  </si>
  <si>
    <t>MARGOLIS CONSERV SCH</t>
  </si>
  <si>
    <t>%,VK0094</t>
  </si>
  <si>
    <t>PAT MCILRATH SCHP</t>
  </si>
  <si>
    <t>%,VK0095</t>
  </si>
  <si>
    <t>MCCOY-BALDUS SCHP</t>
  </si>
  <si>
    <t>%,VK0096</t>
  </si>
  <si>
    <t>CAMPOBELLO MC SWEGIN</t>
  </si>
  <si>
    <t>%,VK0098</t>
  </si>
  <si>
    <t>MKTG COMM SCHP</t>
  </si>
  <si>
    <t>%,VK0099</t>
  </si>
  <si>
    <t>MONTGOMERY MEM SCHP</t>
  </si>
  <si>
    <t>%,VK0100</t>
  </si>
  <si>
    <t>ANNETTE MOORE AWARD</t>
  </si>
  <si>
    <t>%,VK0101</t>
  </si>
  <si>
    <t>JOHN P MORGAN SCHP</t>
  </si>
  <si>
    <t>%,VK0103</t>
  </si>
  <si>
    <t>MORRIS ASSOC-KC BANK</t>
  </si>
  <si>
    <t>%,VK0105</t>
  </si>
  <si>
    <t>NARAS MUSIC AWARD</t>
  </si>
  <si>
    <t>%,VK0106</t>
  </si>
  <si>
    <t>E H NEWCOMB MEM SCHP</t>
  </si>
  <si>
    <t>%,VK0107</t>
  </si>
  <si>
    <t>NEWCOMB SO CA SCHP</t>
  </si>
  <si>
    <t>%,VK0108</t>
  </si>
  <si>
    <t>OELSNER SCHOLARSHIP</t>
  </si>
  <si>
    <t>%,VK0109</t>
  </si>
  <si>
    <t>MERRILL OTIS FUND</t>
  </si>
  <si>
    <t>%,VK0110</t>
  </si>
  <si>
    <t>DUDLEY PITTS MEMORAL</t>
  </si>
  <si>
    <t>%,VK0111</t>
  </si>
  <si>
    <t>NORMAN&amp;ELAINE POLSKY END FD</t>
  </si>
  <si>
    <t>%,VK0113</t>
  </si>
  <si>
    <t>N J S QUERL SCHOLAR</t>
  </si>
  <si>
    <t>%,VK0114</t>
  </si>
  <si>
    <t>RICH CORP LAW PRIZE</t>
  </si>
  <si>
    <t>%,VK0115</t>
  </si>
  <si>
    <t>RILEY DENTAL SCHP</t>
  </si>
  <si>
    <t>%,VK0116</t>
  </si>
  <si>
    <t>DONALD W REYNOLDS SH</t>
  </si>
  <si>
    <t>%,VK0118</t>
  </si>
  <si>
    <t>S &amp; C ROACH SCHP</t>
  </si>
  <si>
    <t>%,VK0119</t>
  </si>
  <si>
    <t>ROBERTSON SCHP</t>
  </si>
  <si>
    <t>%,VK0120</t>
  </si>
  <si>
    <t>OMAR E ROBINSON</t>
  </si>
  <si>
    <t>%,VK0121</t>
  </si>
  <si>
    <t>LOUIS H EHRLICH SCHL</t>
  </si>
  <si>
    <t>%,VK0122</t>
  </si>
  <si>
    <t>L S ROTHSCHILD FUND</t>
  </si>
  <si>
    <t>%,VK0123</t>
  </si>
  <si>
    <t>CAROLINE SCHUTTE SCH</t>
  </si>
  <si>
    <t>%,VK0124</t>
  </si>
  <si>
    <t>SHAH MEDICAL SCHP</t>
  </si>
  <si>
    <t>%,VK0125</t>
  </si>
  <si>
    <t>SMITHER SCHOLARSHIP</t>
  </si>
  <si>
    <t>%,VK0126</t>
  </si>
  <si>
    <t>R &amp; P SNYDER SCHP</t>
  </si>
  <si>
    <t>%,VK0127</t>
  </si>
  <si>
    <t>DAVID SNOWER MEM</t>
  </si>
  <si>
    <t>%,VK0129</t>
  </si>
  <si>
    <t>STEIN-OPPENHEIMER</t>
  </si>
  <si>
    <t>%,VK0130</t>
  </si>
  <si>
    <t>STEPHENSON MUSIC ED</t>
  </si>
  <si>
    <t>%,VK0131</t>
  </si>
  <si>
    <t>LEITH STEVENS MEM</t>
  </si>
  <si>
    <t>%,VK0132</t>
  </si>
  <si>
    <t>BARBARA STORCK AWD</t>
  </si>
  <si>
    <t>%,VK0133</t>
  </si>
  <si>
    <t>STRANDBERG ENDOWMENT</t>
  </si>
  <si>
    <t>%,VK0134</t>
  </si>
  <si>
    <t>STL FR UMKC MED SCHP</t>
  </si>
  <si>
    <t>%,VK0135</t>
  </si>
  <si>
    <t>THOMAS MEM JAZZ SCHP</t>
  </si>
  <si>
    <t>%,VK0137</t>
  </si>
  <si>
    <t>TOMICH MEMORIAL</t>
  </si>
  <si>
    <t>%,VK0139</t>
  </si>
  <si>
    <t>VAN DEURSEN VOCAL</t>
  </si>
  <si>
    <t>%,VK0140</t>
  </si>
  <si>
    <t>KEVIN VANCE MEM SCH</t>
  </si>
  <si>
    <t>%,VK0141</t>
  </si>
  <si>
    <t>WILLIAM VOLKER SCHP</t>
  </si>
  <si>
    <t>%,VK0142</t>
  </si>
  <si>
    <t>DENIS WARD SCHP</t>
  </si>
  <si>
    <t>%,VK0143</t>
  </si>
  <si>
    <t>C B WATTS SCHP</t>
  </si>
  <si>
    <t>%,VK0144</t>
  </si>
  <si>
    <t>RONALD N WEST SCHP</t>
  </si>
  <si>
    <t>%,VK0146</t>
  </si>
  <si>
    <t>PROF ENGINEERS AUX</t>
  </si>
  <si>
    <t>%,VK0147</t>
  </si>
  <si>
    <t>WEST MO FRIENDS -MED</t>
  </si>
  <si>
    <t>%,VK0148</t>
  </si>
  <si>
    <t>WOMEN'S COMM CONSERV</t>
  </si>
  <si>
    <t>%,VK0149</t>
  </si>
  <si>
    <t>WHEELOCK SCHP</t>
  </si>
  <si>
    <t>%,VK0150</t>
  </si>
  <si>
    <t>HAZEL B WILLIAMS SCH</t>
  </si>
  <si>
    <t>%,VK0153</t>
  </si>
  <si>
    <t>L &amp; H HILL SCHOL</t>
  </si>
  <si>
    <t>%,VK0154</t>
  </si>
  <si>
    <t>C W ALLENDORFER-BANK</t>
  </si>
  <si>
    <t>%,VK0155</t>
  </si>
  <si>
    <t>ALUMNI REUNION FELL</t>
  </si>
  <si>
    <t>%,VK0156</t>
  </si>
  <si>
    <t>C BALDRIDGE ENDOW</t>
  </si>
  <si>
    <t>%,VK0159</t>
  </si>
  <si>
    <t>D BENJAMIN LIBR COLL</t>
  </si>
  <si>
    <t>%,VK0163</t>
  </si>
  <si>
    <t>MO CHR KIMBALL MRI</t>
  </si>
  <si>
    <t>%,VK0165</t>
  </si>
  <si>
    <t>H BONFILS PROF CONSV</t>
  </si>
  <si>
    <t>%,VK0167</t>
  </si>
  <si>
    <t>BRENNER FAC AWD</t>
  </si>
  <si>
    <t>%,VK0168</t>
  </si>
  <si>
    <t>BUTLER FDN FELLOW</t>
  </si>
  <si>
    <t>%,VK0170</t>
  </si>
  <si>
    <t>CHAPMAN ENDOWMENT</t>
  </si>
  <si>
    <t>%,VK0172</t>
  </si>
  <si>
    <t>C B COCKEFAIR CHAIR</t>
  </si>
  <si>
    <t>%,VK0176</t>
  </si>
  <si>
    <t>DALEE FUND</t>
  </si>
  <si>
    <t>%,VK0177</t>
  </si>
  <si>
    <t>DEAN'S OPPORTUN FD</t>
  </si>
  <si>
    <t>%,VK0178</t>
  </si>
  <si>
    <t>ERNEST DICK LECT FD</t>
  </si>
  <si>
    <t>%,VK0179</t>
  </si>
  <si>
    <t>DIMOND TAKE WING FND</t>
  </si>
  <si>
    <t>%,VK0180</t>
  </si>
  <si>
    <t>MED SCH ALUMNI BALL</t>
  </si>
  <si>
    <t>%,VK0181</t>
  </si>
  <si>
    <t>MO. CHAIR - DIVELEY</t>
  </si>
  <si>
    <t>%,VK0185</t>
  </si>
  <si>
    <t>ENG GOOD TEACH AWARD</t>
  </si>
  <si>
    <t>%,VK0186</t>
  </si>
  <si>
    <t>MMD MO PROF ENTREPRE</t>
  </si>
  <si>
    <t>%,VK0187</t>
  </si>
  <si>
    <t>MMD MO PROF BIOLOGY</t>
  </si>
  <si>
    <t>%,VK0188</t>
  </si>
  <si>
    <t>FELD END FOR LETTERS</t>
  </si>
  <si>
    <t>%,VK0190</t>
  </si>
  <si>
    <t>GERSHON HADAS JUDACI</t>
  </si>
  <si>
    <t>%,VK0194</t>
  </si>
  <si>
    <t>HARZFELD CHAIR-BU AD</t>
  </si>
  <si>
    <t>%,VK0195</t>
  </si>
  <si>
    <t>HASHINGER PROF-MED</t>
  </si>
  <si>
    <t>%,VK0197</t>
  </si>
  <si>
    <t>MO CHAIR - HICKLIN</t>
  </si>
  <si>
    <t>%,VK0198</t>
  </si>
  <si>
    <t>F HOFFMAN MEM</t>
  </si>
  <si>
    <t>%,VK0199</t>
  </si>
  <si>
    <t>R HULEN PROF-URB AFF</t>
  </si>
  <si>
    <t>%,VK0200</t>
  </si>
  <si>
    <t>J P KEM LIBRARY END</t>
  </si>
  <si>
    <t>%,VK0202</t>
  </si>
  <si>
    <t>KAUFFMAN MO CHR EDU</t>
  </si>
  <si>
    <t>%,VK0203</t>
  </si>
  <si>
    <t>KAUFFMAN MO CHR INT</t>
  </si>
  <si>
    <t>%,VK0204</t>
  </si>
  <si>
    <t>KAUFFMAN MO CHR III</t>
  </si>
  <si>
    <t>%,VK0205</t>
  </si>
  <si>
    <t>CLARENCE KIVETT END</t>
  </si>
  <si>
    <t>%,VK0207</t>
  </si>
  <si>
    <t>LABUDDE ENDOWMENT</t>
  </si>
  <si>
    <t>%,VK0208</t>
  </si>
  <si>
    <t>LEVITT PROF IN HUM</t>
  </si>
  <si>
    <t>%,VK0210</t>
  </si>
  <si>
    <t>M MARTINEZ-CARRION BIO SC LEC</t>
  </si>
  <si>
    <t>%,VK0211</t>
  </si>
  <si>
    <t>SOL MARGOLIN EDUC FD</t>
  </si>
  <si>
    <t>%,VK0212</t>
  </si>
  <si>
    <t>E W &amp; K R MARES LIB</t>
  </si>
  <si>
    <t>%,VK0213</t>
  </si>
  <si>
    <t>L S C MILLSAP PROF</t>
  </si>
  <si>
    <t>%,VK0214</t>
  </si>
  <si>
    <t>R A C MILLSAP PROF</t>
  </si>
  <si>
    <t>%,VK0216</t>
  </si>
  <si>
    <t>MO CHAIR MMD BIO SCI</t>
  </si>
  <si>
    <t>%,VK0218</t>
  </si>
  <si>
    <t>MED SCHOOL AWD SERV</t>
  </si>
  <si>
    <t>%,VK0219</t>
  </si>
  <si>
    <t>MENN LIBRARY FUND</t>
  </si>
  <si>
    <t>%,VK0220</t>
  </si>
  <si>
    <t>MILLSAP DIST ARTIST</t>
  </si>
  <si>
    <t>%,VK0221</t>
  </si>
  <si>
    <t>DONALD MOCKER ENDOW</t>
  </si>
  <si>
    <t>%,VK0223</t>
  </si>
  <si>
    <t>ED NELSON PROF-DENT</t>
  </si>
  <si>
    <t>%,VK0224</t>
  </si>
  <si>
    <t>NICHOLS LIBR ENDOW</t>
  </si>
  <si>
    <t>%,VK0225</t>
  </si>
  <si>
    <t>OPPENSTEIN PROF</t>
  </si>
  <si>
    <t>%,VK0226</t>
  </si>
  <si>
    <t>WELLER OVERSTREET FD</t>
  </si>
  <si>
    <t>%,VK0230</t>
  </si>
  <si>
    <t>NON PROFIT MGMT</t>
  </si>
  <si>
    <t>%,VK0231</t>
  </si>
  <si>
    <t>E REISNER ENDOWMENT</t>
  </si>
  <si>
    <t>%,VK0235</t>
  </si>
  <si>
    <t>DR LEO ROGERS PROF</t>
  </si>
  <si>
    <t>%,VK0236</t>
  </si>
  <si>
    <t>S ORLANDO SOMERS PR</t>
  </si>
  <si>
    <t>%,VK0237</t>
  </si>
  <si>
    <t>PHILLIPS PROFESSORSP</t>
  </si>
  <si>
    <t>%,VK0240</t>
  </si>
  <si>
    <t>SECOND CENTURY DENTL</t>
  </si>
  <si>
    <t>%,VK0241</t>
  </si>
  <si>
    <t>MO PROF - SCHUTTE</t>
  </si>
  <si>
    <t>%,VK0242</t>
  </si>
  <si>
    <t>C F SCOFIELD BOOK FD</t>
  </si>
  <si>
    <t>%,VK0243</t>
  </si>
  <si>
    <t>H SILVERFORB FAC DEV</t>
  </si>
  <si>
    <t>%,VK0244</t>
  </si>
  <si>
    <t>SIRRIDGE LECTURE</t>
  </si>
  <si>
    <t>%,VK0245</t>
  </si>
  <si>
    <t>E A SMITH &amp; SM PGM</t>
  </si>
  <si>
    <t>%,VK0246</t>
  </si>
  <si>
    <t>EDWARD A SMITH / MO CHAIR LAW</t>
  </si>
  <si>
    <t>%,VK0247</t>
  </si>
  <si>
    <t>D &amp; D THOMPSON A&amp;S</t>
  </si>
  <si>
    <t>%,VK0248</t>
  </si>
  <si>
    <t>MO CHAIR STRANDBERG</t>
  </si>
  <si>
    <t>%,VK0249</t>
  </si>
  <si>
    <t>D &amp; D THOMPSON NURS</t>
  </si>
  <si>
    <t>%,VK0253</t>
  </si>
  <si>
    <t>STATLAND LIB ENDOW</t>
  </si>
  <si>
    <t>%,VK0254</t>
  </si>
  <si>
    <t>HELEN STEVENS SCHOL</t>
  </si>
  <si>
    <t>%,VK0257</t>
  </si>
  <si>
    <t>MO CHAIR - STRIPP</t>
  </si>
  <si>
    <t>%,VK0261</t>
  </si>
  <si>
    <t>UMKC GEN LIBRARY END</t>
  </si>
  <si>
    <t>%,VK0262</t>
  </si>
  <si>
    <t>VEATCH ENDOWMENT</t>
  </si>
  <si>
    <t>%,VK0263</t>
  </si>
  <si>
    <t>WASSERMAN MED SCH</t>
  </si>
  <si>
    <t>%,VK0264</t>
  </si>
  <si>
    <t>ROCHE LAB/ WILKINSON</t>
  </si>
  <si>
    <t>%,VK0265</t>
  </si>
  <si>
    <t>J &amp; E WOLFF COLLECT</t>
  </si>
  <si>
    <t>%,VK0267</t>
  </si>
  <si>
    <t>FOWLER &amp; ABRANZ SCHP</t>
  </si>
  <si>
    <t>%,VK0272</t>
  </si>
  <si>
    <t>JOEL C*BROWN BK AWD</t>
  </si>
  <si>
    <t>%,VK0273</t>
  </si>
  <si>
    <t>EUGENE*BUTLER SCSP</t>
  </si>
  <si>
    <t>%,VK0274</t>
  </si>
  <si>
    <t>%,VK0276</t>
  </si>
  <si>
    <t>HENSON LECTURE IN CS</t>
  </si>
  <si>
    <t>%,VK0277</t>
  </si>
  <si>
    <t>H K BUETTNER EDUC FD</t>
  </si>
  <si>
    <t>%,VK0278</t>
  </si>
  <si>
    <t>LEFKOWITZ PROFESSORSHIP</t>
  </si>
  <si>
    <t>%,VK0285</t>
  </si>
  <si>
    <t>LARRY*MAGNUSON SCHOL</t>
  </si>
  <si>
    <t>%,VK0286</t>
  </si>
  <si>
    <t>MCNEFF LENGEL TRUST</t>
  </si>
  <si>
    <t>%,VK0288</t>
  </si>
  <si>
    <t>MED SC ALUMNI SCSP</t>
  </si>
  <si>
    <t>%,VK0289</t>
  </si>
  <si>
    <t>JANICE*MEINRATH/COCK</t>
  </si>
  <si>
    <t>%,VK0291</t>
  </si>
  <si>
    <t>MLN TECH/PERSONNEL</t>
  </si>
  <si>
    <t>%,VK0293</t>
  </si>
  <si>
    <t>MNL EXPANSION FUND</t>
  </si>
  <si>
    <t>%,VK0294</t>
  </si>
  <si>
    <t>PEMBERTON SCSP FD</t>
  </si>
  <si>
    <t>%,VK0298</t>
  </si>
  <si>
    <t>M SIRRIDGE LECT FUND</t>
  </si>
  <si>
    <t>%,VK0299</t>
  </si>
  <si>
    <t>SUTTER FUND</t>
  </si>
  <si>
    <t>%,VK0300</t>
  </si>
  <si>
    <t>JAMES S*MEISTER SCSP</t>
  </si>
  <si>
    <t>%,VK0302</t>
  </si>
  <si>
    <t>WESTERMANN SCHOLARS</t>
  </si>
  <si>
    <t>%,VK0303</t>
  </si>
  <si>
    <t>VICTOR*WILSON SCHOL</t>
  </si>
  <si>
    <t>%,VK0310</t>
  </si>
  <si>
    <t>MARJORIE ALLEN FELL</t>
  </si>
  <si>
    <t>%,VK0313</t>
  </si>
  <si>
    <t>SIRRIDGE FUND</t>
  </si>
  <si>
    <t>%,VK0314</t>
  </si>
  <si>
    <t>JAMES*FALLS END FUND</t>
  </si>
  <si>
    <t>%,VK0316</t>
  </si>
  <si>
    <t>H*LYNN E*WHITE SCSP</t>
  </si>
  <si>
    <t>%,VK0317</t>
  </si>
  <si>
    <t>RON GREENBAUM PROJECT</t>
  </si>
  <si>
    <t>%,VK0319</t>
  </si>
  <si>
    <t>%,VK0320</t>
  </si>
  <si>
    <t>MISSOURI PROF ACCOUTANCY</t>
  </si>
  <si>
    <t>%,VK0321</t>
  </si>
  <si>
    <t>FAYE KIRCHER PUBLIC SPEAK SCHP</t>
  </si>
  <si>
    <t>%,VK0322</t>
  </si>
  <si>
    <t>KCUR FM UNREST</t>
  </si>
  <si>
    <t>%,VK0323</t>
  </si>
  <si>
    <t>ABERNATHY TRUST</t>
  </si>
  <si>
    <t>%,VK0324</t>
  </si>
  <si>
    <t>STANFORD SCHOLARSHIP</t>
  </si>
  <si>
    <t>%,VK0325</t>
  </si>
  <si>
    <t>VIRGINIA MACKIE ENDOW</t>
  </si>
  <si>
    <t>%,VK0327</t>
  </si>
  <si>
    <t>DR AND MRS STANLEY NIU ENG SCH</t>
  </si>
  <si>
    <t>%,VK0328</t>
  </si>
  <si>
    <t>MARTIN DANEMAN SCHOLARSHIP</t>
  </si>
  <si>
    <t>%,VK0329</t>
  </si>
  <si>
    <t>RICHARDSON K NOBACK AWARD</t>
  </si>
  <si>
    <t>%,VK0330</t>
  </si>
  <si>
    <t>SHAFFER AWARD FOR COMMNTY SERV</t>
  </si>
  <si>
    <t>%,VK0331</t>
  </si>
  <si>
    <t>LAURA L BACKUS AWD FOR PEDIATR</t>
  </si>
  <si>
    <t>%,VK0332</t>
  </si>
  <si>
    <t>HELEN STRIFFLER RULLE SCHOL FD</t>
  </si>
  <si>
    <t>%,VK0333</t>
  </si>
  <si>
    <t>BRYAN ROSS BOLDEN MEMORIAL SCH</t>
  </si>
  <si>
    <t>%,VK0334</t>
  </si>
  <si>
    <t>H WAYNE TWYMAN SCHOLARSHIP</t>
  </si>
  <si>
    <t>%,VK0335</t>
  </si>
  <si>
    <t>PHYLLIS BERNSTEIN SCHOLARSHIP</t>
  </si>
  <si>
    <t>%,VK0336</t>
  </si>
  <si>
    <t>DENNIS SCHEMMEL ENDOW FD</t>
  </si>
  <si>
    <t>%,VK0337</t>
  </si>
  <si>
    <t>FREDERICK B JENKINS FAMILY SCH</t>
  </si>
  <si>
    <t>%,VK0338</t>
  </si>
  <si>
    <t>ALAN HINTZ BANKING SCHOLARSHIP</t>
  </si>
  <si>
    <t>%,VK0339</t>
  </si>
  <si>
    <t>CHARLENE BENTLEY SCH</t>
  </si>
  <si>
    <t>%,VK0340</t>
  </si>
  <si>
    <t>Shirley Bean Scholarship</t>
  </si>
  <si>
    <t>%,VK0342</t>
  </si>
  <si>
    <t>UMKC STAFF ASSEMBLY</t>
  </si>
  <si>
    <t>%,VK0343</t>
  </si>
  <si>
    <t>EDWARD LYNCH MEMORIAL</t>
  </si>
  <si>
    <t>%,VK0344</t>
  </si>
  <si>
    <t>Norman Royal Prof</t>
  </si>
  <si>
    <t>%,VK0345</t>
  </si>
  <si>
    <t>VAL RAD PROF</t>
  </si>
  <si>
    <t>%,VK0346</t>
  </si>
  <si>
    <t>Richard Cass Piano Schp</t>
  </si>
  <si>
    <t>%,VK0347</t>
  </si>
  <si>
    <t>KENNETH &amp; EVA SMITH FNDTN FUND</t>
  </si>
  <si>
    <t>%,VK0348</t>
  </si>
  <si>
    <t>Adam E Ericsson Endow Fund</t>
  </si>
  <si>
    <t>%,VK0349</t>
  </si>
  <si>
    <t>BHARAT SHAH ACADEM SCSP ENDOW</t>
  </si>
  <si>
    <t>%,VK0351</t>
  </si>
  <si>
    <t>MW &amp; SS FELD</t>
  </si>
  <si>
    <t>%,VK0352</t>
  </si>
  <si>
    <t>LOEFFELHOLZ SCHP ENGINEERING</t>
  </si>
  <si>
    <t>%,VK0353</t>
  </si>
  <si>
    <t>SUZANNE CRISPIN WILLIAMS FUND</t>
  </si>
  <si>
    <t>%,VK0354</t>
  </si>
  <si>
    <t>DIV ACCOUNTANCY RESOURCE ENDW</t>
  </si>
  <si>
    <t>%,VK0355</t>
  </si>
  <si>
    <t>HUGH ZIMMER SCHOLARSHIP</t>
  </si>
  <si>
    <t>%,VK0356</t>
  </si>
  <si>
    <t>EISENMAN SCHOLARSHIP</t>
  </si>
  <si>
    <t>%,VK0357</t>
  </si>
  <si>
    <t>KS DENT STUDENT SILVER LINING</t>
  </si>
  <si>
    <t>%,VK0361</t>
  </si>
  <si>
    <t>M.B. RICKARD MENTOR PROGRAM</t>
  </si>
  <si>
    <t>%,VK0362</t>
  </si>
  <si>
    <t>HERBERT&amp;MAXINE CHRISTENSEN SCH</t>
  </si>
  <si>
    <t>%,VK0363</t>
  </si>
  <si>
    <t>TRUMAN STAUFFER SCHOLARSHIP</t>
  </si>
  <si>
    <t>%,VK0364</t>
  </si>
  <si>
    <t>RAYMOND NEEVEL MO PROFESSOR</t>
  </si>
  <si>
    <t>%,VK0365</t>
  </si>
  <si>
    <t>JOHN SCOTT SHEPHERD ENDOWMENT</t>
  </si>
  <si>
    <t>%,VK0366</t>
  </si>
  <si>
    <t>GERALD KEMNER COMPOSITION ENDO</t>
  </si>
  <si>
    <t>%,VK0367</t>
  </si>
  <si>
    <t>W&amp;M PERRY MED REF COLLCTION FD</t>
  </si>
  <si>
    <t>%,VK0368</t>
  </si>
  <si>
    <t>JOHN KANDER SCHOLARSHIP ENDOW</t>
  </si>
  <si>
    <t>%,VK0369</t>
  </si>
  <si>
    <t>JOHN GUTOWSKI FUND</t>
  </si>
  <si>
    <t>%,VK0370</t>
  </si>
  <si>
    <t>RUTH MARGOLIN LEADERSHIP ENDOW</t>
  </si>
  <si>
    <t>%,VK0371</t>
  </si>
  <si>
    <t>WOMEN'S CENTER ENDOWMENT</t>
  </si>
  <si>
    <t>%,VK0372</t>
  </si>
  <si>
    <t>CHARMAINE ASHER-WILEY SCHOLARS</t>
  </si>
  <si>
    <t>%,VK0373</t>
  </si>
  <si>
    <t>RALPH I.PARISH JR. MEMOR SCHOL</t>
  </si>
  <si>
    <t>%,VK0374</t>
  </si>
  <si>
    <t>RUTH TULEY SCHOLARSHIP</t>
  </si>
  <si>
    <t>%,VK0375</t>
  </si>
  <si>
    <t>EVERETT TROST SCHOLARSHIP</t>
  </si>
  <si>
    <t>%,VK0376</t>
  </si>
  <si>
    <t>DICKSON CHAIR</t>
  </si>
  <si>
    <t>%,VK0377</t>
  </si>
  <si>
    <t>WILLIAM &amp; FAY SOLLNER SCHP</t>
  </si>
  <si>
    <t>%,VK0378</t>
  </si>
  <si>
    <t>LEE MARTS SCHOLARSHIP</t>
  </si>
  <si>
    <t>%,VK0383</t>
  </si>
  <si>
    <t>HUBERT J. CHARTRAND PIANS SCHP</t>
  </si>
  <si>
    <t>%,VK0384</t>
  </si>
  <si>
    <t>BUD PERSONS MEMORIAL SCHP</t>
  </si>
  <si>
    <t>%,VK0385</t>
  </si>
  <si>
    <t>HISTORY DEPARTMENT SCHOLARSHIP</t>
  </si>
  <si>
    <t>%,VK0387</t>
  </si>
  <si>
    <t>EPH EHLY CHORAL CONDUCTING SCH</t>
  </si>
  <si>
    <t>%,VK0388</t>
  </si>
  <si>
    <t>EUGENE W J PEARCE AWARD FOR EX</t>
  </si>
  <si>
    <t>%,VK0389</t>
  </si>
  <si>
    <t>JAMES &amp; KATHERYN TAYLOR SCHLP</t>
  </si>
  <si>
    <t>%,VK0390</t>
  </si>
  <si>
    <t>TERRY &amp; KATHLEEN MYERS SCHLP</t>
  </si>
  <si>
    <t>%,VK0391</t>
  </si>
  <si>
    <t>LIBRARIAN AWARD</t>
  </si>
  <si>
    <t>%,VK0393</t>
  </si>
  <si>
    <t>FARNSWORTH SCHOLARSHIP</t>
  </si>
  <si>
    <t>%,VK0394</t>
  </si>
  <si>
    <t>GREAT PLAINS DSTNGUISH FELLOWS</t>
  </si>
  <si>
    <t>%,VK0395</t>
  </si>
  <si>
    <t>F. CULLINAN &amp; B. SMITH SCHLP</t>
  </si>
  <si>
    <t>%,VK0396</t>
  </si>
  <si>
    <t>MAIER PIANO SCHOLARSHIP FUND</t>
  </si>
  <si>
    <t>%,VK0397</t>
  </si>
  <si>
    <t>BIERMAN/WAMPLER SCHP</t>
  </si>
  <si>
    <t>%,VK0398</t>
  </si>
  <si>
    <t>DR. AGAPITO MENDOZA SCHLP</t>
  </si>
  <si>
    <t>%,VK0399</t>
  </si>
  <si>
    <t>WANDA LATHOM-RADOCY MUSIC SCHL</t>
  </si>
  <si>
    <t>%,VK0400</t>
  </si>
  <si>
    <t>SUZANNE ZUBER SCHOLARSHIP</t>
  </si>
  <si>
    <t>%,VK0401</t>
  </si>
  <si>
    <t xml:space="preserve"> </t>
  </si>
  <si>
    <t>%,ATF,FDESCR,UDESCR</t>
  </si>
  <si>
    <t>%,C</t>
  </si>
  <si>
    <t>University of Missouri - Kansas City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</si>
  <si>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</si>
  <si>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</si>
  <si>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</si>
  <si>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</si>
  <si>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</si>
  <si>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</si>
  <si>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</si>
  <si>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</si>
  <si>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Current Notes Receivable, net</t>
  </si>
  <si>
    <t>Inventories</t>
  </si>
  <si>
    <t>Prepaid Expenses and Other Current Assets</t>
  </si>
  <si>
    <t>Noncurrent Assets:</t>
  </si>
  <si>
    <t>Pledges Receivable, net</t>
  </si>
  <si>
    <t>Notes Receivable, net</t>
  </si>
  <si>
    <t>Deferred Charges and Other Assets</t>
  </si>
  <si>
    <t>Long Term Investments</t>
  </si>
  <si>
    <t>Capital Assets, net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</si>
  <si>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</si>
  <si>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</si>
  <si>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</si>
  <si>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</si>
  <si>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</si>
  <si>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</si>
  <si>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</si>
  <si>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</si>
  <si>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</si>
  <si>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</si>
  <si>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</si>
  <si>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>Noncurrent Liabilities:</t>
  </si>
  <si>
    <t>Bonds and Notes Payable</t>
  </si>
  <si>
    <t>Total Liabilities</t>
  </si>
  <si>
    <t>Net Assets</t>
  </si>
  <si>
    <t>Invested in Capital Assets, Net of Related Debt</t>
  </si>
  <si>
    <t>Restricted:</t>
  </si>
  <si>
    <t>Unrestricted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</si>
  <si>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</si>
  <si>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</si>
  <si>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</si>
  <si>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</si>
  <si>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</si>
  <si>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</si>
  <si>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</si>
  <si>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</si>
  <si>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</si>
  <si>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</si>
  <si>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</si>
  <si>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</si>
  <si>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</si>
  <si>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</si>
  <si>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</si>
  <si>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Housing and Dining Services</t>
  </si>
  <si>
    <t xml:space="preserve">   Bookstores</t>
  </si>
  <si>
    <t xml:space="preserve">   Other Auxilliary Enterprises</t>
  </si>
  <si>
    <t>S&amp;W - Transition Pay</t>
  </si>
  <si>
    <t>708500</t>
  </si>
  <si>
    <t>%,FACCOUNT,TGASB_34_35,X,NSALARIES</t>
  </si>
  <si>
    <t>%,V710000</t>
  </si>
  <si>
    <t>710000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</si>
  <si>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</si>
  <si>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</si>
  <si>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</si>
  <si>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</si>
  <si>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</si>
  <si>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</si>
  <si>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</si>
  <si>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</si>
  <si>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</si>
  <si>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</si>
  <si>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</si>
  <si>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</si>
  <si>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</si>
  <si>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</si>
  <si>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</si>
  <si>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</si>
  <si>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</si>
  <si>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</si>
  <si>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</si>
  <si>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</si>
  <si>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</si>
  <si>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</si>
  <si>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</si>
  <si>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</si>
  <si>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</si>
  <si>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</si>
  <si>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</si>
  <si>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</si>
  <si>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</si>
  <si>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</si>
  <si>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</si>
  <si>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</si>
  <si>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</si>
  <si>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</si>
  <si>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</si>
  <si>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</si>
  <si>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</si>
  <si>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</si>
  <si>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</si>
  <si>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</si>
  <si>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</si>
  <si>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</si>
  <si>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</si>
  <si>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%,V393000</t>
  </si>
  <si>
    <t>Other Allocations/Transfers In</t>
  </si>
  <si>
    <t>393000</t>
  </si>
  <si>
    <t>%,V450000</t>
  </si>
  <si>
    <t>Internal sales &amp; services</t>
  </si>
  <si>
    <t>450000</t>
  </si>
  <si>
    <t>%,V450010</t>
  </si>
  <si>
    <t>AMANDA HARMAN SCHOLARSHIP</t>
  </si>
  <si>
    <t>%,VK0402</t>
  </si>
  <si>
    <t>LEROY POGEMILLER SCHOLARSHIP</t>
  </si>
  <si>
    <t>%,VK0403</t>
  </si>
  <si>
    <t>JOANNE BAKER SCHOLARSHIP</t>
  </si>
  <si>
    <t>%,VK0404</t>
  </si>
  <si>
    <t>DR. DOWGRAY MEMORIAL FUND</t>
  </si>
  <si>
    <t>%,VK0405</t>
  </si>
  <si>
    <t>FRANCIS J SCHINDLER PIANO SCHL</t>
  </si>
  <si>
    <t>%,VK0406</t>
  </si>
  <si>
    <t>TIBERIUS KLAUSNER SCHOLARSHIP</t>
  </si>
  <si>
    <t>%,VK0408</t>
  </si>
  <si>
    <t>ALUMNI ASSURING FUTURE SCHLP</t>
  </si>
  <si>
    <t>%,VK0409</t>
  </si>
  <si>
    <t>FERNE WELLS NATIVE AMER ENDOW</t>
  </si>
  <si>
    <t>%,VK0410</t>
  </si>
  <si>
    <t>NANCY MILLS HONORARY FUND</t>
  </si>
  <si>
    <t>%,FFUND_CODE,TFUND,NTRUE_ENDOW_NONEXP,FPROGRAM_CODE,TGASB_34_35_PROGRAM,X,NENDOWMENT,NLOAN,NRESTGIFTS</t>
  </si>
  <si>
    <t>TOTAL INCOME RESTRICTED</t>
  </si>
  <si>
    <t>QUASI ENDOWMENT FUNDS</t>
  </si>
  <si>
    <t>%,VK0001</t>
  </si>
  <si>
    <t>WARD ADAMS DENTAL S</t>
  </si>
  <si>
    <t>%,VK0012</t>
  </si>
  <si>
    <t>HELEN BOYLAND FDTN</t>
  </si>
  <si>
    <t>%,VK0015</t>
  </si>
  <si>
    <t>%,V175500</t>
  </si>
  <si>
    <t>Equipment in Process</t>
  </si>
  <si>
    <t>175500</t>
  </si>
  <si>
    <t>%,V211003</t>
  </si>
  <si>
    <t>Estimated payables</t>
  </si>
  <si>
    <t>211003</t>
  </si>
  <si>
    <t>%,V223000</t>
  </si>
  <si>
    <t>Other accruals</t>
  </si>
  <si>
    <t>223000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</si>
  <si>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</si>
  <si>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</si>
  <si>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</si>
  <si>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</si>
  <si>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</si>
  <si>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 Expendable</t>
  </si>
  <si>
    <t xml:space="preserve">    Unrestricted</t>
  </si>
  <si>
    <t xml:space="preserve">              Total Net Assets</t>
  </si>
  <si>
    <t>Student Fees</t>
  </si>
  <si>
    <t xml:space="preserve">     Net Student Fees</t>
  </si>
  <si>
    <t>Interest cxld-total cancell</t>
  </si>
  <si>
    <t>Interest notes rec - collected</t>
  </si>
  <si>
    <t>%,V891300</t>
  </si>
  <si>
    <t>Prin cancellation-bankruptcy</t>
  </si>
  <si>
    <t>891300</t>
  </si>
  <si>
    <t>%,V891600</t>
  </si>
  <si>
    <t>Prin cancellation-other</t>
  </si>
  <si>
    <t>891600</t>
  </si>
  <si>
    <t>%,V892800</t>
  </si>
  <si>
    <t>Interest cancellation-bankrupt</t>
  </si>
  <si>
    <t>892800</t>
  </si>
  <si>
    <t>Int cancellation-other</t>
  </si>
  <si>
    <t>%,V494500</t>
  </si>
  <si>
    <t>Misc Revenue-tax non-prim loc</t>
  </si>
  <si>
    <t>494500</t>
  </si>
  <si>
    <t>%,V706000</t>
  </si>
  <si>
    <t>S&amp;W-Non-Exempt</t>
  </si>
  <si>
    <t>706000</t>
  </si>
  <si>
    <t>%,V716000</t>
  </si>
  <si>
    <t>SB-In kind room &amp; board</t>
  </si>
  <si>
    <t>716000</t>
  </si>
  <si>
    <t>%,V603000</t>
  </si>
  <si>
    <t>COGS Paper</t>
  </si>
  <si>
    <t>603000</t>
  </si>
  <si>
    <t>%,V722600</t>
  </si>
  <si>
    <t>F/S trng &amp; dev A-21 exclusion</t>
  </si>
  <si>
    <t>722600</t>
  </si>
  <si>
    <t>%,V731800</t>
  </si>
  <si>
    <t>Hospital supplies-dietary item</t>
  </si>
  <si>
    <t>731800</t>
  </si>
  <si>
    <t>%,V733700</t>
  </si>
  <si>
    <t>Non-medical supplies</t>
  </si>
  <si>
    <t>733700</t>
  </si>
  <si>
    <t>%,V739500</t>
  </si>
  <si>
    <t>Data port charges reimbursable</t>
  </si>
  <si>
    <t>739500</t>
  </si>
  <si>
    <t>%,V740700</t>
  </si>
  <si>
    <t>Vehicles - Non- Capital</t>
  </si>
  <si>
    <t>740700</t>
  </si>
  <si>
    <t>%,V740900</t>
  </si>
  <si>
    <t>Misc Facilities Charges &lt; 5000</t>
  </si>
  <si>
    <t>740900</t>
  </si>
  <si>
    <t>%,V741300</t>
  </si>
  <si>
    <t>Irrigation supplies</t>
  </si>
  <si>
    <t>741300</t>
  </si>
  <si>
    <t>%,V742700</t>
  </si>
  <si>
    <t>Overage/shortage - Expenditure</t>
  </si>
  <si>
    <t>742700</t>
  </si>
  <si>
    <t>%,V743500</t>
  </si>
  <si>
    <t>Book loan</t>
  </si>
  <si>
    <t>743500</t>
  </si>
  <si>
    <t>%,V743800</t>
  </si>
  <si>
    <t>Freight(UPS)</t>
  </si>
  <si>
    <t>743800</t>
  </si>
  <si>
    <t>%,V743999</t>
  </si>
  <si>
    <t>743999</t>
  </si>
  <si>
    <t>%,V751200</t>
  </si>
  <si>
    <t>Continuing Ed Support</t>
  </si>
  <si>
    <t>751200</t>
  </si>
  <si>
    <t>%,V789520</t>
  </si>
  <si>
    <t>Rent/Lease Capital Equipment</t>
  </si>
  <si>
    <t>789520</t>
  </si>
  <si>
    <t>Landscape &amp; Grnds M&amp;R-Non Cap</t>
  </si>
  <si>
    <t>Infrastructure Repairs-Non Cap</t>
  </si>
  <si>
    <t>%,V863200</t>
  </si>
  <si>
    <t>Full costing (capital pool)</t>
  </si>
  <si>
    <t>863200</t>
  </si>
  <si>
    <t>%,V914000</t>
  </si>
  <si>
    <t>Investment in plant-rec debt</t>
  </si>
  <si>
    <t>914000</t>
  </si>
  <si>
    <t>%,V950500</t>
  </si>
  <si>
    <t>State Income Tax</t>
  </si>
  <si>
    <t>950500</t>
  </si>
  <si>
    <t>GASB35 Scholar&amp;Fellow Primary</t>
  </si>
  <si>
    <t>%,V501500</t>
  </si>
  <si>
    <t>Equipment in Process Offset</t>
  </si>
  <si>
    <t>501500</t>
  </si>
  <si>
    <t>%,V777400</t>
  </si>
  <si>
    <t>Other Equipment - Capital</t>
  </si>
  <si>
    <t>777400</t>
  </si>
  <si>
    <t xml:space="preserve">   and Nonoperating Revenues (Expenses)</t>
  </si>
  <si>
    <t xml:space="preserve">   before Nonoperating Revenues (Expenses)</t>
  </si>
  <si>
    <t>Capital Gifts</t>
  </si>
  <si>
    <t>Capital Grants</t>
  </si>
  <si>
    <t>%,V391300</t>
  </si>
  <si>
    <t>NonMan Trf In Other</t>
  </si>
  <si>
    <t>391300</t>
  </si>
  <si>
    <t>%,V862300</t>
  </si>
  <si>
    <t>Non-Mand Trf Out - Other</t>
  </si>
  <si>
    <t>862300</t>
  </si>
  <si>
    <t>%,V392000</t>
  </si>
  <si>
    <t>Revenue Allocations</t>
  </si>
  <si>
    <t>392000</t>
  </si>
  <si>
    <t>%,R,FACCOUNT,TGASB_34_35,X,NINTER CAMPUS TRFS,NINTRA FUND TRFS</t>
  </si>
  <si>
    <t xml:space="preserve">    Net Nonoperating Revenues (Expenses) and Transfers </t>
  </si>
  <si>
    <t>%,V403100</t>
  </si>
  <si>
    <t>Ext noncredit oncampus-non res</t>
  </si>
  <si>
    <t>403100</t>
  </si>
  <si>
    <t>%,V403800</t>
  </si>
  <si>
    <t>Ext Credit Off Campus NonResid</t>
  </si>
  <si>
    <t>403800</t>
  </si>
  <si>
    <t>%,V404110</t>
  </si>
  <si>
    <t>Supp Fee - Fall Grad Proff</t>
  </si>
  <si>
    <t>404110</t>
  </si>
  <si>
    <t>%,V404400</t>
  </si>
  <si>
    <t>Supplemental fees-win inter ug</t>
  </si>
  <si>
    <t>404400</t>
  </si>
  <si>
    <t>%,V404530</t>
  </si>
  <si>
    <t>Instructional Comput SumInter</t>
  </si>
  <si>
    <t>404530</t>
  </si>
  <si>
    <t>%,V404900</t>
  </si>
  <si>
    <t>Instructional comput-win-inter</t>
  </si>
  <si>
    <t>404900</t>
  </si>
  <si>
    <t>%,V405100</t>
  </si>
  <si>
    <t>Late Payment Fee</t>
  </si>
  <si>
    <t>405100</t>
  </si>
  <si>
    <t>%,V406001</t>
  </si>
  <si>
    <t>Activity &amp; Facility Fees</t>
  </si>
  <si>
    <t>406001</t>
  </si>
  <si>
    <t>%,V406300</t>
  </si>
  <si>
    <t>Act &amp; facility fees-sumr-intr</t>
  </si>
  <si>
    <t>406300</t>
  </si>
  <si>
    <t>%,V406400</t>
  </si>
  <si>
    <t>Act &amp; facility fees-win-inter</t>
  </si>
  <si>
    <t>406400</t>
  </si>
  <si>
    <t>%,V406420</t>
  </si>
  <si>
    <t>Act&amp;Fac fees win inter grad&amp;pr</t>
  </si>
  <si>
    <t>406420</t>
  </si>
  <si>
    <t>GASB35 Scholar&amp;Fellow Offset</t>
  </si>
  <si>
    <t>%,V430160</t>
  </si>
  <si>
    <t>NonTaxable-ClassifiedAdvertisi</t>
  </si>
  <si>
    <t>430160</t>
  </si>
  <si>
    <t xml:space="preserve">   Patient Care Facilities</t>
  </si>
  <si>
    <t>%,V495500</t>
  </si>
  <si>
    <t>Non tax m r-service &amp; repairs</t>
  </si>
  <si>
    <t>495500</t>
  </si>
  <si>
    <t>Student Fees -</t>
  </si>
  <si>
    <t xml:space="preserve">    Other Student Fees</t>
  </si>
  <si>
    <t xml:space="preserve">       Net Student Fees</t>
  </si>
  <si>
    <t>Federal Grants and Contracts -</t>
  </si>
  <si>
    <t>Auxiliary Enterprises -</t>
  </si>
  <si>
    <t xml:space="preserve">    Patient Care Facilities</t>
  </si>
  <si>
    <t xml:space="preserve">    Housing and Dining Services</t>
  </si>
  <si>
    <t xml:space="preserve">    Bookstores</t>
  </si>
  <si>
    <t xml:space="preserve">    Other Auxiliary Enterprises</t>
  </si>
  <si>
    <t>Patient Medical Services</t>
  </si>
  <si>
    <t>Other Operating Revenues -</t>
  </si>
  <si>
    <t xml:space="preserve">    F&amp;A Recover</t>
  </si>
  <si>
    <t xml:space="preserve">    Other</t>
  </si>
  <si>
    <t>Run Date:</t>
  </si>
  <si>
    <t>PGASB09K</t>
  </si>
  <si>
    <t xml:space="preserve">  Instruction</t>
  </si>
  <si>
    <t xml:space="preserve">  Research</t>
  </si>
  <si>
    <t xml:space="preserve">  Public Service</t>
  </si>
  <si>
    <t xml:space="preserve">  Academic Support</t>
  </si>
  <si>
    <t xml:space="preserve">  Student Services  (B)</t>
  </si>
  <si>
    <t xml:space="preserve">  Institutional Support  ( C)</t>
  </si>
  <si>
    <t xml:space="preserve">  Operation &amp; Maintenance of Plant</t>
  </si>
  <si>
    <t xml:space="preserve">  Scholarships &amp; Fellowships   (D)</t>
  </si>
  <si>
    <t xml:space="preserve">       Total Educational &amp; General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</si>
  <si>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</si>
  <si>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</si>
  <si>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</si>
  <si>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%,FFUND_CODE,TGASB_34_35_FUND,NENDOW_FUNDS_NONEXP,NENDOW_FUNDS_UNR,NENDOW_FUNDS_RESTEXP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</si>
  <si>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</si>
  <si>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</si>
  <si>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</si>
  <si>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PGASB10K</t>
  </si>
  <si>
    <t>Net Assets
July 1, 2003</t>
  </si>
  <si>
    <t>Net Assets
June 30, 2004</t>
  </si>
  <si>
    <t>%,V0615</t>
  </si>
  <si>
    <t>Miscellaneous Other Auxiliarie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</si>
  <si>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</si>
  <si>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</si>
  <si>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</si>
  <si>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</si>
  <si>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</si>
  <si>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</si>
  <si>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 xml:space="preserve">  Student Fees</t>
  </si>
  <si>
    <t>%,V421000</t>
  </si>
  <si>
    <t>Taxable Primary-pharmacy</t>
  </si>
  <si>
    <t>421000</t>
  </si>
  <si>
    <t xml:space="preserve">  Sales and Services of Auxiliary and Education Activities</t>
  </si>
  <si>
    <t xml:space="preserve">  Other Operating Revenues</t>
  </si>
  <si>
    <t xml:space="preserve">  Salaries and Wages</t>
  </si>
  <si>
    <t xml:space="preserve">  Staff Benefits</t>
  </si>
  <si>
    <t xml:space="preserve">  Cost of Goods Sold</t>
  </si>
  <si>
    <t xml:space="preserve">  Utilities</t>
  </si>
  <si>
    <t xml:space="preserve">  Supplies and Non Capital Equipment</t>
  </si>
  <si>
    <t xml:space="preserve">  Professional and Consulting Services</t>
  </si>
  <si>
    <t xml:space="preserve">  Other Departmental Operating Expense</t>
  </si>
  <si>
    <t>Revenues (Expenses) and Transfers</t>
  </si>
  <si>
    <t>Other Nonoperating Revenues (Expenses) and Transfers:</t>
  </si>
  <si>
    <t xml:space="preserve">  Investment and Endowment Income</t>
  </si>
  <si>
    <t>%,V480900</t>
  </si>
  <si>
    <t>Gifts-corp or business-cash</t>
  </si>
  <si>
    <t>480900</t>
  </si>
  <si>
    <t>%,V482100</t>
  </si>
  <si>
    <t>Gifts-other foundations-cash</t>
  </si>
  <si>
    <t>482100</t>
  </si>
  <si>
    <t xml:space="preserve">  Private Gifts</t>
  </si>
  <si>
    <t xml:space="preserve">  Interest Expense</t>
  </si>
  <si>
    <t xml:space="preserve">  Other Nonoperating Revenues and Expenses</t>
  </si>
  <si>
    <t xml:space="preserve">  Transfers</t>
  </si>
  <si>
    <t>PGASB13K</t>
  </si>
  <si>
    <t>Balance
July 1, 2003</t>
  </si>
  <si>
    <t>%,FPROGRAM_CODE,TPROGRAM,X,NR_LOANPGM,NA_LOANPGM,NK_LOANPGM,NC_LOANPGM,NE_LOANPGM,NS_LOANPGM,NU_LOANPGM,FFUND_CODE,TGASB_34_35_FUND,NLOAN_FUNDS_RESTEXP,NLOAN_FUNDS_NONEXP</t>
  </si>
  <si>
    <t>PGASB14K</t>
  </si>
  <si>
    <t>%,VK0191</t>
  </si>
  <si>
    <t>WILLIAM GRANT MO PRF</t>
  </si>
  <si>
    <t>PATRICIA GIER SCSP</t>
  </si>
  <si>
    <t>NADINE LOUGH FUND</t>
  </si>
  <si>
    <t>%,VK0341</t>
  </si>
  <si>
    <t>RICHARD GENTILE SCHOLARSHIP</t>
  </si>
  <si>
    <t>%,VK0407</t>
  </si>
  <si>
    <t>GOPPERT FOUNDATION</t>
  </si>
  <si>
    <t>%,VK0411</t>
  </si>
  <si>
    <t>HUIZENGA STDNT LEADERSHP FUND</t>
  </si>
  <si>
    <t>%,VK0412</t>
  </si>
  <si>
    <t>KPMG ACCOUNTING SCHOLARSHIP</t>
  </si>
  <si>
    <t>%,VK0413</t>
  </si>
  <si>
    <t>WILLIAM B. EDDY/EMBA FUND</t>
  </si>
  <si>
    <t>%,VK0414</t>
  </si>
  <si>
    <t>FOUNDERS' SCHOLARSHIP ENDOW</t>
  </si>
  <si>
    <t>%,VK0415</t>
  </si>
  <si>
    <t>TATIANA DOKOUDOVSKA DANCE SCH</t>
  </si>
  <si>
    <t>%,VK0416</t>
  </si>
  <si>
    <t>EDWARD A. SMITH URBAN LDRSHP</t>
  </si>
  <si>
    <t>%,VK0417</t>
  </si>
  <si>
    <t>BILL ROSS SCHOLARSHIP</t>
  </si>
  <si>
    <t>%,VK0418</t>
  </si>
  <si>
    <t>CAMPUS FAC MANAGEMENT SCHP</t>
  </si>
  <si>
    <t>%,VK0419</t>
  </si>
  <si>
    <t>RICHARD HETHERINGTON SCHP</t>
  </si>
  <si>
    <t>%,VK0420</t>
  </si>
  <si>
    <t>NEAL WILLIS MEMORIAL FUND</t>
  </si>
  <si>
    <t>%,VK0421</t>
  </si>
  <si>
    <t>ROBERT B. VAUGHAN SCHOLARSHIP</t>
  </si>
  <si>
    <t>%,VK0422</t>
  </si>
  <si>
    <t>THOMAS &amp; TERESA SULLIVAN SCHP</t>
  </si>
  <si>
    <t>%,VK0423</t>
  </si>
  <si>
    <t>DANIEL L. BRENNER JUDAIC COLL</t>
  </si>
  <si>
    <t>%,VK0424</t>
  </si>
  <si>
    <t>MARTHA LONGMIRE WOMEN'S SCHP</t>
  </si>
  <si>
    <t>%,VK0425</t>
  </si>
  <si>
    <t>PATRICIA Z THOMPSON LIBR ENDOW</t>
  </si>
  <si>
    <t>%,VK0426</t>
  </si>
  <si>
    <t>GOODALE SCHOLARSHIP</t>
  </si>
  <si>
    <t>%,VK0427</t>
  </si>
  <si>
    <t>ORENE V CROCKETT SCHP FUND</t>
  </si>
  <si>
    <t>%,VK0428</t>
  </si>
  <si>
    <t>CATHERINE C MACKAY SCHOLARSHIP</t>
  </si>
  <si>
    <t>%,VK0429</t>
  </si>
  <si>
    <t>LGBT SCHOLARSHIP</t>
  </si>
  <si>
    <t>%,VK0430</t>
  </si>
  <si>
    <t>CALLISON LIBRARY ENDOWMENT</t>
  </si>
  <si>
    <t>%,VK0431</t>
  </si>
  <si>
    <t>HERMAN JOHNSON MEMORIAL SCSP</t>
  </si>
  <si>
    <t>%,VK0433</t>
  </si>
  <si>
    <t>JIM WHITE FUND</t>
  </si>
  <si>
    <t>%,VK0434</t>
  </si>
  <si>
    <t>ASCE GEOTECHNICAL GROUP SCSP</t>
  </si>
  <si>
    <t>%,VK0435</t>
  </si>
  <si>
    <t>BARBARA KAMEL MEMORIAL FUND</t>
  </si>
  <si>
    <t>%,VK4955</t>
  </si>
  <si>
    <t>CORKY PFEIFFER MEMORIAL</t>
  </si>
  <si>
    <t>%,VK4957</t>
  </si>
  <si>
    <t>GEORGE EHRLICH SCHOLARSHIP</t>
  </si>
  <si>
    <t xml:space="preserve">        TOTAL ENDOWMENT FUNDS</t>
  </si>
  <si>
    <t>%,FPROGRAM_CODE,TGASB_34_35_PROGRAM,X,NENDOWMENT,NLOAN,NRESTGIFTS,FFUND_CODE,TGASB_34_35_FUND,NQUASI_ENDOW_EXPEND,NQUASI_ENDOW_NONEXP</t>
  </si>
  <si>
    <t xml:space="preserve">        TOTAL QUASI ENDOWMENT FUNDS</t>
  </si>
  <si>
    <t>UNITRUST, LIFE INCOME AND CHARITABLE GIFT FUNDS</t>
  </si>
  <si>
    <t>%,FPROGRAM_CODE,TGASB_34_35_PROGRAM,X,NENDOWMENT,NLOAN,NRESTGIFTS,FFUND_CODE,TGASB_34_35_FUND,NUNITRUSTS_EXPENDABLE,NUNITRUSTS_NONEXP</t>
  </si>
  <si>
    <t>%,FPROGRAM_CODE,TGASB_34_35_PROGRAM,X,NENDOWMENT,NLOAN,NRESTGIFTS,FFUND_CODE,TGASB_34_35_FUND,NLIFE_INC_EXPENDABLE,NLIFE_INC_NONEXP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</si>
  <si>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</si>
  <si>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</si>
  <si>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</si>
  <si>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</si>
  <si>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</si>
  <si>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PGASB15K</t>
  </si>
  <si>
    <t xml:space="preserve">
Balance</t>
  </si>
  <si>
    <t>State
Appropriations
and State</t>
  </si>
  <si>
    <t>Bond Funds</t>
  </si>
  <si>
    <t>KCITY DENTAL SCHOOL CAPITAL</t>
  </si>
  <si>
    <t>KCITY LAB/ANIMAL</t>
  </si>
  <si>
    <t>%,VK8311</t>
  </si>
  <si>
    <t>OAK STREET HSING SYSFACBD2003A</t>
  </si>
  <si>
    <t>K8311</t>
  </si>
  <si>
    <t>%,QAM_CAPITAL_ASSET_BEG_BAL</t>
  </si>
  <si>
    <t>July 1, 2003</t>
  </si>
  <si>
    <t>June 30, 2004</t>
  </si>
  <si>
    <t>As of June 30, 2004</t>
  </si>
  <si>
    <t xml:space="preserve"> System Facilities Revenue Bond, Dated November, 1993,</t>
  </si>
  <si>
    <t xml:space="preserve">   Interest Rate 3.4% to 5.5%, Due Serially to 2023</t>
  </si>
  <si>
    <t xml:space="preserve"> System Facilities Revenue Bond Dated May, 1997,</t>
  </si>
  <si>
    <t xml:space="preserve">   Interest Rate  4.1% to 5.8%, Due Serially to 2027</t>
  </si>
  <si>
    <t xml:space="preserve"> System Facilities Revenue Bond Dated May, 2000,</t>
  </si>
  <si>
    <t xml:space="preserve">   Fixed Interest Rate 5.03% Series 2000a and Variable </t>
  </si>
  <si>
    <t xml:space="preserve">   Interest Rate Series 2000b, Due Serially to 2030</t>
  </si>
  <si>
    <t xml:space="preserve"> System Facilities Revenue Bond Dated Aug, 2001,</t>
  </si>
  <si>
    <t xml:space="preserve">   Series 2001b Fixed Interest Rate 5.12%, Due Serially to 2031</t>
  </si>
  <si>
    <t xml:space="preserve">   (Refunded a Portion of the Outstanding Srs 1997 Bonds)</t>
  </si>
  <si>
    <t xml:space="preserve"> System Facilities Revenue Bond Dated November, 2003,</t>
  </si>
  <si>
    <t xml:space="preserve">   Series 2003a Fixed Rate, Due November 2031</t>
  </si>
  <si>
    <t xml:space="preserve">   Series 2003b Fixed Rate, Due November 2031</t>
  </si>
  <si>
    <t xml:space="preserve">        Less Unamortized Premium/Discount</t>
  </si>
  <si>
    <t xml:space="preserve">        Less Loss on Defeasance</t>
  </si>
  <si>
    <t xml:space="preserve">             Total Bonds Payable    </t>
  </si>
  <si>
    <t>Balance
June 30, 2004</t>
  </si>
  <si>
    <t>%,VK0318134</t>
  </si>
  <si>
    <t>VAC PAY ACRL- AGEN</t>
  </si>
  <si>
    <t>K0318134</t>
  </si>
  <si>
    <t>%,VK1403009</t>
  </si>
  <si>
    <t>ICIMS DEPOSIT- REV</t>
  </si>
  <si>
    <t>K1403009</t>
  </si>
  <si>
    <t>%,VK1802028</t>
  </si>
  <si>
    <t>INNOCENCE PROJECT</t>
  </si>
  <si>
    <t>K1802028</t>
  </si>
  <si>
    <t>%,VK2002029</t>
  </si>
  <si>
    <t>DEAN SCHOOL OF MEDICINE 1151</t>
  </si>
  <si>
    <t>K2002029</t>
  </si>
  <si>
    <t>%,VK3101002</t>
  </si>
  <si>
    <t>RENT 4405-07 HARRIS.</t>
  </si>
  <si>
    <t>K3101002</t>
  </si>
  <si>
    <t>%,VK3601112</t>
  </si>
  <si>
    <t>MCDAVID LOAN</t>
  </si>
  <si>
    <t>K3601112</t>
  </si>
  <si>
    <t>TOTAL UNITRUST FUNDS</t>
  </si>
  <si>
    <t>LIFE INCOME FUNDS -</t>
  </si>
  <si>
    <t>%,VK0308</t>
  </si>
  <si>
    <t>E TILFORD LIFE INC</t>
  </si>
  <si>
    <t>TOTAL LIFE INCOME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</si>
  <si>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</si>
  <si>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</si>
  <si>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</si>
  <si>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</si>
  <si>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</si>
  <si>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</si>
  <si>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</si>
  <si>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Program</t>
  </si>
  <si>
    <t>Balance</t>
  </si>
  <si>
    <t>Gifts and</t>
  </si>
  <si>
    <t>Investment &amp;</t>
  </si>
  <si>
    <t>Bond</t>
  </si>
  <si>
    <t>Transfers In</t>
  </si>
  <si>
    <t>Code</t>
  </si>
  <si>
    <t>Grants</t>
  </si>
  <si>
    <t>Other Income</t>
  </si>
  <si>
    <t>Proceeds</t>
  </si>
  <si>
    <t>(Out)</t>
  </si>
  <si>
    <t>RESTRICTED:</t>
  </si>
  <si>
    <t>%,V0</t>
  </si>
  <si>
    <t>UNSPECIFIED PROGRAM</t>
  </si>
  <si>
    <t>0</t>
  </si>
  <si>
    <t>%,VK4716</t>
  </si>
  <si>
    <t>KEMPER GIFT 5283</t>
  </si>
  <si>
    <t>K4716</t>
  </si>
  <si>
    <t>%,VK4717</t>
  </si>
  <si>
    <t>NICHOLS GIFT 5281</t>
  </si>
  <si>
    <t>K4717</t>
  </si>
  <si>
    <t>%,VK8105</t>
  </si>
  <si>
    <t>K8105</t>
  </si>
  <si>
    <t>%,VK8106</t>
  </si>
  <si>
    <t>K8106</t>
  </si>
  <si>
    <t>%,VK8109</t>
  </si>
  <si>
    <t>HEALTH SCIENCE BLDG CONSTRUCTI</t>
  </si>
  <si>
    <t>K8109</t>
  </si>
  <si>
    <t>%,VK8301</t>
  </si>
  <si>
    <t>PARKING STRUCTURE</t>
  </si>
  <si>
    <t>K8301</t>
  </si>
  <si>
    <t>%,VK8307</t>
  </si>
  <si>
    <t>ARCHIPENKO #5278</t>
  </si>
  <si>
    <t>K8307</t>
  </si>
  <si>
    <t>%,VK8309</t>
  </si>
  <si>
    <t>TWIN OAKS RENOVATION</t>
  </si>
  <si>
    <t>K8309</t>
  </si>
  <si>
    <t>%,VK8501</t>
  </si>
  <si>
    <t>UNIVERSITY WAY</t>
  </si>
  <si>
    <t>K8501</t>
  </si>
  <si>
    <t>%,VK8502</t>
  </si>
  <si>
    <t>OAK STREET HOUSING</t>
  </si>
  <si>
    <t>K8502</t>
  </si>
  <si>
    <t>%,VK8700</t>
  </si>
  <si>
    <t>CAMPUS CONTINGENCY RESERVES</t>
  </si>
  <si>
    <t>K8700</t>
  </si>
  <si>
    <t>%,FPROGRAM_CODE,X,_,FFUND_CODE,TGASB_34_35_FUND,NUNEXP_RANDR_RESTEXP</t>
  </si>
  <si>
    <t xml:space="preserve">    TOTAL RESTRICTED</t>
  </si>
  <si>
    <t>UNRESTRICTED:</t>
  </si>
  <si>
    <t>%,VK8606</t>
  </si>
  <si>
    <t>SWINNEY REC CENTER R&amp;M</t>
  </si>
  <si>
    <t>K8606</t>
  </si>
  <si>
    <t>%,VK8609</t>
  </si>
  <si>
    <t>BOOKSTORE CAP POOL REPAIR MAIN</t>
  </si>
  <si>
    <t>K8609</t>
  </si>
  <si>
    <t>%,VK8610</t>
  </si>
  <si>
    <t>SRC IMPROVEMENTS</t>
  </si>
  <si>
    <t>K8610</t>
  </si>
  <si>
    <t>%,VK8613</t>
  </si>
  <si>
    <t>VENDING PR CAP ACT</t>
  </si>
  <si>
    <t>K8613</t>
  </si>
  <si>
    <t>%,FPROGRAM_CODE,X,_,FFUND_CODE,TGASB_34_35_FUND,NUNEXP_AND_RANDR_UNR</t>
  </si>
  <si>
    <t xml:space="preserve">    TOTAL UNRESTRICTED</t>
  </si>
  <si>
    <t xml:space="preserve">        TOTAL UNEXPENDED PLANT FUNDS</t>
  </si>
  <si>
    <t>INVESTMENT IN PLANT CAPITAL ASSETS</t>
  </si>
  <si>
    <t>June 30, 2002</t>
  </si>
  <si>
    <t>Additions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</si>
  <si>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</si>
  <si>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</si>
  <si>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</si>
  <si>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</si>
  <si>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</si>
  <si>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</si>
  <si>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</si>
  <si>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</si>
  <si>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</si>
  <si>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</si>
  <si>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</si>
  <si>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</si>
  <si>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</si>
  <si>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</si>
  <si>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</si>
  <si>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</si>
  <si>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>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</si>
  <si>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</si>
  <si>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</si>
  <si>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</si>
  <si>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</si>
  <si>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</si>
  <si>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</si>
  <si>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 xml:space="preserve">University of Missouri - Kansas City                                                         </t>
  </si>
  <si>
    <t xml:space="preserve">              </t>
  </si>
  <si>
    <t xml:space="preserve">BONDS AND NOTES PAYABLE 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</si>
  <si>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</si>
  <si>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</si>
  <si>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</si>
  <si>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</si>
  <si>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</si>
  <si>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 xml:space="preserve">Bonds Payable:                                                 </t>
  </si>
  <si>
    <t>%,AFT,FDEPTID</t>
  </si>
  <si>
    <t>%,LACTUALS,SYTD,R,FACCOUNT,V350000</t>
  </si>
  <si>
    <t>%,QUGL_GASB_AGENCY_REVENUES,CA.POSTED_TOTAL_AMT,SYTD,R</t>
  </si>
  <si>
    <t>%,QUGL_GASB_AGENCY_EXPENSES,CA.POSTED_TOTAL_AMT,SYTD</t>
  </si>
  <si>
    <t>GASB019K</t>
  </si>
  <si>
    <t>FUNDS HELD FOR OTHERS</t>
  </si>
  <si>
    <t>Funds Held by Others</t>
  </si>
  <si>
    <t>Department Description</t>
  </si>
  <si>
    <t>Hide Column in final report - DEPTID</t>
  </si>
  <si>
    <t>Withdrawals</t>
  </si>
  <si>
    <t>%,VK0101039</t>
  </si>
  <si>
    <t>HIGHER ED CONFERENCE</t>
  </si>
  <si>
    <t>K0101039</t>
  </si>
  <si>
    <t>%,VK0301026</t>
  </si>
  <si>
    <t>AGENCY SCHOLARSHIP</t>
  </si>
  <si>
    <t>K0301026</t>
  </si>
  <si>
    <t>%,VK0301028</t>
  </si>
  <si>
    <t>STIUDENT INSURANCE</t>
  </si>
  <si>
    <t>K0301028</t>
  </si>
  <si>
    <t>%,VK0301029</t>
  </si>
  <si>
    <t>BREAKAGE DEPOSIT</t>
  </si>
  <si>
    <t>K0301029</t>
  </si>
  <si>
    <t>%,VK0301030</t>
  </si>
  <si>
    <t>ROY J RINEHART FOUNDATION</t>
  </si>
  <si>
    <t>K0301030</t>
  </si>
  <si>
    <t>%,VK0301031</t>
  </si>
  <si>
    <t>UNIVERSITY OF KANSAS CITY</t>
  </si>
  <si>
    <t>K0301031</t>
  </si>
  <si>
    <t>%,VK0308007</t>
  </si>
  <si>
    <t>UMKC FAC/STAFF RETIREMT ASSN</t>
  </si>
  <si>
    <t>K0308007</t>
  </si>
  <si>
    <t>%,VK0311003</t>
  </si>
  <si>
    <t>WAGE EARNINGS ATTACHMENTS</t>
  </si>
  <si>
    <t>K0311003</t>
  </si>
  <si>
    <t>%,VK0313001</t>
  </si>
  <si>
    <t>REAL ESTATE OFFICE</t>
  </si>
  <si>
    <t>K0313001</t>
  </si>
  <si>
    <t>%,VK0601045</t>
  </si>
  <si>
    <t>CAMPUS ATHLETIC CLUB</t>
  </si>
  <si>
    <t>K0601045</t>
  </si>
  <si>
    <t>%,VK0601049</t>
  </si>
  <si>
    <t>SOCCER KICKIN' ROO'S CLUB</t>
  </si>
  <si>
    <t>K0601049</t>
  </si>
  <si>
    <t>%,VK0601052</t>
  </si>
  <si>
    <t>ATHLETIC ASSOCIATION INC</t>
  </si>
  <si>
    <t>K0601052</t>
  </si>
  <si>
    <t>%,VK0601059</t>
  </si>
  <si>
    <t>HOSPITAL HILL RUN</t>
  </si>
  <si>
    <t>K0601059</t>
  </si>
  <si>
    <t>%,VK0706001</t>
  </si>
  <si>
    <t>UNIV RESIDENCE CNTR</t>
  </si>
  <si>
    <t>K0706001</t>
  </si>
  <si>
    <t>%,VK0706002</t>
  </si>
  <si>
    <t>TWIN OAK HOUSING</t>
  </si>
  <si>
    <t>K0706002</t>
  </si>
  <si>
    <t>%,VK0714011</t>
  </si>
  <si>
    <t>RESIDENCE HALL COUNCIL DUES</t>
  </si>
  <si>
    <t>K0714011</t>
  </si>
  <si>
    <t>%,VK0715007</t>
  </si>
  <si>
    <t>MO STUDENT GRANT PROGRAM</t>
  </si>
  <si>
    <t>K0715007</t>
  </si>
  <si>
    <t>%,VK0715008</t>
  </si>
  <si>
    <t>MO HIGHER EDUCATION BRIGHT FLI</t>
  </si>
  <si>
    <t>K0715008</t>
  </si>
  <si>
    <t>%,VK0715025</t>
  </si>
  <si>
    <t>ADVANTAGE MISSOURI LOAN PROGRA</t>
  </si>
  <si>
    <t>K0715025</t>
  </si>
  <si>
    <t>%,VK0715026</t>
  </si>
  <si>
    <t>MARGUERITE R BARNETT SCHOLARSH</t>
  </si>
  <si>
    <t>K0715026</t>
  </si>
  <si>
    <t>%,VK0715035</t>
  </si>
  <si>
    <t>MO COLLEGE GUARANTEE PROG</t>
  </si>
  <si>
    <t>K0715035</t>
  </si>
  <si>
    <t>%,VK0715049</t>
  </si>
  <si>
    <t>CASL PREMIER 01-02</t>
  </si>
  <si>
    <t>K0715049</t>
  </si>
  <si>
    <t>%,VK0715051</t>
  </si>
  <si>
    <t>FFELP 2001-2002</t>
  </si>
  <si>
    <t>K0715051</t>
  </si>
  <si>
    <t>%,VK0715055</t>
  </si>
  <si>
    <t>2002-2003 CASL</t>
  </si>
  <si>
    <t>K0715055</t>
  </si>
  <si>
    <t>%,VK0715056</t>
  </si>
  <si>
    <t>2002-2003 FFELP</t>
  </si>
  <si>
    <t>K0715056</t>
  </si>
  <si>
    <t>%,VK0715058</t>
  </si>
  <si>
    <t>UMKC LENDER FEES</t>
  </si>
  <si>
    <t>K0715058</t>
  </si>
  <si>
    <t>%,VK0801012</t>
  </si>
  <si>
    <t>UNIVERSITY ASSOCIATES</t>
  </si>
  <si>
    <t>K0801012</t>
  </si>
  <si>
    <t>%,VK0801013</t>
  </si>
  <si>
    <t>UMKC ALUMNI ASSOCIATION</t>
  </si>
  <si>
    <t>K0801013</t>
  </si>
  <si>
    <t>%,VK0801014</t>
  </si>
  <si>
    <t>WOMEN'S COUNCIL GRAD ASST FD</t>
  </si>
  <si>
    <t>K0801014</t>
  </si>
  <si>
    <t>%,VK0801016</t>
  </si>
  <si>
    <t>PROF DIRECT MARKETERS ASSN</t>
  </si>
  <si>
    <t>K0801016</t>
  </si>
  <si>
    <t>%,VK0801019</t>
  </si>
  <si>
    <t>25TH ANNIV BALL ASSN MEDICINE</t>
  </si>
  <si>
    <t>K0801019</t>
  </si>
  <si>
    <t>%,VK0801021</t>
  </si>
  <si>
    <t>YOUNGBLOOD SOCIETY</t>
  </si>
  <si>
    <t>K0801021</t>
  </si>
  <si>
    <t>%,VK0805005</t>
  </si>
  <si>
    <t>LAW FDN</t>
  </si>
  <si>
    <t>K0805005</t>
  </si>
  <si>
    <t>%,VK0805006</t>
  </si>
  <si>
    <t>EDGAR SNOW FUND AGENCY</t>
  </si>
  <si>
    <t>K0805006</t>
  </si>
  <si>
    <t>%,VK0805008</t>
  </si>
  <si>
    <t>ST LOUIS FRIENDS SCHOOL OF MED</t>
  </si>
  <si>
    <t>K0805008</t>
  </si>
  <si>
    <t>%,VK0907017</t>
  </si>
  <si>
    <t>NATIONAL DEBATE TOURNAMENT - S</t>
  </si>
  <si>
    <t>K0907017</t>
  </si>
  <si>
    <t>%,VK0909084</t>
  </si>
  <si>
    <t>SPARK UNRESTRICTED GIFTS</t>
  </si>
  <si>
    <t>K0909084</t>
  </si>
  <si>
    <t>%,VK0909085</t>
  </si>
  <si>
    <t>SENIOR PEERS ACTIVELY RENEWING</t>
  </si>
  <si>
    <t>K0909085</t>
  </si>
  <si>
    <t>%,VK1301025</t>
  </si>
  <si>
    <t>UMKC CONSERVATORY TRUSTEES - A</t>
  </si>
  <si>
    <t>K1301025</t>
  </si>
  <si>
    <t>%,VK1303031</t>
  </si>
  <si>
    <t>UMKC CONSERVATORY TRUSTEES - B</t>
  </si>
  <si>
    <t>K1303031</t>
  </si>
  <si>
    <t>%,VK1303032</t>
  </si>
  <si>
    <t>CONSERVATORY LOCK DEPOSIT</t>
  </si>
  <si>
    <t>K1303032</t>
  </si>
  <si>
    <t>%,VK1303033</t>
  </si>
  <si>
    <t>UMKC CONSERVATORY TRUSTEES - M</t>
  </si>
  <si>
    <t>K1303033</t>
  </si>
  <si>
    <t>%,VK1402044</t>
  </si>
  <si>
    <t>ROY J RINEHART MEM FDN</t>
  </si>
  <si>
    <t>K1402044</t>
  </si>
  <si>
    <t>%,VK1402048</t>
  </si>
  <si>
    <t>UMKC SCHOOL OF DENTISTRY DENTA</t>
  </si>
  <si>
    <t>K1402048</t>
  </si>
  <si>
    <t>%,VK1802002</t>
  </si>
  <si>
    <t>BALANCE FORWARD ADJ</t>
  </si>
  <si>
    <t>DEAN SCHOOL OF LAW</t>
  </si>
  <si>
    <t>K1802002</t>
  </si>
  <si>
    <t>%,VK2302021</t>
  </si>
  <si>
    <t>SCHOOL OF PHARMACY FDN</t>
  </si>
  <si>
    <t>K2302021</t>
  </si>
  <si>
    <t>%,VK3201001</t>
  </si>
  <si>
    <t>UKC-RENTAL OPERATION</t>
  </si>
  <si>
    <t>K3201001</t>
  </si>
  <si>
    <t>%,VK3202002</t>
  </si>
  <si>
    <t>UKC REAL ESTATE 5305 CHARLOTTE</t>
  </si>
  <si>
    <t>K3202002</t>
  </si>
  <si>
    <t>%,VK3202004</t>
  </si>
  <si>
    <t>UKC REAL ESTATE     5313 CHARL</t>
  </si>
  <si>
    <t>K3202004</t>
  </si>
  <si>
    <t>%,VK3202005</t>
  </si>
  <si>
    <t>UKC REAL ESTATE     5314 CHARL</t>
  </si>
  <si>
    <t>K3202005</t>
  </si>
  <si>
    <t>%,VK3202006</t>
  </si>
  <si>
    <t>UKC REAL ESTATE     5326 CHARL</t>
  </si>
  <si>
    <t>K3202006</t>
  </si>
  <si>
    <t>%,VK3202007</t>
  </si>
  <si>
    <t>D BROOKFIELD SCHP</t>
  </si>
  <si>
    <t>%,VK0029</t>
  </si>
  <si>
    <t>E CRAVENS MEMORIAL</t>
  </si>
  <si>
    <t>%,VK0090</t>
  </si>
  <si>
    <t>JAMES LYNN MEMORIAL</t>
  </si>
  <si>
    <t>%,VK0092</t>
  </si>
  <si>
    <t>MARGOLIS PHARMACY FD</t>
  </si>
  <si>
    <t>%,VK0097</t>
  </si>
  <si>
    <t>MED SCHOOL SCHP FUND</t>
  </si>
  <si>
    <t>%,VK0102</t>
  </si>
  <si>
    <t>G MORGOLUS MEM SCHP</t>
  </si>
  <si>
    <t>%,VK0112</t>
  </si>
  <si>
    <t>WM &amp; CATH REPP MEM</t>
  </si>
  <si>
    <t>%,VK0128</t>
  </si>
  <si>
    <t>HUGH SPEER FELLOW</t>
  </si>
  <si>
    <t>%,VK0138</t>
  </si>
  <si>
    <t>UMKC TALENT SCHOLARS</t>
  </si>
  <si>
    <t>%,VK0151</t>
  </si>
  <si>
    <t>DAVID WILLOCK FUND</t>
  </si>
  <si>
    <t>%,VK0157</t>
  </si>
  <si>
    <t>BEISTLE MEM RESCH FD</t>
  </si>
  <si>
    <t>%,VK0160</t>
  </si>
  <si>
    <t>R K BERNARD LIBR FD</t>
  </si>
  <si>
    <t>%,VK0164</t>
  </si>
  <si>
    <t>NEW HORIZONS ENDOW</t>
  </si>
  <si>
    <t>%,VK0182</t>
  </si>
  <si>
    <t>ELIZABETH EGE FUND</t>
  </si>
  <si>
    <t>%,VK0183</t>
  </si>
  <si>
    <t>DEAN ELLISON PROFLAW</t>
  </si>
  <si>
    <t>%,VK0189</t>
  </si>
  <si>
    <t>FLARSHEIM BEUTIF FD</t>
  </si>
  <si>
    <t>%,VK0196</t>
  </si>
  <si>
    <t>H HASKELL PROF-SOCSC</t>
  </si>
  <si>
    <t>%,VK0217</t>
  </si>
  <si>
    <t>B MCCOLLUM - DENT</t>
  </si>
  <si>
    <t>%,VK0222</t>
  </si>
  <si>
    <t>S MORRISON INT MED</t>
  </si>
  <si>
    <t>%,VK0227</t>
  </si>
  <si>
    <t>E PIERSON FUND</t>
  </si>
  <si>
    <t>%,VK0228</t>
  </si>
  <si>
    <t>PIERSON MAINT &amp; LEC</t>
  </si>
  <si>
    <t>%,VK0229</t>
  </si>
  <si>
    <t>PHMC EDUCATION FUND</t>
  </si>
  <si>
    <t>%,VK0232</t>
  </si>
  <si>
    <t>M RINEHART FAC DEV</t>
  </si>
  <si>
    <t>%,VK0238</t>
  </si>
  <si>
    <t>NORMAN H ROYALL FUND</t>
  </si>
  <si>
    <t>%,VK0239</t>
  </si>
  <si>
    <t>BIO SCI RESEARCH ENH</t>
  </si>
  <si>
    <t>%,VK0250</t>
  </si>
  <si>
    <t>JOHN STRANDBERG LIB</t>
  </si>
  <si>
    <t>%,VK0255</t>
  </si>
  <si>
    <t>NELL STEVENSON FUND</t>
  </si>
  <si>
    <t>%,VK0259</t>
  </si>
  <si>
    <t>TYLER CHILDREN FUND</t>
  </si>
  <si>
    <t>%,VK0260</t>
  </si>
  <si>
    <t>UNIV LIBR SOUND ARCH</t>
  </si>
  <si>
    <t>%,VK0270</t>
  </si>
  <si>
    <t>RHETA SOSLAND CHLD &amp; FAM DVLP</t>
  </si>
  <si>
    <t>%,VK0311</t>
  </si>
  <si>
    <t>BARTHOLOMEW FUND</t>
  </si>
  <si>
    <t>%,VK0312</t>
  </si>
  <si>
    <t>UMKC BLACK SCHP</t>
  </si>
  <si>
    <t>%,VK0379</t>
  </si>
  <si>
    <t>LIFE MEMBER FUND</t>
  </si>
  <si>
    <t>%,VK0380</t>
  </si>
  <si>
    <t>NORMAN L. SCHWARTZ MEM FUND</t>
  </si>
  <si>
    <t>%,VK0381</t>
  </si>
  <si>
    <t>TALENT FUND</t>
  </si>
  <si>
    <t>%,VK0382</t>
  </si>
  <si>
    <t>ELMER F. PIERSON TEACHNG AWARD</t>
  </si>
  <si>
    <t>%,VK0392</t>
  </si>
  <si>
    <t>BARR INST FOR AMER COMP STUDY</t>
  </si>
  <si>
    <t>INCOME UNRESTRICTED -</t>
  </si>
  <si>
    <t>%,FFUND_CODE,TFUND,NQUASI_ENDOWMT_UNR,FPROGRAM_CODE,TGASB_34_35_PROGRAM,X,NENDOWMENT,NLOAN,NRESTGIFTS</t>
  </si>
  <si>
    <t>TOTAL INCOME UNRESTRICTED</t>
  </si>
  <si>
    <t>UNITRUST FUNDS -</t>
  </si>
  <si>
    <t>%,VK0307</t>
  </si>
  <si>
    <t>GOODALE UNITRUST</t>
  </si>
  <si>
    <t>%,VK3202046</t>
  </si>
  <si>
    <t>UKC REAL ESTATE     5405-7 HAR</t>
  </si>
  <si>
    <t>K3202046</t>
  </si>
  <si>
    <t>%,VK3202047</t>
  </si>
  <si>
    <t>UKC REAL ESTATE     5409-11 HA</t>
  </si>
  <si>
    <t>K3202047</t>
  </si>
  <si>
    <t>%,VK3202048</t>
  </si>
  <si>
    <t>UKC REAL ESTATE     5431 HARRI</t>
  </si>
  <si>
    <t>K3202048</t>
  </si>
  <si>
    <t>%,VK3202049</t>
  </si>
  <si>
    <t>UKC REAL ESTATE     5436 HARRI</t>
  </si>
  <si>
    <t>K3202049</t>
  </si>
  <si>
    <t>%,VK3202050</t>
  </si>
  <si>
    <t>UKC REAL ESTATE     5441 HARRI</t>
  </si>
  <si>
    <t>K3202050</t>
  </si>
  <si>
    <t>%,VK3202051</t>
  </si>
  <si>
    <t>UKC REAL ESTATE - 5446 HARRISO</t>
  </si>
  <si>
    <t>K3202051</t>
  </si>
  <si>
    <t>%,VK3202052</t>
  </si>
  <si>
    <t>UKC REAL ESTATE- 5425 HARRISON</t>
  </si>
  <si>
    <t>K3202052</t>
  </si>
  <si>
    <t>%,VK3202053</t>
  </si>
  <si>
    <t>UKC REAL ESTATE - 5429 HARRISO</t>
  </si>
  <si>
    <t>K3202053</t>
  </si>
  <si>
    <t>%,VK3202054</t>
  </si>
  <si>
    <t>UKC REAL ESTATE 5419 HOLMES</t>
  </si>
  <si>
    <t>K3202054</t>
  </si>
  <si>
    <t>%,VK3202055</t>
  </si>
  <si>
    <t>UKC REAL ESTATE 5425 HOLMES</t>
  </si>
  <si>
    <t>K3202055</t>
  </si>
  <si>
    <t>%,VK3202056</t>
  </si>
  <si>
    <t>UKC REAL ESTATE 5431 HOLMES</t>
  </si>
  <si>
    <t>K3202056</t>
  </si>
  <si>
    <t>%,VK3202057</t>
  </si>
  <si>
    <t>UKC REAL ESTATE 5435 HOLMES</t>
  </si>
  <si>
    <t>K3202057</t>
  </si>
  <si>
    <t>%,VK3202058</t>
  </si>
  <si>
    <t>UKC REAL ESTATE 5437 HOLMES</t>
  </si>
  <si>
    <t>K3202058</t>
  </si>
  <si>
    <t>%,VK3202060</t>
  </si>
  <si>
    <t>UKC-REAL ESTATE 5424-26 HARRIS</t>
  </si>
  <si>
    <t>K3202060</t>
  </si>
  <si>
    <t>%,VK3202061</t>
  </si>
  <si>
    <t>UKC REAL ESTATE 5300 OAK</t>
  </si>
  <si>
    <t>K3202061</t>
  </si>
  <si>
    <t>%,VK3202063</t>
  </si>
  <si>
    <t>UKC REAL ESTATE 5312 ROCKHILL</t>
  </si>
  <si>
    <t>K3202063</t>
  </si>
  <si>
    <t>%,VK3202064</t>
  </si>
  <si>
    <t>UKC REAL ESTATE 5328 ROCKHILL</t>
  </si>
  <si>
    <t>K3202064</t>
  </si>
  <si>
    <t>%,VK3202065</t>
  </si>
  <si>
    <t>UKC REAL ESTATE 5330 ROCKHILL</t>
  </si>
  <si>
    <t>K3202065</t>
  </si>
  <si>
    <t>%,VK3202066</t>
  </si>
  <si>
    <t>UKC REAL ESTATE 5336 ROCKHILL</t>
  </si>
  <si>
    <t>K3202066</t>
  </si>
  <si>
    <t>%,VK3202067</t>
  </si>
  <si>
    <t>UKC REAL ESTATE 5340 ROCKHILL</t>
  </si>
  <si>
    <t>K3202067</t>
  </si>
  <si>
    <t>%,VK3202068</t>
  </si>
  <si>
    <t>UKC REAL ESTATE 5401 ROCKHILL</t>
  </si>
  <si>
    <t>K3202068</t>
  </si>
  <si>
    <t>%,VK3202069</t>
  </si>
  <si>
    <t>UKC REAL ESTATE 5408 ROCKHILL</t>
  </si>
  <si>
    <t>K3202069</t>
  </si>
  <si>
    <t>%,VK3202070</t>
  </si>
  <si>
    <t>UKC REAL ESTATE 5411 ROCKHILL</t>
  </si>
  <si>
    <t>K3202070</t>
  </si>
  <si>
    <t>%,VK3202071</t>
  </si>
  <si>
    <t>UKC REAL ESTATE 5418 ROCKHILL</t>
  </si>
  <si>
    <t>K3202071</t>
  </si>
  <si>
    <t>%,VK3202072</t>
  </si>
  <si>
    <t>UKC REAL ESTATE 5433 ROCKHILL</t>
  </si>
  <si>
    <t>K3202072</t>
  </si>
  <si>
    <t>%,VK3202073</t>
  </si>
  <si>
    <t>UKC REAL ESTATE 5434 ROCKHILL</t>
  </si>
  <si>
    <t>K3202073</t>
  </si>
  <si>
    <t>%,VK3202074</t>
  </si>
  <si>
    <t>UKC REAL ESTATE 5441 ROCKHILL</t>
  </si>
  <si>
    <t>K3202074</t>
  </si>
  <si>
    <t>%,VK3202075</t>
  </si>
  <si>
    <t>UKC - REAL ESTATE 5409 ROCKHIL</t>
  </si>
  <si>
    <t>K3202075</t>
  </si>
  <si>
    <t>%,VK3202076</t>
  </si>
  <si>
    <t>UKC REAL ESTATE - 5420 ROCKHIL</t>
  </si>
  <si>
    <t>K3202076</t>
  </si>
  <si>
    <t>%,VK3202077</t>
  </si>
  <si>
    <t>UKC REAL ESTATE 5435 ROCKHILL</t>
  </si>
  <si>
    <t>K3202077</t>
  </si>
  <si>
    <t>%,VK3202082</t>
  </si>
  <si>
    <t>UKC REAL ESTATE 5306 ROCKHILL</t>
  </si>
  <si>
    <t>K3202082</t>
  </si>
  <si>
    <t>%,VK3202083</t>
  </si>
  <si>
    <t>UKC REALESTATE 5442 HARRISON</t>
  </si>
  <si>
    <t>K3202083</t>
  </si>
  <si>
    <t>%,VK3202084</t>
  </si>
  <si>
    <t>UKC REAL ESTATE 5400 HARRISON</t>
  </si>
  <si>
    <t>K3202084</t>
  </si>
  <si>
    <t>%,VK3202086</t>
  </si>
  <si>
    <t>UKC REAL ESTATE 7100-02 VIRGIN</t>
  </si>
  <si>
    <t>K3202086</t>
  </si>
  <si>
    <t>%,VK3202088</t>
  </si>
  <si>
    <t>UKC REAL ESTATE OPERATIONS CLE</t>
  </si>
  <si>
    <t>K3202088</t>
  </si>
  <si>
    <t>%,VK3202089</t>
  </si>
  <si>
    <t>UKC REAL ESTATE PAYABLES CLEAR</t>
  </si>
  <si>
    <t>K3202089</t>
  </si>
  <si>
    <t>%,VK3202090</t>
  </si>
  <si>
    <t>5329 ROCKHILL</t>
  </si>
  <si>
    <t>K3202090</t>
  </si>
  <si>
    <t>%,VK3202091</t>
  </si>
  <si>
    <t>UKC 5430 32 HARRISON</t>
  </si>
  <si>
    <t>K3202091</t>
  </si>
  <si>
    <t>%,VK3202092</t>
  </si>
  <si>
    <t>UKC 5339 HARRISON</t>
  </si>
  <si>
    <t>K3202092</t>
  </si>
  <si>
    <t>%,VK3202093</t>
  </si>
  <si>
    <t>UKC 5429 ROCKHILL ROAD</t>
  </si>
  <si>
    <t>K3202093</t>
  </si>
  <si>
    <t>%,VK3202094</t>
  </si>
  <si>
    <t>UKC 5440 ROCKHILL</t>
  </si>
  <si>
    <t>K3202094</t>
  </si>
  <si>
    <t>%,VK3202096</t>
  </si>
  <si>
    <t>UKC 715 E 54TH STREET</t>
  </si>
  <si>
    <t>K3202096</t>
  </si>
  <si>
    <t>%,VK3202097</t>
  </si>
  <si>
    <t>5314 ROCKHILL ROAD</t>
  </si>
  <si>
    <t>K3202097</t>
  </si>
  <si>
    <t>%,VK3202098</t>
  </si>
  <si>
    <t>UKC 5318 ROCKHILL ROAD</t>
  </si>
  <si>
    <t>K3202098</t>
  </si>
  <si>
    <t>%,VK3202099</t>
  </si>
  <si>
    <t>UKC 5304 HARRISON</t>
  </si>
  <si>
    <t>K3202099</t>
  </si>
  <si>
    <t>%,VK3202100</t>
  </si>
  <si>
    <t>5345 CHARLOTTE - UKC</t>
  </si>
  <si>
    <t>K3202100</t>
  </si>
  <si>
    <t>%,FDEPTID,X,_,FFUND_CODE,TGASB_34_35_FUND,NAGENCY_FUNDS_NONEXP</t>
  </si>
  <si>
    <t>TOTAL AGENCY FUNDS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</si>
  <si>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</si>
  <si>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</si>
  <si>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</si>
  <si>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</si>
  <si>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</si>
  <si>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%,V0720</t>
  </si>
  <si>
    <t>%,V0725</t>
  </si>
  <si>
    <t>%,V0730</t>
  </si>
  <si>
    <t>%,V0795</t>
  </si>
  <si>
    <t>%,V0800</t>
  </si>
  <si>
    <t>%,V0815</t>
  </si>
  <si>
    <t>%,V0820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</si>
  <si>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</si>
  <si>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</si>
  <si>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</si>
  <si>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</si>
  <si>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</si>
  <si>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</si>
  <si>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</si>
  <si>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</si>
  <si>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Building Services</t>
  </si>
  <si>
    <t>Campus Plng, Design, Constr</t>
  </si>
  <si>
    <t>Central Mail</t>
  </si>
  <si>
    <t>Printing</t>
  </si>
  <si>
    <t>Public Communications</t>
  </si>
  <si>
    <t>Telecommunications</t>
  </si>
  <si>
    <t>University Garage</t>
  </si>
  <si>
    <t>Other Service Oper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</si>
  <si>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</si>
  <si>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</si>
  <si>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</si>
  <si>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</si>
  <si>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</si>
  <si>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</si>
  <si>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</si>
  <si>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</si>
  <si>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</si>
  <si>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</si>
  <si>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</si>
  <si>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</si>
  <si>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</si>
  <si>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</si>
  <si>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</si>
  <si>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</si>
  <si>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</si>
  <si>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</si>
  <si>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</si>
  <si>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</si>
  <si>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</si>
  <si>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%,V400800</t>
  </si>
  <si>
    <t>Undergrad interses sum-non res</t>
  </si>
  <si>
    <t>400800</t>
  </si>
  <si>
    <t>%,V400900</t>
  </si>
  <si>
    <t>Undergrad interses winter- res</t>
  </si>
  <si>
    <t>400900</t>
  </si>
  <si>
    <t>%,V400950</t>
  </si>
  <si>
    <t>Undergrad inter winter-non res</t>
  </si>
  <si>
    <t>400950</t>
  </si>
  <si>
    <t>%,V401000</t>
  </si>
  <si>
    <t>Prof educ summer fees- res</t>
  </si>
  <si>
    <t>401000</t>
  </si>
  <si>
    <t>%,V401100</t>
  </si>
  <si>
    <t>Prof educ summer fees non-res</t>
  </si>
  <si>
    <t>401100</t>
  </si>
  <si>
    <t>%,V401200</t>
  </si>
  <si>
    <t>Prof educ fall fees - resident</t>
  </si>
  <si>
    <t>401200</t>
  </si>
  <si>
    <t>%,V401300</t>
  </si>
  <si>
    <t>Prof educ fall fees-non-res</t>
  </si>
  <si>
    <t>401300</t>
  </si>
  <si>
    <t>%,V401400</t>
  </si>
  <si>
    <t>Prof educ winter fees-resident</t>
  </si>
  <si>
    <t>401400</t>
  </si>
  <si>
    <t>%,V401500</t>
  </si>
  <si>
    <t>Prof educ winter fees-non-res</t>
  </si>
  <si>
    <t>401500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</si>
  <si>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</si>
  <si>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</si>
  <si>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</si>
  <si>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</si>
  <si>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</si>
  <si>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</si>
  <si>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</si>
  <si>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Suspense items-feeders</t>
  </si>
  <si>
    <t>450010</t>
  </si>
  <si>
    <t>%,V600000</t>
  </si>
  <si>
    <t>Cost of Goods Sold</t>
  </si>
  <si>
    <t>600000</t>
  </si>
  <si>
    <t>%,V600500</t>
  </si>
  <si>
    <t>COGS Clothing</t>
  </si>
  <si>
    <t>600500</t>
  </si>
  <si>
    <t>%,V600700</t>
  </si>
  <si>
    <t>COGS Commissioned item</t>
  </si>
  <si>
    <t>600700</t>
  </si>
  <si>
    <t>%,V600800</t>
  </si>
  <si>
    <t>COGS Computer supplies</t>
  </si>
  <si>
    <t>600800</t>
  </si>
  <si>
    <t>%,V601000</t>
  </si>
  <si>
    <t>COGS Cost of fundraisers</t>
  </si>
  <si>
    <t>601000</t>
  </si>
  <si>
    <t>%,V601100</t>
  </si>
  <si>
    <t>COGS Custom publishing</t>
  </si>
  <si>
    <t>601100</t>
  </si>
  <si>
    <t>%,V601200</t>
  </si>
  <si>
    <t>COGS Demos</t>
  </si>
  <si>
    <t>601200</t>
  </si>
  <si>
    <t>%,V601400</t>
  </si>
  <si>
    <t>COGS Freight</t>
  </si>
  <si>
    <t>601400</t>
  </si>
  <si>
    <t>%,V601500</t>
  </si>
  <si>
    <t>COGS General books</t>
  </si>
  <si>
    <t>601500</t>
  </si>
  <si>
    <t>%,V601600</t>
  </si>
  <si>
    <t>COGS Gifts</t>
  </si>
  <si>
    <t>601600</t>
  </si>
  <si>
    <t>%,V602600</t>
  </si>
  <si>
    <t>COGS Medical instruments</t>
  </si>
  <si>
    <t>602600</t>
  </si>
  <si>
    <t>%,V602700</t>
  </si>
  <si>
    <t>COGS Medical reference</t>
  </si>
  <si>
    <t>602700</t>
  </si>
  <si>
    <t>%,V602900</t>
  </si>
  <si>
    <t>COGS Newspapers</t>
  </si>
  <si>
    <t>602900</t>
  </si>
  <si>
    <t>%,V603100</t>
  </si>
  <si>
    <t>COGS Printing</t>
  </si>
  <si>
    <t>603100</t>
  </si>
  <si>
    <t>%,V603200</t>
  </si>
  <si>
    <t>COGS Raw material</t>
  </si>
  <si>
    <t>603200</t>
  </si>
  <si>
    <t>%,V603300</t>
  </si>
  <si>
    <t>COGS Record/cassette/cd</t>
  </si>
  <si>
    <t>603300</t>
  </si>
  <si>
    <t>%,V603400</t>
  </si>
  <si>
    <t>COGS Sealed bid return</t>
  </si>
  <si>
    <t>603400</t>
  </si>
  <si>
    <t>%,V603800</t>
  </si>
  <si>
    <t>COGS Supplies</t>
  </si>
  <si>
    <t>603800</t>
  </si>
  <si>
    <t>%,V603900</t>
  </si>
  <si>
    <t>COGS Textbooks</t>
  </si>
  <si>
    <t>603900</t>
  </si>
  <si>
    <t>%,V604000</t>
  </si>
  <si>
    <t>COGS Used Text purchases</t>
  </si>
  <si>
    <t>604000</t>
  </si>
  <si>
    <t>%,V604100</t>
  </si>
  <si>
    <t>COGS Electronics</t>
  </si>
  <si>
    <t>604100</t>
  </si>
  <si>
    <t>%,V604130</t>
  </si>
  <si>
    <t>COGS Telecommunications</t>
  </si>
  <si>
    <t>604130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</si>
  <si>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</si>
  <si>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</si>
  <si>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</si>
  <si>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</si>
  <si>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</si>
  <si>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</si>
  <si>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</si>
  <si>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</si>
  <si>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</si>
  <si>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</si>
  <si>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</si>
  <si>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</si>
  <si>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</si>
  <si>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</si>
  <si>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</si>
  <si>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</si>
  <si>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</si>
  <si>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</si>
  <si>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</si>
  <si>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</si>
  <si>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</si>
  <si>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%,V721420</t>
  </si>
  <si>
    <t>Commercial Travel</t>
  </si>
  <si>
    <t>721420</t>
  </si>
  <si>
    <t>%,V721430</t>
  </si>
  <si>
    <t>Team Travel</t>
  </si>
  <si>
    <t>721430</t>
  </si>
  <si>
    <t>%,V721440</t>
  </si>
  <si>
    <t>Big 12/NCAA Travel</t>
  </si>
  <si>
    <t>721440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</si>
  <si>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</si>
  <si>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</si>
  <si>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</si>
  <si>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</si>
  <si>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</si>
  <si>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</si>
  <si>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</si>
  <si>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</si>
  <si>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</si>
  <si>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</si>
  <si>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</si>
  <si>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</si>
  <si>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</si>
  <si>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</si>
  <si>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</si>
  <si>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</si>
  <si>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</si>
  <si>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</si>
  <si>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</si>
  <si>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</si>
  <si>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</si>
  <si>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</si>
  <si>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</si>
  <si>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</si>
  <si>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</si>
  <si>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</si>
  <si>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</si>
  <si>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</si>
  <si>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</si>
  <si>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</si>
  <si>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</si>
  <si>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</si>
  <si>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</si>
  <si>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</si>
  <si>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</si>
  <si>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</si>
  <si>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</si>
  <si>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</si>
  <si>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</si>
  <si>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</si>
  <si>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</si>
  <si>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</si>
  <si>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</si>
  <si>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</si>
  <si>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</si>
  <si>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</si>
  <si>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</si>
  <si>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</si>
  <si>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</si>
  <si>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</si>
  <si>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</si>
  <si>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</si>
  <si>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</si>
  <si>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</si>
  <si>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</si>
  <si>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</si>
  <si>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</si>
  <si>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</si>
  <si>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</si>
  <si>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</si>
  <si>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</si>
  <si>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</si>
  <si>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</si>
  <si>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</si>
  <si>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</si>
  <si>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</si>
  <si>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</si>
  <si>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</si>
  <si>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</si>
  <si>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</si>
  <si>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</si>
  <si>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</si>
  <si>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</si>
  <si>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</si>
  <si>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</si>
  <si>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</si>
  <si>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</si>
  <si>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</si>
  <si>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</si>
  <si>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</si>
  <si>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</si>
  <si>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%,V725200</t>
  </si>
  <si>
    <t>TV advertising</t>
  </si>
  <si>
    <t>725200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</si>
  <si>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</si>
  <si>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</si>
  <si>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</si>
  <si>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</si>
  <si>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</si>
  <si>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</si>
  <si>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</si>
  <si>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</si>
  <si>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</si>
  <si>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</si>
  <si>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</si>
  <si>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</si>
  <si>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</si>
  <si>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</si>
  <si>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</si>
  <si>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</si>
  <si>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</si>
  <si>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</si>
  <si>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</si>
  <si>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</si>
  <si>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</si>
  <si>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</si>
  <si>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</si>
  <si>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</si>
  <si>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</si>
  <si>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</si>
  <si>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</si>
  <si>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</si>
  <si>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</si>
  <si>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</si>
  <si>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%,V730120</t>
  </si>
  <si>
    <t>Merchandise Variance</t>
  </si>
  <si>
    <t>730120</t>
  </si>
  <si>
    <t>%,V730130</t>
  </si>
  <si>
    <t>Demurrage</t>
  </si>
  <si>
    <t>730130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</si>
  <si>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</si>
  <si>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</si>
  <si>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</si>
  <si>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</si>
  <si>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</si>
  <si>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</si>
  <si>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</si>
  <si>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</si>
  <si>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</si>
  <si>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</si>
  <si>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</si>
  <si>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</si>
  <si>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</si>
  <si>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</si>
  <si>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</si>
  <si>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</si>
  <si>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</si>
  <si>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</si>
  <si>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</si>
  <si>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</si>
  <si>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</si>
  <si>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</si>
  <si>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</si>
  <si>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</si>
  <si>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</si>
  <si>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</si>
  <si>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</si>
  <si>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</si>
  <si>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</si>
  <si>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</si>
  <si>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</si>
  <si>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</si>
  <si>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</si>
  <si>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</si>
  <si>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</si>
  <si>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</si>
  <si>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</si>
  <si>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</si>
  <si>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</si>
  <si>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</si>
  <si>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</si>
  <si>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</si>
  <si>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</si>
  <si>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</si>
  <si>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</si>
  <si>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</si>
  <si>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</si>
  <si>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</si>
  <si>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</si>
  <si>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</si>
  <si>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</si>
  <si>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</si>
  <si>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</si>
  <si>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</si>
  <si>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%,V731710</t>
  </si>
  <si>
    <t>Research Animals - Feed</t>
  </si>
  <si>
    <t>731710</t>
  </si>
  <si>
    <t>%,V731720</t>
  </si>
  <si>
    <t>Research Animals - Bedding</t>
  </si>
  <si>
    <t>731720</t>
  </si>
  <si>
    <t>%,V731730</t>
  </si>
  <si>
    <t>Research Animals Drugs</t>
  </si>
  <si>
    <t>731730</t>
  </si>
  <si>
    <t>%,V731740</t>
  </si>
  <si>
    <t>Research Animals Misc</t>
  </si>
  <si>
    <t>731740</t>
  </si>
  <si>
    <t>%,V731900</t>
  </si>
  <si>
    <t>Food stores - misc food</t>
  </si>
  <si>
    <t>731900</t>
  </si>
  <si>
    <t>%,V732000</t>
  </si>
  <si>
    <t>Food stores - paper supplies</t>
  </si>
  <si>
    <t>732000</t>
  </si>
  <si>
    <t>%,V732300</t>
  </si>
  <si>
    <t>Food stores - baked goods</t>
  </si>
  <si>
    <t>732300</t>
  </si>
  <si>
    <t>%,V732600</t>
  </si>
  <si>
    <t>Food stores - groceries</t>
  </si>
  <si>
    <t>732600</t>
  </si>
  <si>
    <t>%,V732800</t>
  </si>
  <si>
    <t>Food stores - other</t>
  </si>
  <si>
    <t>732800</t>
  </si>
  <si>
    <t>%,V733600</t>
  </si>
  <si>
    <t>Reproduction supplies</t>
  </si>
  <si>
    <t>733600</t>
  </si>
  <si>
    <t>%,V733860</t>
  </si>
  <si>
    <t>Pharmacy Charge Items</t>
  </si>
  <si>
    <t>733860</t>
  </si>
  <si>
    <t>%,V733870</t>
  </si>
  <si>
    <t>Drugs</t>
  </si>
  <si>
    <t>733870</t>
  </si>
  <si>
    <t>%,V734000</t>
  </si>
  <si>
    <t>Photography dark room supplies</t>
  </si>
  <si>
    <t>734000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</si>
  <si>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</si>
  <si>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</si>
  <si>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</si>
  <si>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</si>
  <si>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</si>
  <si>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</si>
  <si>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</si>
  <si>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</si>
  <si>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</si>
  <si>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</si>
  <si>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</si>
  <si>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</si>
  <si>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</si>
  <si>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</si>
  <si>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</si>
  <si>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</si>
  <si>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</si>
  <si>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</si>
  <si>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</si>
  <si>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</si>
  <si>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</si>
  <si>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</si>
  <si>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</si>
  <si>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</si>
  <si>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</si>
  <si>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</si>
  <si>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</si>
  <si>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</si>
  <si>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</si>
  <si>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</si>
  <si>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%,V739700</t>
  </si>
  <si>
    <t>Programs/support</t>
  </si>
  <si>
    <t>739700</t>
  </si>
  <si>
    <t>%,V739800</t>
  </si>
  <si>
    <t>Contracts/agreements/license</t>
  </si>
  <si>
    <t>739800</t>
  </si>
  <si>
    <t>%,V740002</t>
  </si>
  <si>
    <t>Non-capital equipment</t>
  </si>
  <si>
    <t>740002</t>
  </si>
  <si>
    <t>%,V740100</t>
  </si>
  <si>
    <t>Computers - Non Capital</t>
  </si>
  <si>
    <t>740100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</si>
  <si>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</si>
  <si>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</si>
  <si>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</si>
  <si>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</si>
  <si>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</si>
  <si>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</si>
  <si>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</si>
  <si>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</si>
  <si>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</si>
  <si>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</si>
  <si>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</si>
  <si>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</si>
  <si>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</si>
  <si>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</si>
  <si>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</si>
  <si>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%,V741400</t>
  </si>
  <si>
    <t>Fertilizer &amp; chemicals</t>
  </si>
  <si>
    <t>741400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</si>
  <si>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</si>
  <si>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</si>
  <si>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</si>
  <si>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</si>
  <si>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</si>
  <si>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</si>
  <si>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</si>
  <si>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</si>
  <si>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</si>
  <si>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%,V742200</t>
  </si>
  <si>
    <t>Commissions</t>
  </si>
  <si>
    <t>742200</t>
  </si>
  <si>
    <t>%,V742300</t>
  </si>
  <si>
    <t>Contracts</t>
  </si>
  <si>
    <t>742300</t>
  </si>
  <si>
    <t>%,V742400</t>
  </si>
  <si>
    <t>Payouts</t>
  </si>
  <si>
    <t>742400</t>
  </si>
  <si>
    <t>%,V742500</t>
  </si>
  <si>
    <t>Guarantees/options</t>
  </si>
  <si>
    <t>742500</t>
  </si>
  <si>
    <t>%,V742600</t>
  </si>
  <si>
    <t>Service charge</t>
  </si>
  <si>
    <t>742600</t>
  </si>
  <si>
    <t>%,V742860</t>
  </si>
  <si>
    <t>Bad Debt Expense</t>
  </si>
  <si>
    <t>742860</t>
  </si>
  <si>
    <t>%,V743100</t>
  </si>
  <si>
    <t>Field day</t>
  </si>
  <si>
    <t>743100</t>
  </si>
  <si>
    <t>%,V743200</t>
  </si>
  <si>
    <t>Awards</t>
  </si>
  <si>
    <t>743200</t>
  </si>
  <si>
    <t>%,V743700</t>
  </si>
  <si>
    <t>Credit card charges</t>
  </si>
  <si>
    <t>743700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</si>
  <si>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</si>
  <si>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</si>
  <si>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</si>
  <si>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</si>
  <si>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</si>
  <si>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</si>
  <si>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</si>
  <si>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</si>
  <si>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</si>
  <si>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</si>
  <si>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</si>
  <si>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</si>
  <si>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</si>
  <si>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</si>
  <si>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</si>
  <si>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</si>
  <si>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</si>
  <si>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</si>
  <si>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</si>
  <si>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</si>
  <si>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</si>
  <si>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</si>
  <si>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</si>
  <si>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</si>
  <si>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%,V750600</t>
  </si>
  <si>
    <t>Brinks services</t>
  </si>
  <si>
    <t>750600</t>
  </si>
  <si>
    <t>%,V750700</t>
  </si>
  <si>
    <t>Energy administration</t>
  </si>
  <si>
    <t>750700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</si>
  <si>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</si>
  <si>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</si>
  <si>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</si>
  <si>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</si>
  <si>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</si>
  <si>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</si>
  <si>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</si>
  <si>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</si>
  <si>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</si>
  <si>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</si>
  <si>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</si>
  <si>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</si>
  <si>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%,V751300</t>
  </si>
  <si>
    <t>Speaker honorium</t>
  </si>
  <si>
    <t>751300</t>
  </si>
  <si>
    <t>%,V753002</t>
  </si>
  <si>
    <t>Hospital professional services</t>
  </si>
  <si>
    <t>753002</t>
  </si>
  <si>
    <t>%,V753100</t>
  </si>
  <si>
    <t>Hosp-physicians fees(internal)</t>
  </si>
  <si>
    <t>753100</t>
  </si>
  <si>
    <t>%,V755000</t>
  </si>
  <si>
    <t>Use fees</t>
  </si>
  <si>
    <t>755000</t>
  </si>
  <si>
    <t>%,V765001</t>
  </si>
  <si>
    <t>Subcontracts &lt;$25,000</t>
  </si>
  <si>
    <t>765001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</si>
  <si>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</si>
  <si>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</si>
  <si>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</si>
  <si>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</si>
  <si>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</si>
  <si>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</si>
  <si>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</si>
  <si>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</si>
  <si>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</si>
  <si>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</si>
  <si>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</si>
  <si>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</si>
  <si>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</si>
  <si>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</si>
  <si>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</si>
  <si>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</si>
  <si>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</si>
  <si>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</si>
  <si>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</si>
  <si>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</si>
  <si>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</si>
  <si>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</si>
  <si>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</si>
  <si>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</si>
  <si>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</si>
  <si>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</si>
  <si>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</si>
  <si>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%,V791000</t>
  </si>
  <si>
    <t>791000</t>
  </si>
  <si>
    <t>%,V792000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</si>
  <si>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</si>
  <si>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</si>
  <si>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</si>
  <si>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</si>
  <si>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</si>
  <si>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</si>
  <si>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</si>
  <si>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</si>
  <si>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</si>
  <si>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</si>
  <si>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%,V800000</t>
  </si>
  <si>
    <t>Utilities</t>
  </si>
  <si>
    <t>800000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</si>
  <si>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</si>
  <si>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</si>
  <si>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</si>
  <si>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</si>
  <si>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</si>
  <si>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</si>
  <si>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</si>
  <si>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</si>
  <si>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</si>
  <si>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</si>
  <si>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</si>
  <si>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</si>
  <si>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</si>
  <si>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</si>
  <si>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</si>
  <si>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%,V810500</t>
  </si>
  <si>
    <t>Vendor natural gas</t>
  </si>
  <si>
    <t>810500</t>
  </si>
  <si>
    <t>%,V810700</t>
  </si>
  <si>
    <t>Vendor storm sewer</t>
  </si>
  <si>
    <t>810700</t>
  </si>
  <si>
    <t>%,V810800</t>
  </si>
  <si>
    <t>Vendor - Cable TV Services</t>
  </si>
  <si>
    <t>810800</t>
  </si>
  <si>
    <t>%,V822200</t>
  </si>
  <si>
    <t>Loss/Gain on assets - AM</t>
  </si>
  <si>
    <t>822200</t>
  </si>
  <si>
    <t>%,V863001</t>
  </si>
  <si>
    <t>Other Allocations/Transfer Out</t>
  </si>
  <si>
    <t>863001</t>
  </si>
  <si>
    <t>UKC REAL ESTATE     5329 CHARL</t>
  </si>
  <si>
    <t>K3202007</t>
  </si>
  <si>
    <t>%,VK3202008</t>
  </si>
  <si>
    <t>UKC REAL ESTATE     5341 CHARL</t>
  </si>
  <si>
    <t>K3202008</t>
  </si>
  <si>
    <t>%,VK3202009</t>
  </si>
  <si>
    <t>UKC REAL ESTATE     5409 CHARL</t>
  </si>
  <si>
    <t>K3202009</t>
  </si>
  <si>
    <t>%,VK3202016</t>
  </si>
  <si>
    <t>UKC REAL ESTATE     5436 CHARL</t>
  </si>
  <si>
    <t>K3202016</t>
  </si>
  <si>
    <t>%,VK3202017</t>
  </si>
  <si>
    <t>UKC REAL ESTATE     5332 CHARL</t>
  </si>
  <si>
    <t>K3202017</t>
  </si>
  <si>
    <t>%,VK3202018</t>
  </si>
  <si>
    <t>UKC - REAL ESTATE 5328 CHARLOT</t>
  </si>
  <si>
    <t>K3202018</t>
  </si>
  <si>
    <t>%,VK3202019</t>
  </si>
  <si>
    <t>UKC REAL ESTATE 5439 CHARLOTTE</t>
  </si>
  <si>
    <t>K3202019</t>
  </si>
  <si>
    <t>%,VK3202020</t>
  </si>
  <si>
    <t>UKC REAL ESTATE 5446 CHARLOTTE</t>
  </si>
  <si>
    <t>K3202020</t>
  </si>
  <si>
    <t>%,VK3202021</t>
  </si>
  <si>
    <t>UKC REAL ESTATE 5344 CHARLOTTE</t>
  </si>
  <si>
    <t>K3202021</t>
  </si>
  <si>
    <t>%,VK3202022</t>
  </si>
  <si>
    <t>UKC REAL ESTATE 5315 CHARLOTTE</t>
  </si>
  <si>
    <t>K3202022</t>
  </si>
  <si>
    <t>%,VK3202023</t>
  </si>
  <si>
    <t>UKC REAL ESTATE 5347 CHARLOTTE</t>
  </si>
  <si>
    <t>K3202023</t>
  </si>
  <si>
    <t>%,VK3202024</t>
  </si>
  <si>
    <t>UKC REAL ESTATE 5414 CHARLOTTE</t>
  </si>
  <si>
    <t>K3202024</t>
  </si>
  <si>
    <t>%,VK3202025</t>
  </si>
  <si>
    <t>UKC REAL ESTATE 5303 CHARLOTTE</t>
  </si>
  <si>
    <t>K3202025</t>
  </si>
  <si>
    <t>%,VK3202026</t>
  </si>
  <si>
    <t>UKC REAL ESTATE 5411 CHARLOTTE</t>
  </si>
  <si>
    <t>K3202026</t>
  </si>
  <si>
    <t>%,VK3202032</t>
  </si>
  <si>
    <t>UKC REALESTATE 5408 HARRISON</t>
  </si>
  <si>
    <t>K3202032</t>
  </si>
  <si>
    <t>%,VK3202033</t>
  </si>
  <si>
    <t>UKC-5435 HARRISON</t>
  </si>
  <si>
    <t>K3202033</t>
  </si>
  <si>
    <t>%,VK3202037</t>
  </si>
  <si>
    <t>UKC REAL ESTATE 714 E 54 TERR</t>
  </si>
  <si>
    <t>K3202037</t>
  </si>
  <si>
    <t>%,VK3202040</t>
  </si>
  <si>
    <t>UKC REAL ESTATE  707 E 54TH TE</t>
  </si>
  <si>
    <t>K3202040</t>
  </si>
  <si>
    <t>%,VK3202041</t>
  </si>
  <si>
    <t>UKC REAL ESTATE  709 E 54TH TE</t>
  </si>
  <si>
    <t>K3202041</t>
  </si>
  <si>
    <t>%,VK3202042</t>
  </si>
  <si>
    <t>UKC REAL ESTATE 709 E 54TH STR</t>
  </si>
  <si>
    <t>K3202042</t>
  </si>
  <si>
    <t>%,VK3202043</t>
  </si>
  <si>
    <t>UKC REAL ESTATE 710 E 55TH</t>
  </si>
  <si>
    <t>K3202043</t>
  </si>
  <si>
    <t>%,VK3202044</t>
  </si>
  <si>
    <t>UKC REAL ESTATE 714 E. 55TH ST</t>
  </si>
  <si>
    <t>K3202044</t>
  </si>
  <si>
    <t>%,VK3202045</t>
  </si>
  <si>
    <t>UKC REAL ESTATE 5428 HARRISON</t>
  </si>
  <si>
    <t>K3202045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</si>
  <si>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</si>
  <si>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</si>
  <si>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</si>
  <si>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</si>
  <si>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</si>
  <si>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</si>
  <si>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</si>
  <si>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</si>
  <si>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</si>
  <si>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Operating Income (Loss) before State Appropriations </t>
  </si>
  <si>
    <t xml:space="preserve">Operating Income (Loss) after State Appropriations, 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</si>
  <si>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</si>
  <si>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</si>
  <si>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</si>
  <si>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</si>
  <si>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</si>
  <si>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</si>
  <si>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</si>
  <si>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</si>
  <si>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</si>
  <si>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</si>
  <si>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</si>
  <si>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</si>
  <si>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</si>
  <si>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</si>
  <si>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</si>
  <si>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</si>
  <si>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</si>
  <si>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Endow Income-Spec Instructions</t>
  </si>
  <si>
    <t>470600</t>
  </si>
  <si>
    <t>%,V475000</t>
  </si>
  <si>
    <t>Investment income</t>
  </si>
  <si>
    <t>475000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</si>
  <si>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</si>
  <si>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</si>
  <si>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</si>
  <si>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</si>
  <si>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</si>
  <si>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</si>
  <si>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</si>
  <si>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</si>
  <si>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</si>
  <si>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</si>
  <si>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</si>
  <si>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</si>
  <si>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</si>
  <si>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</si>
  <si>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</si>
  <si>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</si>
  <si>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</si>
  <si>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</si>
  <si>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</si>
  <si>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</si>
  <si>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</si>
  <si>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</si>
  <si>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</si>
  <si>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</si>
  <si>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</si>
  <si>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</si>
  <si>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%,R,FACCOUNT,TGASB_34_35,X,NINTEREST CAP DEBT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</si>
  <si>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</si>
  <si>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</si>
  <si>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</si>
  <si>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</si>
  <si>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</si>
  <si>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</si>
  <si>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</si>
  <si>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 xml:space="preserve">    Net Nonoperating Revenues (Expenses) before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</si>
  <si>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</si>
  <si>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</si>
  <si>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</si>
  <si>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</si>
  <si>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</si>
  <si>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</si>
  <si>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</si>
  <si>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</si>
  <si>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</si>
  <si>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</si>
  <si>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</si>
  <si>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</si>
  <si>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%,V861100</t>
  </si>
  <si>
    <t>Mand Trf Out - Debt Retirement</t>
  </si>
  <si>
    <t>861100</t>
  </si>
  <si>
    <t>%,V861300</t>
  </si>
  <si>
    <t>Mand Trf Out - Other</t>
  </si>
  <si>
    <t>861300</t>
  </si>
  <si>
    <t xml:space="preserve">    Net Other Nonoperating Revenues (Expenses) before Transfers </t>
  </si>
  <si>
    <t>%,R,FACCOUNT,TGASB_34_35,X,NMANDATORY TRFS</t>
  </si>
  <si>
    <t>%,V391000</t>
  </si>
  <si>
    <t>Non Mandatory Trfs In</t>
  </si>
  <si>
    <t>391000</t>
  </si>
  <si>
    <t>%,V391200</t>
  </si>
  <si>
    <t>NonMand Trf In R&amp;R(Cap Pool)</t>
  </si>
  <si>
    <t>391200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</si>
  <si>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</si>
  <si>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</si>
  <si>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</si>
  <si>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</si>
  <si>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</si>
  <si>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</si>
  <si>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</si>
  <si>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</si>
  <si>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</si>
  <si>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%,R,FACCOUNT,TGASB_34_35,X,NNON MANDATORY TRFS</t>
  </si>
  <si>
    <t>%,R,FACCOUNT,TGASB_34_35,X,NGEN REVENUE ALLOC</t>
  </si>
  <si>
    <t>General Revenue Allocations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</si>
  <si>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</si>
  <si>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</si>
  <si>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</si>
  <si>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</si>
  <si>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</si>
  <si>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Net Assets, Beginning of Year</t>
  </si>
  <si>
    <t>FACULTY-STAFF LOAN</t>
  </si>
  <si>
    <t>%,VK6027</t>
  </si>
  <si>
    <t>FERGUSON LOAN FUND</t>
  </si>
  <si>
    <t>%,VK6028</t>
  </si>
  <si>
    <t>GENERAL STUDENT LOAN</t>
  </si>
  <si>
    <t>%,VK6029</t>
  </si>
  <si>
    <t>JOE GILBERT LOAN</t>
  </si>
  <si>
    <t>%,VK6030</t>
  </si>
  <si>
    <t>TED GILMORE FUND</t>
  </si>
  <si>
    <t>%,VK6031</t>
  </si>
  <si>
    <t>GR PLAINS DENTAL LN</t>
  </si>
  <si>
    <t>%,VK6032</t>
  </si>
  <si>
    <t>HARGRAVE LOAN FD</t>
  </si>
  <si>
    <t>%,VK6033</t>
  </si>
  <si>
    <t>HARTVIGENSEN LOAN FD</t>
  </si>
  <si>
    <t>%,VK6034</t>
  </si>
  <si>
    <t>HAWKINS LOAN FUND</t>
  </si>
  <si>
    <t>%,VK6035</t>
  </si>
  <si>
    <t>INDIAN STU CLB LOAN</t>
  </si>
  <si>
    <t>%,VK6036</t>
  </si>
  <si>
    <t>INTL COLL DENTIST LN</t>
  </si>
  <si>
    <t>%,VK6038</t>
  </si>
  <si>
    <t>JAPAN-AMER EMER LOAN</t>
  </si>
  <si>
    <t>%,VK6039</t>
  </si>
  <si>
    <t>R W JOHNSON FDN-DENT</t>
  </si>
  <si>
    <t>%,VK6040</t>
  </si>
  <si>
    <t>R W JOHNSON FDN</t>
  </si>
  <si>
    <t>%,VK6041</t>
  </si>
  <si>
    <t>KANSAS DENTAL AUX LN</t>
  </si>
  <si>
    <t>%,VK6042</t>
  </si>
  <si>
    <t>KELLOGG STUDENT LOAN</t>
  </si>
  <si>
    <t>%,VK6043</t>
  </si>
  <si>
    <t>MAX LEUPOLD SCHP LN</t>
  </si>
  <si>
    <t>%,VK6044</t>
  </si>
  <si>
    <t>LOGAN STUDY CLUD FD</t>
  </si>
  <si>
    <t>%,VK6045</t>
  </si>
  <si>
    <t>H E &amp; D D LOUGH LOAN</t>
  </si>
  <si>
    <t>%,VK6046</t>
  </si>
  <si>
    <t>NADINE C LOUGH LOAN</t>
  </si>
  <si>
    <t>%,VK6047</t>
  </si>
  <si>
    <t>A D MARTIN MEMORIAL</t>
  </si>
  <si>
    <t>%,VK6048</t>
  </si>
  <si>
    <t>MCCREIGHT LOAN FUND</t>
  </si>
  <si>
    <t>%,VK6049</t>
  </si>
  <si>
    <t>MEDICAL STUDENT LOAN</t>
  </si>
  <si>
    <t>%,VK6050</t>
  </si>
  <si>
    <t>MEDLINK LOAN FUND</t>
  </si>
  <si>
    <t>%,VK6051</t>
  </si>
  <si>
    <t>MID-CENT DENT LOAN</t>
  </si>
  <si>
    <t>%,VK6052</t>
  </si>
  <si>
    <t>MO REPERTORY LOAN</t>
  </si>
  <si>
    <t>%,VK6053</t>
  </si>
  <si>
    <t>MO REXALLITE LOAN</t>
  </si>
  <si>
    <t>%,VK6054</t>
  </si>
  <si>
    <t>DR G ROTH DENT ST LN</t>
  </si>
  <si>
    <t>%,VK6055</t>
  </si>
  <si>
    <t>J R SWARTZ MEMORIAL</t>
  </si>
  <si>
    <t>%,VK6056</t>
  </si>
  <si>
    <t>MURRAY STUDENT LOAN</t>
  </si>
  <si>
    <t>%,VK6057</t>
  </si>
  <si>
    <t>ARTHUR NELSON LOAN</t>
  </si>
  <si>
    <t>%,VK6058</t>
  </si>
  <si>
    <t>O'DELL DENTAL LOAN</t>
  </si>
  <si>
    <t>%,VK6059</t>
  </si>
  <si>
    <t>ORTHO STUDENT LOAN</t>
  </si>
  <si>
    <t>%,VK6060</t>
  </si>
  <si>
    <t>RODDY OSBORNE FUND</t>
  </si>
  <si>
    <t>%,VK6061</t>
  </si>
  <si>
    <t>PARROTT FDN LOAN</t>
  </si>
  <si>
    <t>%,VK6062</t>
  </si>
  <si>
    <t>J C PENTICUFF MEMOR</t>
  </si>
  <si>
    <t>%,VK6063</t>
  </si>
  <si>
    <t>PHARMACY ALUMNI LOAN</t>
  </si>
  <si>
    <t>%,VK6064</t>
  </si>
  <si>
    <t>PHARM-CHEM ALLIED CO</t>
  </si>
  <si>
    <t>%,VK6065</t>
  </si>
  <si>
    <t>PHARMACY-I KATZ MEM</t>
  </si>
  <si>
    <t>%,VK6066</t>
  </si>
  <si>
    <t>PHARM-J S WATKINS LN</t>
  </si>
  <si>
    <t>%,VK6067</t>
  </si>
  <si>
    <t>PETER POTTER LOAN</t>
  </si>
  <si>
    <t>%,VK6068</t>
  </si>
  <si>
    <t>POWELL REVOLVING LN</t>
  </si>
  <si>
    <t>%,VK6069</t>
  </si>
  <si>
    <t>RUEBEN RHODES MEM</t>
  </si>
  <si>
    <t>%,VK6070</t>
  </si>
  <si>
    <t>SCHOOL OF PHARMACY</t>
  </si>
  <si>
    <t>%,VK6071</t>
  </si>
  <si>
    <t>O M SCOTT LOAN FUND</t>
  </si>
  <si>
    <t>%,VK6072</t>
  </si>
  <si>
    <t>SECOND PRESB INTL LN</t>
  </si>
  <si>
    <t>%,VK6073</t>
  </si>
  <si>
    <t>R A SHANNON LOAN</t>
  </si>
  <si>
    <t>%,VK6074</t>
  </si>
  <si>
    <t>SMALL LOAN EMERG FD</t>
  </si>
  <si>
    <t>%,VK6075</t>
  </si>
  <si>
    <t>R &amp; H SMITH LOAN</t>
  </si>
  <si>
    <t>%,VK6076</t>
  </si>
  <si>
    <t>SOC OF NEW ENG WOMEN</t>
  </si>
  <si>
    <t>%,VK6077</t>
  </si>
  <si>
    <t>SW DIST DENT STU LN</t>
  </si>
  <si>
    <t>%,VK6078</t>
  </si>
  <si>
    <t>T DUFF STEWARD MEM</t>
  </si>
  <si>
    <t>%,VK6079</t>
  </si>
  <si>
    <t>FRIENDS MEDICAL LOAN</t>
  </si>
  <si>
    <t>%,VK6080</t>
  </si>
  <si>
    <t>STUDENT AID FUND</t>
  </si>
  <si>
    <t>%,VK6081</t>
  </si>
  <si>
    <t>TOPEKA DENT AUX LN</t>
  </si>
  <si>
    <t>%,VK6082</t>
  </si>
  <si>
    <t>UNITED STUDENT AID</t>
  </si>
  <si>
    <t>%,VK6083</t>
  </si>
  <si>
    <t>UMKC ALUMNI EMERG LN</t>
  </si>
  <si>
    <t>%,VK6085</t>
  </si>
  <si>
    <t>C E VIRDEN MED STULN</t>
  </si>
  <si>
    <t>%,VK6087</t>
  </si>
  <si>
    <t>W CENT RET DRUG ASSN</t>
  </si>
  <si>
    <t>%,VK6088</t>
  </si>
  <si>
    <t>WEST MO FRIEND EM LN</t>
  </si>
  <si>
    <t>%,VK6091</t>
  </si>
  <si>
    <t>R W WORTS MEM ST LN</t>
  </si>
  <si>
    <t>%,VK6092</t>
  </si>
  <si>
    <t>WYANDOTTE CO DENT SO</t>
  </si>
  <si>
    <t>%,VK6093</t>
  </si>
  <si>
    <t>ALLOW DTFL NOTE-NF-U</t>
  </si>
  <si>
    <t>%,VK6094</t>
  </si>
  <si>
    <t>STUDENT LOAN SUSPENS</t>
  </si>
  <si>
    <t>%,VK6095</t>
  </si>
  <si>
    <t>ALW-DBFL LN N-FD RE</t>
  </si>
  <si>
    <t>%,VK6097</t>
  </si>
  <si>
    <t>UMKC ALUM ASSN LOAN</t>
  </si>
  <si>
    <t>%,VK6099</t>
  </si>
  <si>
    <t>IVA E BASORE LOAN</t>
  </si>
  <si>
    <t>%,VK6100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</si>
  <si>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</si>
  <si>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</si>
  <si>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</si>
  <si>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</si>
  <si>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</si>
  <si>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</si>
  <si>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</si>
  <si>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</si>
  <si>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</si>
  <si>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</si>
  <si>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</si>
  <si>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%,V402600</t>
  </si>
  <si>
    <t>Grad educ intersession-sum-res</t>
  </si>
  <si>
    <t>402600</t>
  </si>
  <si>
    <t>%,V402700</t>
  </si>
  <si>
    <t>Grad educ interses-sum-non-res</t>
  </si>
  <si>
    <t>402700</t>
  </si>
  <si>
    <t>%,V403000</t>
  </si>
  <si>
    <t>Ext noncredit oncampus</t>
  </si>
  <si>
    <t>403000</t>
  </si>
  <si>
    <t>%,V403002</t>
  </si>
  <si>
    <t>Extension Credit Fees</t>
  </si>
  <si>
    <t>403002</t>
  </si>
  <si>
    <t>%,V403200</t>
  </si>
  <si>
    <t>Ext noncredit offcampus</t>
  </si>
  <si>
    <t>403200</t>
  </si>
  <si>
    <t>%,V403400</t>
  </si>
  <si>
    <t>Ext credit oncampus</t>
  </si>
  <si>
    <t>403400</t>
  </si>
  <si>
    <t>%,V403700</t>
  </si>
  <si>
    <t>Ext Credit Off Campus</t>
  </si>
  <si>
    <t>403700</t>
  </si>
  <si>
    <t>%,V403750</t>
  </si>
  <si>
    <t>Ext Credit Ofcampus - Resident</t>
  </si>
  <si>
    <t>403750</t>
  </si>
  <si>
    <t>%,V404000</t>
  </si>
  <si>
    <t>Supplemental fees-summer ungrd</t>
  </si>
  <si>
    <t>404000</t>
  </si>
  <si>
    <t>%,V404001</t>
  </si>
  <si>
    <t>Supplemental Fees</t>
  </si>
  <si>
    <t>404001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</si>
  <si>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</si>
  <si>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</si>
  <si>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</si>
  <si>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</si>
  <si>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</si>
  <si>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</si>
  <si>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%,V404200</t>
  </si>
  <si>
    <t>Supplemental fees-winter ungrd</t>
  </si>
  <si>
    <t>404200</t>
  </si>
  <si>
    <t>%,V404310</t>
  </si>
  <si>
    <t>Supp Fee - Sum Inter Grad Prof</t>
  </si>
  <si>
    <t>404310</t>
  </si>
  <si>
    <t>%,V404500</t>
  </si>
  <si>
    <t>Instructional computing-summer</t>
  </si>
  <si>
    <t>404500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</si>
  <si>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</si>
  <si>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</si>
  <si>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</si>
  <si>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</si>
  <si>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</si>
  <si>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</si>
  <si>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%,V406000</t>
  </si>
  <si>
    <t>Activ &amp; facility fees-summer</t>
  </si>
  <si>
    <t>406000</t>
  </si>
  <si>
    <t>%,V406010</t>
  </si>
  <si>
    <t>Activ &amp; Fac Fees-Sum-Undergrad</t>
  </si>
  <si>
    <t>406010</t>
  </si>
  <si>
    <t>%,V406020</t>
  </si>
  <si>
    <t>Act &amp; Fac Fees Sum Grad &amp;Prof</t>
  </si>
  <si>
    <t>406020</t>
  </si>
  <si>
    <t>%,V406100</t>
  </si>
  <si>
    <t>Activity &amp; facility fees-fall</t>
  </si>
  <si>
    <t>406100</t>
  </si>
  <si>
    <t>%,V406110</t>
  </si>
  <si>
    <t>Act Fac Fees-fall-undergrad</t>
  </si>
  <si>
    <t>406110</t>
  </si>
  <si>
    <t>%,V406120</t>
  </si>
  <si>
    <t>Act &amp; Fac Fees Fall grad&amp;prof</t>
  </si>
  <si>
    <t>406120</t>
  </si>
  <si>
    <t>%,V406200</t>
  </si>
  <si>
    <t>Activ &amp; facility fees-winter</t>
  </si>
  <si>
    <t>406200</t>
  </si>
  <si>
    <t>%,V406210</t>
  </si>
  <si>
    <t>Act &amp; Fac Fees-winter-undergra</t>
  </si>
  <si>
    <t>406210</t>
  </si>
  <si>
    <t>%,V406220</t>
  </si>
  <si>
    <t>Act&amp;Fac Fees winter grad&amp;prof</t>
  </si>
  <si>
    <t>406220</t>
  </si>
  <si>
    <t>%,V435526</t>
  </si>
  <si>
    <t>Outpatient-clinic</t>
  </si>
  <si>
    <t>435526</t>
  </si>
  <si>
    <t>%,V435531</t>
  </si>
  <si>
    <t>Emergency -no insurance</t>
  </si>
  <si>
    <t>435531</t>
  </si>
  <si>
    <t>%,V436060</t>
  </si>
  <si>
    <t>Non Taxable - Special Contract</t>
  </si>
  <si>
    <t>436060</t>
  </si>
  <si>
    <t>%,V436070</t>
  </si>
  <si>
    <t>Non Taxable - Other Coll/Contr</t>
  </si>
  <si>
    <t>436070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</si>
  <si>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</si>
  <si>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</si>
  <si>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</si>
  <si>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</si>
  <si>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</si>
  <si>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</si>
  <si>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</si>
  <si>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</si>
  <si>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</si>
  <si>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%,V431200</t>
  </si>
  <si>
    <t>Non Taxable-conference revenue</t>
  </si>
  <si>
    <t>431200</t>
  </si>
  <si>
    <t>%,V431400</t>
  </si>
  <si>
    <t>Non Taxable-department charges</t>
  </si>
  <si>
    <t>431400</t>
  </si>
  <si>
    <t>%,V431800</t>
  </si>
  <si>
    <t>Non Tax-parking fees-summer</t>
  </si>
  <si>
    <t>431800</t>
  </si>
  <si>
    <t>%,V432200</t>
  </si>
  <si>
    <t>Non Taxable-user fees</t>
  </si>
  <si>
    <t>432200</t>
  </si>
  <si>
    <t>%,V495200</t>
  </si>
  <si>
    <t>Non tax misc rev-commissions</t>
  </si>
  <si>
    <t>495200</t>
  </si>
  <si>
    <t>%,V496000</t>
  </si>
  <si>
    <t>Non tax m r-post office</t>
  </si>
  <si>
    <t>496000</t>
  </si>
  <si>
    <t>%,V496200</t>
  </si>
  <si>
    <t>Non tax m r-finance services</t>
  </si>
  <si>
    <t>496200</t>
  </si>
  <si>
    <t>%,V499100</t>
  </si>
  <si>
    <t>Recov of F &amp; A-applicable f&amp;a</t>
  </si>
  <si>
    <t>499100</t>
  </si>
  <si>
    <t>%,V499300</t>
  </si>
  <si>
    <t>RecovReq</t>
  </si>
  <si>
    <t>499300</t>
  </si>
  <si>
    <t>%,FACCOUNT,TGASB_34_35,X,NAUX &amp; EDUC ACTIV,NOTHER DEPT OPERATING,NPROFESSIONAL &amp; CONSU,NSUPPLY_NONCAP ASSET,NUTILITIES,NINVESTMENT IN PLANT,NSELF INSURANCE BENE</t>
  </si>
  <si>
    <t xml:space="preserve">    and Nonoperating Revenues (Expenses) and Transfers</t>
  </si>
  <si>
    <t>%,R,FACCOUNT,TGASB_34_35,NSTATE APPROPS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</si>
  <si>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</si>
  <si>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</si>
  <si>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</si>
  <si>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</si>
  <si>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</si>
  <si>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</si>
  <si>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</si>
  <si>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</si>
  <si>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</si>
  <si>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</si>
  <si>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</si>
  <si>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</si>
  <si>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</si>
  <si>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</si>
  <si>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</si>
  <si>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</si>
  <si>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</si>
  <si>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</si>
  <si>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</si>
  <si>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</si>
  <si>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</si>
  <si>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</si>
  <si>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>%,LACTUALS,SYTD,FACCOUNT,TGASB_34_35,X,NSTUDENT AID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</si>
  <si>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</si>
  <si>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</si>
  <si>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</si>
  <si>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</si>
  <si>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</si>
  <si>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</si>
  <si>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</si>
  <si>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</si>
  <si>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</si>
  <si>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</si>
  <si>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</si>
  <si>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</si>
  <si>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</si>
  <si>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</si>
  <si>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</si>
  <si>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</si>
  <si>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</si>
  <si>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Total Federal Grants and Contracts</t>
  </si>
  <si>
    <t>%,V491000</t>
  </si>
  <si>
    <t>Grants - state</t>
  </si>
  <si>
    <t>%,V492000</t>
  </si>
  <si>
    <t>Grants - other gov't</t>
  </si>
  <si>
    <t>%,LACTUALS,SYTD,R,FACCOUNT,TGASB_34_35,X,NOTHER GOVT GRANTS,NSTATE GRANTS</t>
  </si>
  <si>
    <t>%,V493200</t>
  </si>
  <si>
    <t>Grants-businesses-cash</t>
  </si>
  <si>
    <t>%,V493500</t>
  </si>
  <si>
    <t>Grants-other individuals</t>
  </si>
  <si>
    <t>%,V493600</t>
  </si>
  <si>
    <t>Grants-other foundations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</si>
  <si>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</si>
  <si>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</si>
  <si>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</si>
  <si>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</si>
  <si>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%,R,FACCOUNT,TGASB_34_35,NPATIENT MED SERV</t>
  </si>
  <si>
    <t>%,LACTUALS,SYTD,R,FACCOUNT,TGASB_34_35,X,NINTEREST NOTES REC,NLOAN FUND DEDUCT</t>
  </si>
  <si>
    <t>%,FACCOUNT,V499100</t>
  </si>
  <si>
    <t xml:space="preserve">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</si>
  <si>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</si>
  <si>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</si>
  <si>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</si>
  <si>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</si>
  <si>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</si>
  <si>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</si>
  <si>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</si>
  <si>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KCITY</t>
  </si>
  <si>
    <t>OPERATING EXPENSES BY OBJECT MATRIX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</si>
  <si>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</si>
  <si>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</si>
  <si>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</si>
  <si>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</si>
  <si>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</si>
  <si>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>%,QUGL_CUR_FNDS_OBJECT_RESEARCH,FFUND_CODE,TGASB_34_35_FUND,NCLEARING_ACCTS_UNR,NOPERATIONS_UNR,NRESTR EXPENDABLE,NSELF_INS_UNR,NSVC_OPER_UNR,NAUXILIARIES_CONT_ED</t>
  </si>
  <si>
    <t>%,QUGL_CUR_FNDS_OBJECT_PUBLIC,FFUND_CODE,TGASB_34_35_FUND,NCLEARING_ACCTS_UNR,NOPERATIONS_UNR,NRESTR EXPENDABLE,NSELF_INS_UNR,NSVC_OPER_UNR,NAUXILIARIES_CONT_ED</t>
  </si>
  <si>
    <t>%,QUGL_CUR_FNDS_OBJECT_ACADEMIC,FFUND_CODE,TGASB_34_35_FUND,NCLEARING_ACCTS_UNR,NOPERATIONS_UNR,NRESTR EXPENDABLE,NSELF_INS_UNR,NSVC_OPER_UNR,NAUXILIARIES_CONT_ED</t>
  </si>
  <si>
    <t>%,QUGL_CUR_FNDS_OBJECT_STUDENT,FFUND_CODE,TGASB_34_35_FUND,NAUXILIARIES_CONT_ED,NCLEARING_ACCTS_UNR,NCUR_FUNDS_RESTEXP,NOPERATIONS_UNR,NSELF_INS_UNR,NSVC_OPER_UNR</t>
  </si>
  <si>
    <t>%,QUGL_CUR_FNDS_OBJECT_INSTRSUP,FFUND_CODE,TGASB_34_35_FUND,NCLEARING_ACCTS_UNR,NOPERATIONS_UNR,NRESTR EXPENDABLE,NSELF_INS_UNR,NSVC_OPER_UNR,NAUXILIARIES_CONT_ED</t>
  </si>
  <si>
    <t>%,QUGL_CUR_FNDS_OBJECT_OP_MAINT,FFUND_CODE,TGASB_34_35_FUND,NCLEARING_ACCTS_UNR,NOPERATIONS_UNR,NRESTR EXPENDABLE,NSELF_INS_UNR,NSVC_OPER_UNR,NAUXILIARIES_CONT_ED</t>
  </si>
  <si>
    <t xml:space="preserve">   </t>
  </si>
  <si>
    <t>%,QUGL_CUR_FNDS_OBJECT_AUX,CA.POSTED_TOTAL_AMT</t>
  </si>
  <si>
    <t>Loan Funds  (F)</t>
  </si>
  <si>
    <t xml:space="preserve">Endowment Funds  (F)  </t>
  </si>
  <si>
    <t>%,FFUND_CODE,TGASB_34_35_FUND,NPLANT_FUNDS_NONEXP,NPLANT_FUNDS_RESTEXP,NPLANT_FUNDS_UNR</t>
  </si>
  <si>
    <t>Plant Funds  (G)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</si>
  <si>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</si>
  <si>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</si>
  <si>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</si>
  <si>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</si>
  <si>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</si>
  <si>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</si>
  <si>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</si>
  <si>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</si>
  <si>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</si>
  <si>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</si>
  <si>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</si>
  <si>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Revenues</t>
  </si>
  <si>
    <t>Expenses</t>
  </si>
  <si>
    <t>Non-Operating Revenues, Expenditures &amp; Transfers</t>
  </si>
  <si>
    <t>Auxiliaries:</t>
  </si>
  <si>
    <t>%,V0100</t>
  </si>
  <si>
    <t>Intercoll Athletics Auxiliary</t>
  </si>
  <si>
    <t>%,V0210</t>
  </si>
  <si>
    <t>Other Faculty/Staff Auxil</t>
  </si>
  <si>
    <t>%,V0300</t>
  </si>
  <si>
    <t>Bookstore</t>
  </si>
  <si>
    <t>%,V0315</t>
  </si>
  <si>
    <t>Housing</t>
  </si>
  <si>
    <t>%,V0330</t>
  </si>
  <si>
    <t>Parking</t>
  </si>
  <si>
    <t>%,V0345</t>
  </si>
  <si>
    <t>Student Health Center</t>
  </si>
  <si>
    <t>%,V0350</t>
  </si>
  <si>
    <t>University Centers</t>
  </si>
  <si>
    <t>%,V0405</t>
  </si>
  <si>
    <t>Applied Language Institute</t>
  </si>
  <si>
    <t>%,V0420</t>
  </si>
  <si>
    <t>Center for Academic Developmen</t>
  </si>
  <si>
    <t>%,V0430</t>
  </si>
  <si>
    <t>Child Development</t>
  </si>
  <si>
    <t>%,V0455</t>
  </si>
  <si>
    <t>Dental Clinics</t>
  </si>
  <si>
    <t>%,V0490</t>
  </si>
  <si>
    <t>Institute for Human Developmen</t>
  </si>
  <si>
    <t>%,V0495</t>
  </si>
  <si>
    <t>Institute for Professional Pre</t>
  </si>
  <si>
    <t>%,V0555</t>
  </si>
  <si>
    <t>Rental Properties</t>
  </si>
  <si>
    <t>%,V0560</t>
  </si>
  <si>
    <t>Repertory Theatre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</si>
  <si>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</si>
  <si>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</si>
  <si>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</si>
  <si>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</si>
  <si>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%,FFUND_CODE,V0300</t>
  </si>
  <si>
    <t>%,FFUND_CODE,V0315</t>
  </si>
  <si>
    <t>%,FFUND_CODE,V0100</t>
  </si>
  <si>
    <t>%,FFUND_CODE,V0330</t>
  </si>
  <si>
    <t>STATEMENT OF REVENUES, EXPENSES AND CHANGES IN NET ASSETS - FOR SELECT AUXILIARY OPERATIONS</t>
  </si>
  <si>
    <t>Housing System</t>
  </si>
  <si>
    <t>Intercollegiate Athletics</t>
  </si>
  <si>
    <t>%,R,FACCOUNT,TGASB_34_35,X,NSTUDENT FEES,NSTUDENT AID</t>
  </si>
  <si>
    <t>%,V420200</t>
  </si>
  <si>
    <t>Taxable Primary-athletic sales</t>
  </si>
  <si>
    <t>420200</t>
  </si>
  <si>
    <t>%,V421200</t>
  </si>
  <si>
    <t>Taxable Primary-textbook sales</t>
  </si>
  <si>
    <t>421200</t>
  </si>
  <si>
    <t>%,V431900</t>
  </si>
  <si>
    <t>Non Tax-parking fees-fall</t>
  </si>
  <si>
    <t>431900</t>
  </si>
  <si>
    <t>%,V432000</t>
  </si>
  <si>
    <t>Non Tax-parking fees-winter</t>
  </si>
  <si>
    <t>432000</t>
  </si>
  <si>
    <t>%,V432100</t>
  </si>
  <si>
    <t>Non Tax-parking fees-other</t>
  </si>
  <si>
    <t>432100</t>
  </si>
  <si>
    <t>%,V432520</t>
  </si>
  <si>
    <t>Over / Short - Revenues</t>
  </si>
  <si>
    <t>432520</t>
  </si>
  <si>
    <t>%,R,FACCOUNT,TGASB_34_35,X,NOTHER OPERATING REV,NFEDERAL GRANTS,NINTEREST NOTES REC,NLOAN FUND DEDUCT,NOTHER GOVT GRANTS,NPATIENT MED SERV,NPRIVATE GRANTS,NSTATE GRANTS</t>
  </si>
  <si>
    <t xml:space="preserve">         Total Operating Revenues</t>
  </si>
  <si>
    <t>%,FACCOUNT,TGASB_34_35,X,NCOGS</t>
  </si>
  <si>
    <t>%,FACCOUNT,TGASB_34_35,X,NUTILITIES,NUTILITIES UNIV GENER</t>
  </si>
  <si>
    <t>%,FACCOUNT,TGASB_34_35,X,NSUPPLY_NONCAP ASSET</t>
  </si>
  <si>
    <t>%,FACCOUNT,TGASB_34_35,X,NPROFESSIONAL &amp; CONSU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</si>
  <si>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</si>
  <si>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</si>
  <si>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</si>
  <si>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</si>
  <si>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</si>
  <si>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</si>
  <si>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</si>
  <si>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</si>
  <si>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</si>
  <si>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</si>
  <si>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</si>
  <si>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>STATEMENTS OF NET ASSETS</t>
  </si>
  <si>
    <t>As of June 30, 2004 and 2003</t>
  </si>
  <si>
    <t xml:space="preserve">          Total Current Assets</t>
  </si>
  <si>
    <t>Deferred Charges and Other Assets*</t>
  </si>
  <si>
    <t xml:space="preserve">          Total Noncurrent Assets</t>
  </si>
  <si>
    <t xml:space="preserve">          Total Current Liabilities</t>
  </si>
  <si>
    <t>Bonds and Notes Payable*</t>
  </si>
  <si>
    <t xml:space="preserve">          Total Noncurrent Liabilities</t>
  </si>
  <si>
    <t>Nonexpendable*</t>
  </si>
  <si>
    <t>Expendable*</t>
  </si>
  <si>
    <t xml:space="preserve">          Total Net Assets</t>
  </si>
  <si>
    <t>*Certain 2003 balances have been reclassified to conform to the 2004 presentation.</t>
  </si>
  <si>
    <t xml:space="preserve">For the Years Ended June 30, 2004 and 2003 </t>
  </si>
  <si>
    <t>State Capital Appropriations and State Bond Funds</t>
  </si>
  <si>
    <t>Intra Fund Transfers In (Out)</t>
  </si>
  <si>
    <t>For the Years Ended June 30, 2004 and 2003</t>
  </si>
  <si>
    <t>Purchase of Investments, net of Sales and Maturities</t>
  </si>
  <si>
    <t>Payments on Cost of Debt Issuance</t>
  </si>
  <si>
    <t>%,FFUND_CODE,TGASB_34_35_FUND,NLOAN_FUNDS_RESTEXP</t>
  </si>
  <si>
    <t>%,FFUND_CODE,TGASB_34_35_FUND,NENDOW_FUNDS_RESTEXP</t>
  </si>
  <si>
    <t>2004-06-30</t>
  </si>
  <si>
    <t>Restrict Expend</t>
  </si>
  <si>
    <t>%,V121000</t>
  </si>
  <si>
    <t>Temp Invest - Gen Pool 2</t>
  </si>
  <si>
    <t>121000</t>
  </si>
  <si>
    <t>%,V121200</t>
  </si>
  <si>
    <t>Temp Invest - Spec Instruction</t>
  </si>
  <si>
    <t>121200</t>
  </si>
  <si>
    <t>%,V121500</t>
  </si>
  <si>
    <t>Temp invest - Fixed Pool</t>
  </si>
  <si>
    <t>121500</t>
  </si>
  <si>
    <t>Temp invest - Balanced Pool</t>
  </si>
  <si>
    <t>Temp invest - Sep Invested</t>
  </si>
  <si>
    <t>%,V133000</t>
  </si>
  <si>
    <t>Awards AR - Year End Manual</t>
  </si>
  <si>
    <t>133000</t>
  </si>
  <si>
    <t>%,V124000</t>
  </si>
  <si>
    <t>Long Term Inv - Gen Pool 2</t>
  </si>
  <si>
    <t>124000</t>
  </si>
  <si>
    <t>%,VK6003</t>
  </si>
  <si>
    <t>H P L-PHARMACY</t>
  </si>
  <si>
    <t>%,VK6004</t>
  </si>
  <si>
    <t>NATIONAL DIRECT</t>
  </si>
  <si>
    <t>%,VK6005</t>
  </si>
  <si>
    <t>DHHS-LDS - PHARMACY</t>
  </si>
  <si>
    <t>%,VK6006</t>
  </si>
  <si>
    <t>DHHS-LDS - DENTAL</t>
  </si>
  <si>
    <t>%,VK6007</t>
  </si>
  <si>
    <t>DHHS-LDS - MEDICINE</t>
  </si>
  <si>
    <t>%,VK6008</t>
  </si>
  <si>
    <t>NURSING LOAN-GRAD</t>
  </si>
  <si>
    <t>%,VK6009</t>
  </si>
  <si>
    <t>DOUBTFUL LOAN-FED</t>
  </si>
  <si>
    <t>%,VK6010</t>
  </si>
  <si>
    <t>ALQUIST STUDENT LOAN</t>
  </si>
  <si>
    <t>%,VK6011</t>
  </si>
  <si>
    <t>AM DENT ASSN LOAN</t>
  </si>
  <si>
    <t>%,VK6012</t>
  </si>
  <si>
    <t>AUDITED HPLP LOAN FD</t>
  </si>
  <si>
    <t>%,VK6013</t>
  </si>
  <si>
    <t>FRED BAXTER LOAN</t>
  </si>
  <si>
    <t>%,VK6014</t>
  </si>
  <si>
    <t>EUNICE BEIMDIEK LN</t>
  </si>
  <si>
    <t>%,VK6015</t>
  </si>
  <si>
    <t>DR D J BLANFORD LOAN</t>
  </si>
  <si>
    <t>%,VK6016</t>
  </si>
  <si>
    <t>MRS H J BONE LOAN</t>
  </si>
  <si>
    <t>%,VK6017</t>
  </si>
  <si>
    <t>DR E L BRADDOCK LOAN</t>
  </si>
  <si>
    <t>%,VK6018</t>
  </si>
  <si>
    <t>GRACIA BREMMER LN FD</t>
  </si>
  <si>
    <t>%,VK6019</t>
  </si>
  <si>
    <t>R L BRIGGS MEM LN</t>
  </si>
  <si>
    <t>%,VK6020</t>
  </si>
  <si>
    <t>HUGH AND FLO BRYANT</t>
  </si>
  <si>
    <t>%,VK6021</t>
  </si>
  <si>
    <t>CENTRAL DISTRICT LN</t>
  </si>
  <si>
    <t>%,VK6022</t>
  </si>
  <si>
    <t>DENTAL LOAN FUND</t>
  </si>
  <si>
    <t>%,VK6023</t>
  </si>
  <si>
    <t>DR E A DEVINS LOAN</t>
  </si>
  <si>
    <t>%,VK6024</t>
  </si>
  <si>
    <t>RUSSELL ELLIOTT ED</t>
  </si>
  <si>
    <t>%,VK6025</t>
  </si>
  <si>
    <t>EXCHANGE CLUB LOAN</t>
  </si>
  <si>
    <t>%,VK6026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</si>
  <si>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</si>
  <si>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</si>
  <si>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</si>
  <si>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</si>
  <si>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</si>
  <si>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</si>
  <si>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</si>
  <si>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</si>
  <si>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Expenses (Transfers)</t>
  </si>
  <si>
    <t xml:space="preserve">    Net Nonoperating Revenues (Expenses) before</t>
  </si>
  <si>
    <t xml:space="preserve">        Capital and Endowment Additions and Transfers</t>
  </si>
  <si>
    <t>Capital State Appropriations</t>
  </si>
  <si>
    <t>Capital Gifts and Grants</t>
  </si>
  <si>
    <t>Private Gifts for Endowment Purposes</t>
  </si>
  <si>
    <t>Mandatory Transfers In (Out)</t>
  </si>
  <si>
    <t>Non Mandatory Transfers In (Out)</t>
  </si>
  <si>
    <t xml:space="preserve">     Net Other Nonoperating Revenues (Expenses)</t>
  </si>
  <si>
    <t xml:space="preserve">             Increase in Net Assets</t>
  </si>
  <si>
    <t>Net Assets, End of Year</t>
  </si>
  <si>
    <t>STATEMENTS OF CASH FLOWS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</si>
  <si>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</si>
  <si>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</si>
  <si>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</si>
  <si>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</si>
  <si>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Bookstore Collections</t>
  </si>
  <si>
    <t>Payments to Suppliers</t>
  </si>
  <si>
    <t>Payments to Employees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</si>
  <si>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</si>
  <si>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</si>
  <si>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</si>
  <si>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</si>
  <si>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</si>
  <si>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</si>
  <si>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</si>
  <si>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</si>
  <si>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</si>
  <si>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Net Cash Provided by (Used In) Investing Activities</t>
  </si>
  <si>
    <t>Cash Flows from Capital and Related Financing Activities:</t>
  </si>
  <si>
    <t>Proceeds from Sales of Capital Assets</t>
  </si>
  <si>
    <t>Purchase of Capital Assets</t>
  </si>
  <si>
    <t>Proceeds from Issuance of Capital Debt, net</t>
  </si>
  <si>
    <t>Principal Payments on Capital Debt</t>
  </si>
  <si>
    <t>Escrow Deposit on Defeasance</t>
  </si>
  <si>
    <t>Interest Payments on Capital Debt</t>
  </si>
  <si>
    <t>Net Cash Used in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</si>
  <si>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</si>
  <si>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</si>
  <si>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</si>
  <si>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</si>
  <si>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</si>
  <si>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</si>
  <si>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</si>
  <si>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</si>
  <si>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</si>
  <si>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</si>
  <si>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</si>
  <si>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</si>
  <si>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</si>
  <si>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</si>
  <si>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</si>
  <si>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</si>
  <si>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</si>
  <si>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</si>
  <si>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</si>
  <si>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</si>
  <si>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</si>
  <si>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</si>
  <si>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</si>
  <si>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</si>
  <si>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</si>
  <si>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</si>
  <si>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</si>
  <si>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</si>
  <si>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</si>
  <si>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%,FFUND_CODE,TGASB_34_35_FUND,NENDOW_FUNDS_UNR</t>
  </si>
  <si>
    <t>%,FFUND_CODE,TGASB_34_35_FUND,NENDOW_FUNDS_NONEXP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</si>
  <si>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</si>
  <si>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</si>
  <si>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</si>
  <si>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</si>
  <si>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</si>
  <si>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</si>
  <si>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</si>
  <si>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Kansas City</t>
  </si>
  <si>
    <t>Restricted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</si>
  <si>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</si>
  <si>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</si>
  <si>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</si>
  <si>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</si>
  <si>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</si>
  <si>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</si>
  <si>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</si>
  <si>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</si>
  <si>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</si>
  <si>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</si>
  <si>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</si>
  <si>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</si>
  <si>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</si>
  <si>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</si>
  <si>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</si>
  <si>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</si>
  <si>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</si>
  <si>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</si>
  <si>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</si>
  <si>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</si>
  <si>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</si>
  <si>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</si>
  <si>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</si>
  <si>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%,V121400</t>
  </si>
  <si>
    <t>Temp investments-miscellaneous</t>
  </si>
  <si>
    <t>121400</t>
  </si>
  <si>
    <t>%,V121600</t>
  </si>
  <si>
    <t>121600</t>
  </si>
  <si>
    <t>%,V121700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</si>
  <si>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</si>
  <si>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</si>
  <si>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</si>
  <si>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</si>
  <si>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</si>
  <si>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</si>
  <si>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</si>
  <si>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</si>
  <si>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</si>
  <si>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%,V131000</t>
  </si>
  <si>
    <t>State approp rec</t>
  </si>
  <si>
    <t>131000</t>
  </si>
  <si>
    <t>%,FACCOUNT,TGASB_34_35,X,NSTATE APPROP REC</t>
  </si>
  <si>
    <t>State Appropriations Receivable</t>
  </si>
  <si>
    <t>%,V133050</t>
  </si>
  <si>
    <t>Awards Receivable-PS AR/BI</t>
  </si>
  <si>
    <t>133050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</si>
  <si>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</si>
  <si>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</si>
  <si>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</si>
  <si>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</si>
  <si>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</si>
  <si>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</si>
  <si>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</si>
  <si>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</si>
  <si>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</si>
  <si>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</si>
  <si>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</si>
  <si>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</si>
  <si>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</si>
  <si>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</si>
  <si>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%,V132500</t>
  </si>
  <si>
    <t>Accts rec - miscellaneous</t>
  </si>
  <si>
    <t>132500</t>
  </si>
  <si>
    <t>%,V140000</t>
  </si>
  <si>
    <t>Allow for uncoll student accts</t>
  </si>
  <si>
    <t>140000</t>
  </si>
  <si>
    <t>%,V160000</t>
  </si>
  <si>
    <t>Suspense</t>
  </si>
  <si>
    <t>160000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</si>
  <si>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</si>
  <si>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</si>
  <si>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</si>
  <si>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</si>
  <si>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</si>
  <si>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</si>
  <si>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</si>
  <si>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</si>
  <si>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</si>
  <si>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</si>
  <si>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</si>
  <si>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</si>
  <si>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</si>
  <si>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</si>
  <si>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</si>
  <si>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</si>
  <si>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</si>
  <si>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%,V138500</t>
  </si>
  <si>
    <t>Allow Uncoll Stud Loans-S T</t>
  </si>
  <si>
    <t>138500</t>
  </si>
  <si>
    <t>%,FACCOUNT,TGASB_34_35,X,NCURRENT NOTES REC</t>
  </si>
  <si>
    <t>%,FACCOUNT,TGASB_34_35,X,NDUE FROM OTHER FUNDS</t>
  </si>
  <si>
    <t>Due from Other Funds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</si>
  <si>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</si>
  <si>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</si>
  <si>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</si>
  <si>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</si>
  <si>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</si>
  <si>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</si>
  <si>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</si>
  <si>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</si>
  <si>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</si>
  <si>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</si>
  <si>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</si>
  <si>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</si>
  <si>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</si>
  <si>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</si>
  <si>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</si>
  <si>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</si>
  <si>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</si>
  <si>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</si>
  <si>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</si>
  <si>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%,V162000</t>
  </si>
  <si>
    <t>Discount on bonds pay</t>
  </si>
  <si>
    <t>162000</t>
  </si>
  <si>
    <t>%,V163000</t>
  </si>
  <si>
    <t>Deferred Loss Bond Refin</t>
  </si>
  <si>
    <t>163000</t>
  </si>
  <si>
    <t>%,V165100</t>
  </si>
  <si>
    <t>Bond issue cost</t>
  </si>
  <si>
    <t>165100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</si>
  <si>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</si>
  <si>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</si>
  <si>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</si>
  <si>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</si>
  <si>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</si>
  <si>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</si>
  <si>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</si>
  <si>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</si>
  <si>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</si>
  <si>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</si>
  <si>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</si>
  <si>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</si>
  <si>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</si>
  <si>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</si>
  <si>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</si>
  <si>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</si>
  <si>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</si>
  <si>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</si>
  <si>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</si>
  <si>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</si>
  <si>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</si>
  <si>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</si>
  <si>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</si>
  <si>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</si>
  <si>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</si>
  <si>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</si>
  <si>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</si>
  <si>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</si>
  <si>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</si>
  <si>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</si>
  <si>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</si>
  <si>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</si>
  <si>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</si>
  <si>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</si>
  <si>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</si>
  <si>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</si>
  <si>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</si>
  <si>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</si>
  <si>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%,V176000</t>
  </si>
  <si>
    <t>Books</t>
  </si>
  <si>
    <t>176000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</si>
  <si>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</si>
  <si>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</si>
  <si>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</si>
  <si>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</si>
  <si>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</si>
  <si>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</si>
  <si>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</si>
  <si>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</si>
  <si>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</si>
  <si>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</si>
  <si>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</si>
  <si>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</si>
  <si>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</si>
  <si>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%,V215000</t>
  </si>
  <si>
    <t>Missouri 2% Entertainment Tax</t>
  </si>
  <si>
    <t>215000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</si>
  <si>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</si>
  <si>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</si>
  <si>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</si>
  <si>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</si>
  <si>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</si>
  <si>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</si>
  <si>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</si>
  <si>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</si>
  <si>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</si>
  <si>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</si>
  <si>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</si>
  <si>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</si>
  <si>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</si>
  <si>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</si>
  <si>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</si>
  <si>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</si>
  <si>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</si>
  <si>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</si>
  <si>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</si>
  <si>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</si>
  <si>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</si>
  <si>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%,V232000</t>
  </si>
  <si>
    <t>Def rev-room &amp; board</t>
  </si>
  <si>
    <t>232000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</si>
  <si>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</si>
  <si>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</si>
  <si>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</si>
  <si>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</si>
  <si>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</si>
  <si>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</si>
  <si>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</si>
  <si>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</si>
  <si>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</si>
  <si>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</si>
  <si>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</si>
  <si>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</si>
  <si>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</si>
  <si>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</si>
  <si>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</si>
  <si>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</si>
  <si>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</si>
  <si>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</si>
  <si>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</si>
  <si>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</si>
  <si>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</si>
  <si>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</si>
  <si>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</si>
  <si>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</si>
  <si>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</si>
  <si>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</si>
  <si>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Due to Other Funds</t>
  </si>
  <si>
    <t>%,R,FACCOUNT,TGASB_34_35,X,NDEFERRED REVENUE</t>
  </si>
  <si>
    <t>%,R,FACCOUNT,TGASB_34_35,X,NCAPITAL LEASE OBLIG</t>
  </si>
  <si>
    <t>Capital Lease Obligations</t>
  </si>
  <si>
    <t>%,V252000</t>
  </si>
  <si>
    <t>Bonds pay</t>
  </si>
  <si>
    <t>252000</t>
  </si>
  <si>
    <t>%,R,FACCOUNT,TGASB_34_35,X,NBONDS_NOTES PAYABLE</t>
  </si>
  <si>
    <t>%,QKRDJ_UGL_GASB_35_FIN_STMTS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</si>
  <si>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</si>
  <si>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</si>
  <si>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</si>
  <si>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</si>
  <si>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</si>
  <si>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</si>
  <si>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</si>
  <si>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%,V403001</t>
  </si>
  <si>
    <t>Extension Noncredit Fees</t>
  </si>
  <si>
    <t>403001</t>
  </si>
  <si>
    <t>%,V405000</t>
  </si>
  <si>
    <t>Other misc educational fees</t>
  </si>
  <si>
    <t>405000</t>
  </si>
  <si>
    <t>%,R,FACCOUNT,TGASB_34_35,X,NSTUDENT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</si>
  <si>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</si>
  <si>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</si>
  <si>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</si>
  <si>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</si>
  <si>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</si>
  <si>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</si>
  <si>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</si>
  <si>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</si>
  <si>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</si>
  <si>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</si>
  <si>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</si>
  <si>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</si>
  <si>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</si>
  <si>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</si>
  <si>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</si>
  <si>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%,V760500</t>
  </si>
  <si>
    <t>Professional resident</t>
  </si>
  <si>
    <t>760500</t>
  </si>
  <si>
    <t>%,V760600</t>
  </si>
  <si>
    <t>Professional non resident</t>
  </si>
  <si>
    <t>760600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</si>
  <si>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</si>
  <si>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</si>
  <si>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</si>
  <si>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</si>
  <si>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</si>
  <si>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</si>
  <si>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</si>
  <si>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</si>
  <si>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</si>
  <si>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</si>
  <si>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</si>
  <si>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</si>
  <si>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%,V763000</t>
  </si>
  <si>
    <t>763000</t>
  </si>
  <si>
    <t>%,FACCOUNT,TGASB_34_35,X,NSTUDENT AID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</si>
  <si>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</si>
  <si>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</si>
  <si>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</si>
  <si>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%,V430000</t>
  </si>
  <si>
    <t>Non Taxable sales</t>
  </si>
  <si>
    <t>430000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</si>
  <si>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</si>
  <si>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</si>
  <si>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</si>
  <si>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</si>
  <si>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>%,R,FACCOUNT,TGASB_34_35,X,NPATIENT MED SERV</t>
  </si>
  <si>
    <t xml:space="preserve">   Other Medical Services</t>
  </si>
  <si>
    <t xml:space="preserve">   Other Auxiliary Enterprises</t>
  </si>
  <si>
    <t>%,V440100</t>
  </si>
  <si>
    <t>440100</t>
  </si>
  <si>
    <t>%,V440200</t>
  </si>
  <si>
    <t>440200</t>
  </si>
  <si>
    <t>%,V441000</t>
  </si>
  <si>
    <t>Principal-not rec-teach canc&gt;</t>
  </si>
  <si>
    <t>441000</t>
  </si>
  <si>
    <t>%,V441100</t>
  </si>
  <si>
    <t>Principal-notes rec-head start</t>
  </si>
  <si>
    <t>441100</t>
  </si>
  <si>
    <t>%,V441200</t>
  </si>
  <si>
    <t>Principal-notes rec-law enforc</t>
  </si>
  <si>
    <t>441200</t>
  </si>
  <si>
    <t>%,V441300</t>
  </si>
  <si>
    <t>Principal-notes rec-teach-cert</t>
  </si>
  <si>
    <t>441300</t>
  </si>
  <si>
    <t>%,V441400</t>
  </si>
  <si>
    <t>Principal-notes rec-nurse/medt</t>
  </si>
  <si>
    <t>441400</t>
  </si>
  <si>
    <t>%,V441600</t>
  </si>
  <si>
    <t>Principal-notes rec-chld/fam/e</t>
  </si>
  <si>
    <t>441600</t>
  </si>
  <si>
    <t>%,V891100</t>
  </si>
  <si>
    <t>Prin cancell-death-fed loans</t>
  </si>
  <si>
    <t>891100</t>
  </si>
  <si>
    <t>%,V891200</t>
  </si>
  <si>
    <t>Prin cancellation-disability</t>
  </si>
  <si>
    <t>891200</t>
  </si>
  <si>
    <t>%,V891400</t>
  </si>
  <si>
    <t>Prin canc-univ loan bad debt</t>
  </si>
  <si>
    <t>891400</t>
  </si>
  <si>
    <t>%,V891900</t>
  </si>
  <si>
    <t>Prin cancel-teacher &gt;7/1/72</t>
  </si>
  <si>
    <t>891900</t>
  </si>
  <si>
    <t>%,V892000</t>
  </si>
  <si>
    <t>Prin cancellation-headstart</t>
  </si>
  <si>
    <t>892000</t>
  </si>
  <si>
    <t>%,V892100</t>
  </si>
  <si>
    <t>Prin cancel-law enforcement</t>
  </si>
  <si>
    <t>892100</t>
  </si>
  <si>
    <t>%,V892200</t>
  </si>
  <si>
    <t>Prin canc-teacher-certain sub</t>
  </si>
  <si>
    <t>892200</t>
  </si>
  <si>
    <t>%,V892300</t>
  </si>
  <si>
    <t>Prin cancel-nurse/med tech</t>
  </si>
  <si>
    <t>892300</t>
  </si>
  <si>
    <t>%,V892500</t>
  </si>
  <si>
    <t>Prin cancellation-HRI/EI</t>
  </si>
  <si>
    <t>892500</t>
  </si>
  <si>
    <t>%,V892600</t>
  </si>
  <si>
    <t>Interest cancellation-death</t>
  </si>
  <si>
    <t>892600</t>
  </si>
  <si>
    <t>%,V892700</t>
  </si>
  <si>
    <t>Interest cancellation-disabili</t>
  </si>
  <si>
    <t>892700</t>
  </si>
  <si>
    <t>%,V893400</t>
  </si>
  <si>
    <t>893400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</si>
  <si>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</si>
  <si>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</si>
  <si>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</si>
  <si>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</si>
  <si>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</si>
  <si>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</si>
  <si>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</si>
  <si>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</si>
  <si>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</si>
  <si>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</si>
  <si>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%,V495050</t>
  </si>
  <si>
    <t>Royalties</t>
  </si>
  <si>
    <t>495050</t>
  </si>
  <si>
    <t>%,V495300</t>
  </si>
  <si>
    <t>Non tax misc rev-rental income</t>
  </si>
  <si>
    <t>495300</t>
  </si>
  <si>
    <t>%,V496999</t>
  </si>
  <si>
    <t>Other revenues</t>
  </si>
  <si>
    <t>496999</t>
  </si>
  <si>
    <t>%,V981000</t>
  </si>
  <si>
    <t>Indirect Costs-Grantor</t>
  </si>
  <si>
    <t>981000</t>
  </si>
  <si>
    <t>%,V993000</t>
  </si>
  <si>
    <t>Cost Shar Ofsts-IDC C/S Granto</t>
  </si>
  <si>
    <t>993000</t>
  </si>
  <si>
    <t>%,R,FACCOUNT,TGASB_34_35,X,NOTHER OPERATING REV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</si>
  <si>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</si>
  <si>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</si>
  <si>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</si>
  <si>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</si>
  <si>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</si>
  <si>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</si>
  <si>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</si>
  <si>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</si>
  <si>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</si>
  <si>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</si>
  <si>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</si>
  <si>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</si>
  <si>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%,V705000</t>
  </si>
  <si>
    <t>S&amp;W-Admin &amp; Support</t>
  </si>
  <si>
    <t>705000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</si>
  <si>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</si>
  <si>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</si>
  <si>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</si>
  <si>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</si>
  <si>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</si>
  <si>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</si>
  <si>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%,V706200</t>
  </si>
  <si>
    <t>S&amp;W-Non-Exempt technical</t>
  </si>
  <si>
    <t>706200</t>
  </si>
  <si>
    <t>%,V706300</t>
  </si>
  <si>
    <t>S&amp;W-Office/clerical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</si>
  <si>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</si>
  <si>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</si>
  <si>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</si>
  <si>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</si>
  <si>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</si>
  <si>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</si>
  <si>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</si>
  <si>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</si>
  <si>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</si>
  <si>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</si>
  <si>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</si>
  <si>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</si>
  <si>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</si>
  <si>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</si>
  <si>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</si>
  <si>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</si>
  <si>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</si>
  <si>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</si>
  <si>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</si>
  <si>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%,V708500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</si>
</sst>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0.0%"/>
    <numFmt numFmtId="170" formatCode="_(* #,##0.0_);_(* \(#,##0.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</numFmts>
  <fonts count="27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2" borderId="2" xfId="15" applyNumberFormat="1" applyFont="1" applyFill="1" applyBorder="1" applyAlignment="1">
      <alignment horizontal="left"/>
    </xf>
    <xf numFmtId="164" fontId="3" fillId="2" borderId="3" xfId="15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3" fillId="2" borderId="5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1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5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 horizontal="center"/>
    </xf>
    <xf numFmtId="164" fontId="8" fillId="2" borderId="0" xfId="15" applyNumberFormat="1" applyFont="1" applyFill="1" applyBorder="1" applyAlignment="1">
      <alignment horizontal="center"/>
    </xf>
    <xf numFmtId="164" fontId="7" fillId="2" borderId="1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" fontId="9" fillId="0" borderId="8" xfId="15" applyNumberFormat="1" applyFont="1" applyFill="1" applyBorder="1" applyAlignment="1">
      <alignment horizontal="center"/>
    </xf>
    <xf numFmtId="1" fontId="10" fillId="0" borderId="8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1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1" fillId="0" borderId="7" xfId="15" applyNumberFormat="1" applyFont="1" applyFill="1" applyBorder="1" applyAlignment="1" quotePrefix="1">
      <alignment/>
    </xf>
    <xf numFmtId="41" fontId="1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6" xfId="15" applyNumberFormat="1" applyFont="1" applyFill="1" applyBorder="1" applyAlignment="1" quotePrefix="1">
      <alignment/>
    </xf>
    <xf numFmtId="164" fontId="2" fillId="2" borderId="2" xfId="15" applyNumberFormat="1" applyFont="1" applyFill="1" applyBorder="1" applyAlignment="1">
      <alignment/>
    </xf>
    <xf numFmtId="164" fontId="3" fillId="2" borderId="3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left"/>
    </xf>
    <xf numFmtId="0" fontId="4" fillId="2" borderId="4" xfId="21" applyFont="1" applyFill="1" applyBorder="1">
      <alignment/>
      <protection/>
    </xf>
    <xf numFmtId="0" fontId="6" fillId="0" borderId="0" xfId="21" applyFont="1">
      <alignment/>
      <protection/>
    </xf>
    <xf numFmtId="164" fontId="3" fillId="2" borderId="5" xfId="15" applyNumberFormat="1" applyFont="1" applyFill="1" applyBorder="1" applyAlignment="1">
      <alignment/>
    </xf>
    <xf numFmtId="0" fontId="12" fillId="2" borderId="1" xfId="21" applyFont="1" applyFill="1" applyBorder="1">
      <alignment/>
      <protection/>
    </xf>
    <xf numFmtId="0" fontId="0" fillId="0" borderId="0" xfId="21" applyFont="1">
      <alignment/>
      <protection/>
    </xf>
    <xf numFmtId="0" fontId="4" fillId="2" borderId="1" xfId="21" applyFont="1" applyFill="1" applyBorder="1">
      <alignment/>
      <protection/>
    </xf>
    <xf numFmtId="164" fontId="3" fillId="2" borderId="9" xfId="15" applyNumberFormat="1" applyFont="1" applyFill="1" applyBorder="1" applyAlignment="1">
      <alignment horizontal="left"/>
    </xf>
    <xf numFmtId="0" fontId="12" fillId="2" borderId="10" xfId="21" applyFont="1" applyFill="1" applyBorder="1">
      <alignment/>
      <protection/>
    </xf>
    <xf numFmtId="164" fontId="13" fillId="0" borderId="6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0" fontId="9" fillId="0" borderId="8" xfId="21" applyFont="1" applyBorder="1" applyAlignment="1">
      <alignment horizontal="center"/>
      <protection/>
    </xf>
    <xf numFmtId="164" fontId="9" fillId="0" borderId="0" xfId="15" applyNumberFormat="1" applyFont="1" applyFill="1" applyBorder="1" applyAlignment="1">
      <alignment horizontal="center"/>
    </xf>
    <xf numFmtId="164" fontId="9" fillId="0" borderId="6" xfId="15" applyNumberFormat="1" applyFont="1" applyFill="1" applyBorder="1" applyAlignment="1">
      <alignment horizontal="left"/>
    </xf>
    <xf numFmtId="164" fontId="9" fillId="0" borderId="7" xfId="15" applyNumberFormat="1" applyFont="1" applyFill="1" applyBorder="1" applyAlignment="1">
      <alignment horizontal="left"/>
    </xf>
    <xf numFmtId="10" fontId="0" fillId="0" borderId="8" xfId="25" applyNumberFormat="1" applyFont="1" applyFill="1" applyBorder="1" applyAlignment="1">
      <alignment/>
    </xf>
    <xf numFmtId="10" fontId="0" fillId="0" borderId="0" xfId="25" applyNumberFormat="1" applyFont="1" applyFill="1" applyBorder="1" applyAlignment="1">
      <alignment/>
    </xf>
    <xf numFmtId="0" fontId="0" fillId="0" borderId="8" xfId="21" applyFont="1" applyBorder="1">
      <alignment/>
      <protection/>
    </xf>
    <xf numFmtId="42" fontId="0" fillId="0" borderId="0" xfId="15" applyNumberFormat="1" applyFont="1" applyFill="1" applyBorder="1" applyAlignment="1">
      <alignment/>
    </xf>
    <xf numFmtId="0" fontId="0" fillId="0" borderId="0" xfId="21" applyFont="1" applyBorder="1">
      <alignment/>
      <protection/>
    </xf>
    <xf numFmtId="41" fontId="0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64" fontId="9" fillId="0" borderId="7" xfId="15" applyNumberFormat="1" applyFont="1" applyFill="1" applyBorder="1" applyAlignment="1">
      <alignment/>
    </xf>
    <xf numFmtId="0" fontId="9" fillId="0" borderId="0" xfId="21" applyFont="1" applyBorder="1">
      <alignment/>
      <protection/>
    </xf>
    <xf numFmtId="0" fontId="9" fillId="0" borderId="8" xfId="21" applyFont="1" applyBorder="1">
      <alignment/>
      <protection/>
    </xf>
    <xf numFmtId="42" fontId="9" fillId="0" borderId="0" xfId="15" applyNumberFormat="1" applyFont="1" applyFill="1" applyBorder="1" applyAlignment="1">
      <alignment/>
    </xf>
    <xf numFmtId="0" fontId="0" fillId="0" borderId="3" xfId="21" applyFont="1" applyBorder="1">
      <alignment/>
      <protection/>
    </xf>
    <xf numFmtId="38" fontId="14" fillId="2" borderId="3" xfId="0" applyNumberFormat="1" applyFont="1" applyFill="1" applyBorder="1" applyAlignment="1">
      <alignment/>
    </xf>
    <xf numFmtId="37" fontId="12" fillId="2" borderId="3" xfId="0" applyNumberFormat="1" applyFont="1" applyFill="1" applyBorder="1" applyAlignment="1">
      <alignment/>
    </xf>
    <xf numFmtId="39" fontId="12" fillId="2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2" fillId="2" borderId="0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164" fontId="7" fillId="2" borderId="5" xfId="15" applyNumberFormat="1" applyFont="1" applyFill="1" applyBorder="1" applyAlignment="1">
      <alignment horizontal="left"/>
    </xf>
    <xf numFmtId="164" fontId="13" fillId="0" borderId="2" xfId="15" applyNumberFormat="1" applyFont="1" applyFill="1" applyBorder="1" applyAlignment="1">
      <alignment horizontal="left"/>
    </xf>
    <xf numFmtId="38" fontId="0" fillId="0" borderId="3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38" fontId="9" fillId="0" borderId="6" xfId="0" applyNumberFormat="1" applyFont="1" applyFill="1" applyBorder="1" applyAlignment="1">
      <alignment/>
    </xf>
    <xf numFmtId="38" fontId="9" fillId="0" borderId="11" xfId="0" applyNumberFormat="1" applyFont="1" applyFill="1" applyBorder="1" applyAlignment="1">
      <alignment/>
    </xf>
    <xf numFmtId="38" fontId="9" fillId="0" borderId="7" xfId="0" applyNumberFormat="1" applyFont="1" applyFill="1" applyBorder="1" applyAlignment="1">
      <alignment/>
    </xf>
    <xf numFmtId="37" fontId="0" fillId="0" borderId="6" xfId="15" applyNumberFormat="1" applyFont="1" applyFill="1" applyBorder="1" applyAlignment="1">
      <alignment/>
    </xf>
    <xf numFmtId="39" fontId="9" fillId="0" borderId="8" xfId="0" applyNumberFormat="1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42" fontId="0" fillId="0" borderId="6" xfId="17" applyNumberFormat="1" applyFont="1" applyFill="1" applyBorder="1" applyAlignment="1">
      <alignment/>
    </xf>
    <xf numFmtId="42" fontId="0" fillId="0" borderId="8" xfId="17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41" fontId="9" fillId="0" borderId="6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37" fontId="0" fillId="0" borderId="8" xfId="15" applyNumberFormat="1" applyFont="1" applyFill="1" applyBorder="1" applyAlignment="1">
      <alignment/>
    </xf>
    <xf numFmtId="42" fontId="9" fillId="0" borderId="6" xfId="17" applyNumberFormat="1" applyFont="1" applyFill="1" applyBorder="1" applyAlignment="1">
      <alignment/>
    </xf>
    <xf numFmtId="42" fontId="9" fillId="0" borderId="8" xfId="17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9" fillId="0" borderId="0" xfId="0" applyNumberFormat="1" applyFont="1" applyFill="1" applyBorder="1" applyAlignment="1">
      <alignment/>
    </xf>
    <xf numFmtId="42" fontId="0" fillId="0" borderId="0" xfId="15" applyNumberFormat="1" applyFont="1" applyFill="1" applyAlignment="1">
      <alignment/>
    </xf>
    <xf numFmtId="37" fontId="0" fillId="0" borderId="9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9" fillId="0" borderId="12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5" fillId="2" borderId="0" xfId="15" applyNumberFormat="1" applyFont="1" applyFill="1" applyAlignment="1">
      <alignment/>
    </xf>
    <xf numFmtId="164" fontId="2" fillId="2" borderId="3" xfId="15" applyNumberFormat="1" applyFont="1" applyFill="1" applyBorder="1" applyAlignment="1">
      <alignment/>
    </xf>
    <xf numFmtId="164" fontId="16" fillId="2" borderId="3" xfId="15" applyNumberFormat="1" applyFont="1" applyFill="1" applyBorder="1" applyAlignment="1">
      <alignment/>
    </xf>
    <xf numFmtId="164" fontId="16" fillId="2" borderId="3" xfId="15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/>
    </xf>
    <xf numFmtId="0" fontId="15" fillId="0" borderId="0" xfId="0" applyFont="1" applyFill="1" applyAlignment="1">
      <alignment/>
    </xf>
    <xf numFmtId="164" fontId="6" fillId="2" borderId="0" xfId="15" applyNumberFormat="1" applyFont="1" applyFill="1" applyAlignment="1">
      <alignment/>
    </xf>
    <xf numFmtId="164" fontId="4" fillId="2" borderId="0" xfId="1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7" fillId="2" borderId="5" xfId="0" applyFont="1" applyFill="1" applyBorder="1" applyAlignment="1">
      <alignment horizontal="left"/>
    </xf>
    <xf numFmtId="164" fontId="12" fillId="2" borderId="0" xfId="15" applyNumberFormat="1" applyFont="1" applyFill="1" applyBorder="1" applyAlignment="1">
      <alignment/>
    </xf>
    <xf numFmtId="164" fontId="12" fillId="2" borderId="0" xfId="15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12" fillId="2" borderId="9" xfId="15" applyNumberFormat="1" applyFont="1" applyFill="1" applyBorder="1" applyAlignment="1">
      <alignment/>
    </xf>
    <xf numFmtId="164" fontId="12" fillId="2" borderId="9" xfId="15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16" xfId="0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6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41" fontId="9" fillId="0" borderId="8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2" fontId="9" fillId="0" borderId="8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164" fontId="16" fillId="2" borderId="0" xfId="15" applyNumberFormat="1" applyFont="1" applyFill="1" applyAlignment="1">
      <alignment/>
    </xf>
    <xf numFmtId="164" fontId="2" fillId="2" borderId="3" xfId="15" applyNumberFormat="1" applyFont="1" applyFill="1" applyBorder="1" applyAlignment="1">
      <alignment horizontal="left"/>
    </xf>
    <xf numFmtId="164" fontId="16" fillId="2" borderId="3" xfId="15" applyNumberFormat="1" applyFont="1" applyFill="1" applyBorder="1" applyAlignment="1">
      <alignment/>
    </xf>
    <xf numFmtId="164" fontId="2" fillId="2" borderId="4" xfId="15" applyNumberFormat="1" applyFont="1" applyFill="1" applyBorder="1" applyAlignment="1">
      <alignment horizontal="left"/>
    </xf>
    <xf numFmtId="164" fontId="4" fillId="2" borderId="0" xfId="15" applyNumberFormat="1" applyFont="1" applyFill="1" applyAlignment="1">
      <alignment/>
    </xf>
    <xf numFmtId="0" fontId="3" fillId="2" borderId="5" xfId="0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 horizontal="left"/>
    </xf>
    <xf numFmtId="164" fontId="3" fillId="2" borderId="10" xfId="15" applyNumberFormat="1" applyFont="1" applyFill="1" applyBorder="1" applyAlignment="1">
      <alignment horizontal="left"/>
    </xf>
    <xf numFmtId="164" fontId="0" fillId="0" borderId="2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Continuous"/>
    </xf>
    <xf numFmtId="164" fontId="9" fillId="0" borderId="5" xfId="15" applyNumberFormat="1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13" xfId="15" applyNumberFormat="1" applyFont="1" applyFill="1" applyBorder="1" applyAlignment="1">
      <alignment horizontal="centerContinuous"/>
    </xf>
    <xf numFmtId="164" fontId="9" fillId="0" borderId="9" xfId="15" applyNumberFormat="1" applyFont="1" applyFill="1" applyBorder="1" applyAlignment="1">
      <alignment horizontal="centerContinuous"/>
    </xf>
    <xf numFmtId="164" fontId="9" fillId="0" borderId="1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Continuous"/>
    </xf>
    <xf numFmtId="164" fontId="9" fillId="0" borderId="11" xfId="15" applyNumberFormat="1" applyFont="1" applyFill="1" applyBorder="1" applyAlignment="1">
      <alignment horizontal="centerContinuous"/>
    </xf>
    <xf numFmtId="164" fontId="9" fillId="0" borderId="7" xfId="15" applyNumberFormat="1" applyFont="1" applyFill="1" applyBorder="1" applyAlignment="1">
      <alignment horizontal="centerContinuous"/>
    </xf>
    <xf numFmtId="164" fontId="0" fillId="0" borderId="8" xfId="15" applyNumberFormat="1" applyFont="1" applyFill="1" applyBorder="1" applyAlignment="1">
      <alignment horizontal="centerContinuous"/>
    </xf>
    <xf numFmtId="164" fontId="6" fillId="0" borderId="0" xfId="15" applyNumberFormat="1" applyFont="1" applyFill="1" applyAlignment="1">
      <alignment/>
    </xf>
    <xf numFmtId="164" fontId="9" fillId="0" borderId="11" xfId="15" applyNumberFormat="1" applyFont="1" applyFill="1" applyBorder="1" applyAlignment="1">
      <alignment horizontal="left"/>
    </xf>
    <xf numFmtId="164" fontId="0" fillId="0" borderId="11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4" fontId="13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164" fontId="13" fillId="0" borderId="0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4" fontId="17" fillId="0" borderId="0" xfId="15" applyNumberFormat="1" applyFont="1" applyFill="1" applyAlignment="1">
      <alignment/>
    </xf>
    <xf numFmtId="164" fontId="17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2" borderId="4" xfId="15" applyNumberFormat="1" applyFont="1" applyFill="1" applyBorder="1" applyAlignment="1">
      <alignment horizontal="left"/>
    </xf>
    <xf numFmtId="164" fontId="12" fillId="2" borderId="5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 horizontal="centerContinuous"/>
    </xf>
    <xf numFmtId="164" fontId="9" fillId="0" borderId="2" xfId="15" applyNumberFormat="1" applyFont="1" applyFill="1" applyBorder="1" applyAlignment="1">
      <alignment horizontal="center"/>
    </xf>
    <xf numFmtId="164" fontId="9" fillId="0" borderId="3" xfId="15" applyNumberFormat="1" applyFont="1" applyFill="1" applyBorder="1" applyAlignment="1">
      <alignment horizontal="center"/>
    </xf>
    <xf numFmtId="164" fontId="9" fillId="0" borderId="4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 wrapText="1"/>
    </xf>
    <xf numFmtId="164" fontId="9" fillId="0" borderId="13" xfId="15" applyNumberFormat="1" applyFont="1" applyFill="1" applyBorder="1" applyAlignment="1">
      <alignment horizontal="centerContinuous" wrapText="1"/>
    </xf>
    <xf numFmtId="164" fontId="9" fillId="0" borderId="9" xfId="15" applyNumberFormat="1" applyFont="1" applyFill="1" applyBorder="1" applyAlignment="1">
      <alignment horizontal="centerContinuous" wrapText="1"/>
    </xf>
    <xf numFmtId="164" fontId="9" fillId="0" borderId="10" xfId="15" applyNumberFormat="1" applyFont="1" applyFill="1" applyBorder="1" applyAlignment="1">
      <alignment horizontal="centerContinuous" wrapText="1"/>
    </xf>
    <xf numFmtId="164" fontId="9" fillId="0" borderId="8" xfId="15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64" fontId="6" fillId="0" borderId="6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42" fontId="0" fillId="0" borderId="6" xfId="15" applyNumberFormat="1" applyFont="1" applyFill="1" applyBorder="1" applyAlignment="1">
      <alignment/>
    </xf>
    <xf numFmtId="164" fontId="13" fillId="0" borderId="6" xfId="15" applyNumberFormat="1" applyFont="1" applyFill="1" applyBorder="1" applyAlignment="1">
      <alignment/>
    </xf>
    <xf numFmtId="41" fontId="13" fillId="0" borderId="6" xfId="15" applyNumberFormat="1" applyFont="1" applyFill="1" applyBorder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6" fillId="0" borderId="6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41" fontId="0" fillId="0" borderId="9" xfId="15" applyNumberFormat="1" applyFont="1" applyFill="1" applyBorder="1" applyAlignment="1">
      <alignment/>
    </xf>
    <xf numFmtId="41" fontId="0" fillId="0" borderId="11" xfId="15" applyNumberFormat="1" applyFont="1" applyFill="1" applyBorder="1" applyAlignment="1">
      <alignment/>
    </xf>
    <xf numFmtId="41" fontId="13" fillId="0" borderId="0" xfId="15" applyNumberFormat="1" applyFont="1" applyFill="1" applyAlignment="1">
      <alignment/>
    </xf>
    <xf numFmtId="41" fontId="6" fillId="0" borderId="0" xfId="15" applyNumberFormat="1" applyFont="1" applyFill="1" applyAlignment="1">
      <alignment/>
    </xf>
    <xf numFmtId="41" fontId="0" fillId="0" borderId="3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164" fontId="7" fillId="2" borderId="0" xfId="15" applyNumberFormat="1" applyFont="1" applyFill="1" applyBorder="1" applyAlignment="1">
      <alignment horizontal="left"/>
    </xf>
    <xf numFmtId="164" fontId="7" fillId="2" borderId="1" xfId="15" applyNumberFormat="1" applyFont="1" applyFill="1" applyBorder="1" applyAlignment="1">
      <alignment horizontal="left"/>
    </xf>
    <xf numFmtId="164" fontId="3" fillId="2" borderId="1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 horizontal="centerContinuous"/>
    </xf>
    <xf numFmtId="164" fontId="9" fillId="0" borderId="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39" fontId="18" fillId="0" borderId="0" xfId="0" applyNumberFormat="1" applyFont="1" applyFill="1" applyAlignment="1">
      <alignment/>
    </xf>
    <xf numFmtId="40" fontId="2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0" fontId="13" fillId="0" borderId="0" xfId="0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39" fontId="3" fillId="2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39" fontId="19" fillId="2" borderId="0" xfId="0" applyNumberFormat="1" applyFont="1" applyFill="1" applyBorder="1" applyAlignment="1">
      <alignment/>
    </xf>
    <xf numFmtId="39" fontId="20" fillId="2" borderId="0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19" fontId="18" fillId="0" borderId="0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39" fontId="19" fillId="2" borderId="9" xfId="0" applyNumberFormat="1" applyFont="1" applyFill="1" applyBorder="1" applyAlignment="1">
      <alignment/>
    </xf>
    <xf numFmtId="39" fontId="20" fillId="2" borderId="9" xfId="0" applyNumberFormat="1" applyFont="1" applyFill="1" applyBorder="1" applyAlignment="1">
      <alignment horizontal="center"/>
    </xf>
    <xf numFmtId="39" fontId="19" fillId="2" borderId="10" xfId="0" applyNumberFormat="1" applyFont="1" applyFill="1" applyBorder="1" applyAlignment="1">
      <alignment/>
    </xf>
    <xf numFmtId="19" fontId="18" fillId="0" borderId="0" xfId="0" applyNumberFormat="1" applyFont="1" applyFill="1" applyAlignment="1">
      <alignment/>
    </xf>
    <xf numFmtId="39" fontId="9" fillId="0" borderId="7" xfId="0" applyNumberFormat="1" applyFont="1" applyFill="1" applyBorder="1" applyAlignment="1">
      <alignment horizontal="center"/>
    </xf>
    <xf numFmtId="39" fontId="9" fillId="0" borderId="8" xfId="0" applyNumberFormat="1" applyFont="1" applyFill="1" applyBorder="1" applyAlignment="1">
      <alignment horizontal="center"/>
    </xf>
    <xf numFmtId="39" fontId="9" fillId="0" borderId="8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>
      <alignment horizontal="center" vertical="top"/>
    </xf>
    <xf numFmtId="39" fontId="9" fillId="0" borderId="8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/>
    </xf>
    <xf numFmtId="39" fontId="0" fillId="0" borderId="7" xfId="0" applyNumberFormat="1" applyFont="1" applyFill="1" applyBorder="1" applyAlignment="1">
      <alignment horizontal="center" vertical="top"/>
    </xf>
    <xf numFmtId="39" fontId="0" fillId="0" borderId="8" xfId="0" applyNumberFormat="1" applyFont="1" applyFill="1" applyBorder="1" applyAlignment="1">
      <alignment horizontal="center" vertical="top"/>
    </xf>
    <xf numFmtId="39" fontId="0" fillId="0" borderId="8" xfId="0" applyNumberFormat="1" applyFont="1" applyFill="1" applyBorder="1" applyAlignment="1">
      <alignment horizontal="center" wrapText="1"/>
    </xf>
    <xf numFmtId="39" fontId="0" fillId="0" borderId="8" xfId="0" applyNumberFormat="1" applyFont="1" applyFill="1" applyBorder="1" applyAlignment="1" quotePrefix="1">
      <alignment horizontal="center" wrapText="1"/>
    </xf>
    <xf numFmtId="39" fontId="0" fillId="0" borderId="8" xfId="0" applyNumberFormat="1" applyFont="1" applyFill="1" applyBorder="1" applyAlignment="1">
      <alignment/>
    </xf>
    <xf numFmtId="39" fontId="0" fillId="0" borderId="7" xfId="0" applyNumberFormat="1" applyFont="1" applyFill="1" applyBorder="1" applyAlignment="1">
      <alignment/>
    </xf>
    <xf numFmtId="42" fontId="0" fillId="0" borderId="7" xfId="0" applyNumberFormat="1" applyFont="1" applyFill="1" applyBorder="1" applyAlignment="1">
      <alignment/>
    </xf>
    <xf numFmtId="42" fontId="0" fillId="0" borderId="8" xfId="0" applyNumberFormat="1" applyFont="1" applyFill="1" applyBorder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1" fontId="9" fillId="0" borderId="7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9" fontId="12" fillId="2" borderId="3" xfId="0" applyNumberFormat="1" applyFont="1" applyFill="1" applyBorder="1" applyAlignment="1">
      <alignment/>
    </xf>
    <xf numFmtId="39" fontId="7" fillId="2" borderId="3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39" fontId="12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39" fontId="12" fillId="2" borderId="9" xfId="0" applyNumberFormat="1" applyFont="1" applyFill="1" applyBorder="1" applyAlignment="1">
      <alignment/>
    </xf>
    <xf numFmtId="39" fontId="7" fillId="2" borderId="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9" fontId="9" fillId="0" borderId="16" xfId="0" applyNumberFormat="1" applyFont="1" applyFill="1" applyBorder="1" applyAlignment="1">
      <alignment horizontal="center" wrapText="1"/>
    </xf>
    <xf numFmtId="39" fontId="9" fillId="0" borderId="1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9" fontId="0" fillId="0" borderId="8" xfId="0" applyNumberFormat="1" applyFont="1" applyFill="1" applyBorder="1" applyAlignment="1">
      <alignment horizontal="center"/>
    </xf>
    <xf numFmtId="42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41" fontId="9" fillId="0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2" fillId="2" borderId="13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40" fontId="9" fillId="0" borderId="6" xfId="0" applyNumberFormat="1" applyFont="1" applyFill="1" applyBorder="1" applyAlignment="1">
      <alignment horizontal="centerContinuous"/>
    </xf>
    <xf numFmtId="40" fontId="9" fillId="0" borderId="7" xfId="0" applyNumberFormat="1" applyFont="1" applyFill="1" applyBorder="1" applyAlignment="1">
      <alignment horizontal="centerContinuous"/>
    </xf>
    <xf numFmtId="40" fontId="9" fillId="0" borderId="8" xfId="0" applyNumberFormat="1" applyFont="1" applyFill="1" applyBorder="1" applyAlignment="1">
      <alignment horizontal="center" wrapText="1"/>
    </xf>
    <xf numFmtId="40" fontId="9" fillId="0" borderId="8" xfId="0" applyNumberFormat="1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left"/>
    </xf>
    <xf numFmtId="40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42" fontId="0" fillId="0" borderId="8" xfId="17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wrapText="1"/>
    </xf>
    <xf numFmtId="41" fontId="0" fillId="0" borderId="0" xfId="0" applyNumberFormat="1" applyFont="1" applyFill="1" applyAlignment="1">
      <alignment wrapText="1"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164" fontId="13" fillId="0" borderId="0" xfId="15" applyNumberFormat="1" applyFont="1" applyFill="1" applyAlignment="1">
      <alignment/>
    </xf>
    <xf numFmtId="164" fontId="13" fillId="0" borderId="0" xfId="15" applyNumberFormat="1" applyFont="1" applyFill="1" applyBorder="1" applyAlignment="1">
      <alignment/>
    </xf>
    <xf numFmtId="42" fontId="9" fillId="0" borderId="8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9" fontId="0" fillId="0" borderId="2" xfId="0" applyNumberForma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4" xfId="0" applyNumberFormat="1" applyFill="1" applyBorder="1" applyAlignment="1">
      <alignment/>
    </xf>
    <xf numFmtId="0" fontId="6" fillId="0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9" fontId="4" fillId="2" borderId="3" xfId="0" applyNumberFormat="1" applyFont="1" applyFill="1" applyBorder="1" applyAlignment="1">
      <alignment/>
    </xf>
    <xf numFmtId="39" fontId="3" fillId="2" borderId="3" xfId="0" applyNumberFormat="1" applyFont="1" applyFill="1" applyBorder="1" applyAlignment="1">
      <alignment horizontal="center"/>
    </xf>
    <xf numFmtId="39" fontId="4" fillId="2" borderId="3" xfId="0" applyNumberFormat="1" applyFont="1" applyFill="1" applyBorder="1" applyAlignment="1">
      <alignment horizontal="left"/>
    </xf>
    <xf numFmtId="40" fontId="3" fillId="2" borderId="4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9" fontId="12" fillId="2" borderId="0" xfId="0" applyNumberFormat="1" applyFont="1" applyFill="1" applyBorder="1" applyAlignment="1">
      <alignment horizontal="left"/>
    </xf>
    <xf numFmtId="166" fontId="12" fillId="2" borderId="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9" fontId="12" fillId="2" borderId="1" xfId="0" applyNumberFormat="1" applyFont="1" applyFill="1" applyBorder="1" applyAlignment="1">
      <alignment/>
    </xf>
    <xf numFmtId="19" fontId="0" fillId="0" borderId="7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9" fontId="9" fillId="0" borderId="6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9" fontId="0" fillId="0" borderId="6" xfId="0" applyNumberFormat="1" applyFill="1" applyBorder="1" applyAlignment="1">
      <alignment horizontal="left"/>
    </xf>
    <xf numFmtId="39" fontId="0" fillId="0" borderId="8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42" fontId="0" fillId="0" borderId="2" xfId="0" applyNumberFormat="1" applyFill="1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4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6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9" fillId="0" borderId="11" xfId="0" applyFont="1" applyFill="1" applyBorder="1" applyAlignment="1">
      <alignment horizontal="left" indent="1"/>
    </xf>
    <xf numFmtId="41" fontId="9" fillId="0" borderId="6" xfId="0" applyNumberFormat="1" applyFont="1" applyFill="1" applyBorder="1" applyAlignment="1">
      <alignment/>
    </xf>
    <xf numFmtId="39" fontId="0" fillId="0" borderId="6" xfId="0" applyNumberFormat="1" applyFill="1" applyBorder="1" applyAlignment="1">
      <alignment/>
    </xf>
    <xf numFmtId="42" fontId="9" fillId="0" borderId="6" xfId="0" applyNumberFormat="1" applyFont="1" applyFill="1" applyBorder="1" applyAlignment="1">
      <alignment/>
    </xf>
    <xf numFmtId="42" fontId="9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15" fillId="0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39" fontId="16" fillId="2" borderId="2" xfId="0" applyNumberFormat="1" applyFont="1" applyFill="1" applyBorder="1" applyAlignment="1">
      <alignment/>
    </xf>
    <xf numFmtId="39" fontId="16" fillId="2" borderId="3" xfId="0" applyNumberFormat="1" applyFont="1" applyFill="1" applyBorder="1" applyAlignment="1">
      <alignment/>
    </xf>
    <xf numFmtId="39" fontId="2" fillId="2" borderId="3" xfId="0" applyNumberFormat="1" applyFont="1" applyFill="1" applyBorder="1" applyAlignment="1">
      <alignment horizontal="center"/>
    </xf>
    <xf numFmtId="39" fontId="16" fillId="2" borderId="3" xfId="0" applyNumberFormat="1" applyFont="1" applyFill="1" applyBorder="1" applyAlignment="1">
      <alignment horizontal="left"/>
    </xf>
    <xf numFmtId="40" fontId="2" fillId="2" borderId="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9" fontId="4" fillId="2" borderId="5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39" fontId="12" fillId="2" borderId="13" xfId="0" applyNumberFormat="1" applyFont="1" applyFill="1" applyBorder="1" applyAlignment="1">
      <alignment/>
    </xf>
    <xf numFmtId="39" fontId="12" fillId="2" borderId="10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8" xfId="0" applyNumberFormat="1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7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7" xfId="0" applyFont="1" applyFill="1" applyBorder="1" applyAlignment="1">
      <alignment horizontal="left" indent="1"/>
    </xf>
    <xf numFmtId="0" fontId="0" fillId="0" borderId="11" xfId="0" applyFill="1" applyBorder="1" applyAlignment="1">
      <alignment/>
    </xf>
    <xf numFmtId="41" fontId="9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9" fontId="1" fillId="0" borderId="3" xfId="0" applyNumberFormat="1" applyFont="1" applyFill="1" applyBorder="1" applyAlignment="1">
      <alignment/>
    </xf>
    <xf numFmtId="39" fontId="1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39" fontId="3" fillId="2" borderId="3" xfId="0" applyNumberFormat="1" applyFont="1" applyFill="1" applyBorder="1" applyAlignment="1">
      <alignment/>
    </xf>
    <xf numFmtId="39" fontId="3" fillId="2" borderId="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9" fontId="3" fillId="2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9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39" fontId="8" fillId="2" borderId="9" xfId="0" applyNumberFormat="1" applyFont="1" applyFill="1" applyBorder="1" applyAlignment="1">
      <alignment/>
    </xf>
    <xf numFmtId="39" fontId="5" fillId="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9" fontId="9" fillId="0" borderId="15" xfId="0" applyNumberFormat="1" applyFont="1" applyFill="1" applyBorder="1" applyAlignment="1">
      <alignment horizontal="center" wrapText="1"/>
    </xf>
    <xf numFmtId="39" fontId="9" fillId="0" borderId="15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" fillId="0" borderId="17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168" fontId="9" fillId="0" borderId="1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0" xfId="0" applyFont="1" applyFill="1" applyAlignment="1">
      <alignment/>
    </xf>
    <xf numFmtId="41" fontId="9" fillId="0" borderId="8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164" fontId="2" fillId="2" borderId="4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9" fillId="0" borderId="16" xfId="15" applyNumberFormat="1" applyFont="1" applyFill="1" applyBorder="1" applyAlignment="1" quotePrefix="1">
      <alignment horizontal="center"/>
    </xf>
    <xf numFmtId="49" fontId="9" fillId="0" borderId="16" xfId="15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43" fontId="12" fillId="2" borderId="4" xfId="15" applyFont="1" applyFill="1" applyBorder="1" applyAlignment="1">
      <alignment/>
    </xf>
    <xf numFmtId="43" fontId="12" fillId="2" borderId="1" xfId="15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68" fontId="22" fillId="0" borderId="21" xfId="0" applyNumberFormat="1" applyFont="1" applyFill="1" applyBorder="1" applyAlignment="1" applyProtection="1" quotePrefix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68" fontId="22" fillId="0" borderId="2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3" fontId="0" fillId="0" borderId="19" xfId="15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43" fontId="0" fillId="0" borderId="24" xfId="15" applyFont="1" applyBorder="1" applyAlignment="1" applyProtection="1">
      <alignment/>
      <protection/>
    </xf>
    <xf numFmtId="42" fontId="0" fillId="0" borderId="24" xfId="15" applyNumberFormat="1" applyFont="1" applyBorder="1" applyAlignment="1" applyProtection="1">
      <alignment/>
      <protection/>
    </xf>
    <xf numFmtId="42" fontId="0" fillId="0" borderId="24" xfId="15" applyNumberFormat="1" applyFont="1" applyFill="1" applyBorder="1" applyAlignment="1" applyProtection="1">
      <alignment/>
      <protection/>
    </xf>
    <xf numFmtId="41" fontId="0" fillId="0" borderId="24" xfId="15" applyNumberFormat="1" applyFont="1" applyBorder="1" applyAlignment="1" applyProtection="1">
      <alignment/>
      <protection/>
    </xf>
    <xf numFmtId="41" fontId="0" fillId="0" borderId="24" xfId="15" applyNumberFormat="1" applyFont="1" applyFill="1" applyBorder="1" applyAlignment="1" applyProtection="1">
      <alignment/>
      <protection/>
    </xf>
    <xf numFmtId="43" fontId="0" fillId="0" borderId="24" xfId="15" applyFont="1" applyFill="1" applyBorder="1" applyAlignment="1" applyProtection="1">
      <alignment/>
      <protection/>
    </xf>
    <xf numFmtId="42" fontId="9" fillId="0" borderId="24" xfId="15" applyNumberFormat="1" applyFont="1" applyBorder="1" applyAlignment="1" applyProtection="1">
      <alignment/>
      <protection/>
    </xf>
    <xf numFmtId="42" fontId="9" fillId="0" borderId="24" xfId="15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43" fontId="0" fillId="0" borderId="0" xfId="15" applyFont="1" applyAlignment="1">
      <alignment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0" fontId="3" fillId="2" borderId="3" xfId="0" applyNumberFormat="1" applyFont="1" applyFill="1" applyBorder="1" applyAlignment="1">
      <alignment/>
    </xf>
    <xf numFmtId="43" fontId="4" fillId="2" borderId="4" xfId="0" applyNumberFormat="1" applyFont="1" applyFill="1" applyBorder="1" applyAlignment="1">
      <alignment/>
    </xf>
    <xf numFmtId="40" fontId="3" fillId="2" borderId="5" xfId="0" applyNumberFormat="1" applyFont="1" applyFill="1" applyBorder="1" applyAlignment="1">
      <alignment/>
    </xf>
    <xf numFmtId="40" fontId="3" fillId="2" borderId="0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5" xfId="0" applyNumberFormat="1" applyFont="1" applyFill="1" applyBorder="1" applyAlignment="1">
      <alignment/>
    </xf>
    <xf numFmtId="40" fontId="7" fillId="2" borderId="0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9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43" fontId="9" fillId="0" borderId="8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2" fontId="0" fillId="0" borderId="8" xfId="0" applyNumberFormat="1" applyFill="1" applyBorder="1" applyAlignment="1">
      <alignment/>
    </xf>
    <xf numFmtId="0" fontId="0" fillId="0" borderId="8" xfId="0" applyFont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64" fontId="23" fillId="0" borderId="0" xfId="15" applyNumberFormat="1" applyFont="1" applyFill="1" applyAlignment="1">
      <alignment/>
    </xf>
    <xf numFmtId="164" fontId="3" fillId="2" borderId="13" xfId="15" applyNumberFormat="1" applyFont="1" applyFill="1" applyBorder="1" applyAlignment="1">
      <alignment horizontal="left"/>
    </xf>
    <xf numFmtId="164" fontId="9" fillId="0" borderId="16" xfId="15" applyNumberFormat="1" applyFont="1" applyFill="1" applyBorder="1" applyAlignment="1">
      <alignment horizontal="center" wrapText="1"/>
    </xf>
    <xf numFmtId="41" fontId="0" fillId="0" borderId="1" xfId="15" applyNumberFormat="1" applyFont="1" applyFill="1" applyBorder="1" applyAlignment="1">
      <alignment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0" fontId="18" fillId="0" borderId="0" xfId="24" applyFont="1" applyFill="1">
      <alignment/>
      <protection/>
    </xf>
    <xf numFmtId="0" fontId="0" fillId="0" borderId="0" xfId="24" applyFont="1" applyFill="1" quotePrefix="1">
      <alignment/>
      <protection/>
    </xf>
    <xf numFmtId="39" fontId="0" fillId="0" borderId="0" xfId="24" applyNumberFormat="1" applyFont="1" applyFill="1">
      <alignment/>
      <protection/>
    </xf>
    <xf numFmtId="0" fontId="0" fillId="2" borderId="7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/>
    </xf>
    <xf numFmtId="18" fontId="0" fillId="0" borderId="1" xfId="0" applyNumberFormat="1" applyFont="1" applyFill="1" applyBorder="1" applyAlignment="1">
      <alignment/>
    </xf>
    <xf numFmtId="18" fontId="0" fillId="0" borderId="1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164" fontId="15" fillId="0" borderId="0" xfId="15" applyNumberFormat="1" applyFont="1" applyFill="1" applyAlignment="1">
      <alignment/>
    </xf>
    <xf numFmtId="0" fontId="1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24" fillId="2" borderId="5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0" xfId="23" applyFont="1" applyFill="1" applyAlignment="1">
      <alignment/>
      <protection/>
    </xf>
    <xf numFmtId="0" fontId="14" fillId="2" borderId="0" xfId="23" applyFont="1" applyFill="1" applyAlignment="1">
      <alignment/>
      <protection/>
    </xf>
    <xf numFmtId="0" fontId="3" fillId="2" borderId="5" xfId="23" applyFont="1" applyFill="1" applyBorder="1">
      <alignment/>
      <protection/>
    </xf>
    <xf numFmtId="0" fontId="12" fillId="2" borderId="0" xfId="23" applyFont="1" applyFill="1" applyAlignment="1">
      <alignment/>
      <protection/>
    </xf>
    <xf numFmtId="0" fontId="9" fillId="0" borderId="0" xfId="23" applyFont="1" applyFill="1" applyAlignment="1">
      <alignment/>
      <protection/>
    </xf>
    <xf numFmtId="0" fontId="0" fillId="0" borderId="0" xfId="23" applyFont="1" applyFill="1">
      <alignment/>
      <protection/>
    </xf>
    <xf numFmtId="0" fontId="17" fillId="0" borderId="0" xfId="22" applyFont="1" applyFill="1" applyAlignment="1">
      <alignment/>
      <protection/>
    </xf>
    <xf numFmtId="0" fontId="12" fillId="0" borderId="0" xfId="22" applyFont="1" applyFill="1" applyAlignment="1">
      <alignment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Border="1" applyAlignment="1">
      <alignment/>
      <protection/>
    </xf>
    <xf numFmtId="0" fontId="0" fillId="0" borderId="11" xfId="22" applyFont="1" applyFill="1" applyBorder="1" applyAlignment="1">
      <alignment/>
      <protection/>
    </xf>
    <xf numFmtId="0" fontId="17" fillId="0" borderId="0" xfId="22" applyFont="1" applyFill="1" applyBorder="1" applyAlignment="1">
      <alignment/>
      <protection/>
    </xf>
    <xf numFmtId="0" fontId="9" fillId="0" borderId="0" xfId="22" applyFont="1" applyFill="1" applyAlignment="1">
      <alignment/>
      <protection/>
    </xf>
    <xf numFmtId="0" fontId="6" fillId="0" borderId="0" xfId="22" applyFont="1" applyFill="1" applyAlignment="1">
      <alignment/>
      <protection/>
    </xf>
    <xf numFmtId="0" fontId="9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4" fillId="0" borderId="0" xfId="23" applyFont="1" applyFill="1" applyAlignment="1">
      <alignment/>
      <protection/>
    </xf>
    <xf numFmtId="0" fontId="12" fillId="0" borderId="0" xfId="23" applyFont="1" applyFill="1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ative SRECNA FY 2001" xfId="21"/>
    <cellStyle name="Normal_GASB06_K" xfId="22"/>
    <cellStyle name="Normal_GASBIS_K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1" customWidth="1"/>
    <col min="6" max="16384" width="9.140625" style="1" customWidth="1"/>
  </cols>
  <sheetData>
    <row r="1" spans="1:3" ht="12.75" hidden="1">
      <c r="A1" s="1" t="s">
        <v>726</v>
      </c>
      <c r="B1" s="2" t="s">
        <v>727</v>
      </c>
      <c r="C1" s="3" t="s">
        <v>728</v>
      </c>
    </row>
    <row r="2" spans="1:5" s="10" customFormat="1" ht="15.75" customHeight="1">
      <c r="A2" s="5" t="s">
        <v>729</v>
      </c>
      <c r="B2" s="6"/>
      <c r="C2" s="7"/>
      <c r="D2" s="8"/>
      <c r="E2" s="9"/>
    </row>
    <row r="3" spans="1:5" s="10" customFormat="1" ht="15.75" customHeight="1">
      <c r="A3" s="11" t="s">
        <v>2956</v>
      </c>
      <c r="B3" s="12"/>
      <c r="C3" s="13"/>
      <c r="D3" s="14"/>
      <c r="E3" s="15"/>
    </row>
    <row r="4" spans="1:5" s="10" customFormat="1" ht="15.75" customHeight="1">
      <c r="A4" s="11" t="s">
        <v>2957</v>
      </c>
      <c r="B4" s="16"/>
      <c r="C4" s="13"/>
      <c r="D4" s="14"/>
      <c r="E4" s="15"/>
    </row>
    <row r="5" spans="1:5" s="22" customFormat="1" ht="12.75" customHeight="1">
      <c r="A5" s="17" t="s">
        <v>730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731</v>
      </c>
      <c r="B7" s="24"/>
      <c r="C7" s="27"/>
      <c r="D7" s="28"/>
      <c r="E7" s="27"/>
    </row>
    <row r="8" spans="1:5" s="2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732</v>
      </c>
      <c r="B9" s="24"/>
      <c r="C9" s="27"/>
      <c r="D9" s="28"/>
      <c r="E9" s="27"/>
    </row>
    <row r="10" spans="1:5" s="2" customFormat="1" ht="12.75" customHeight="1">
      <c r="A10" s="30"/>
      <c r="B10" s="31" t="s">
        <v>733</v>
      </c>
      <c r="C10" s="34">
        <v>18829</v>
      </c>
      <c r="D10" s="35" t="s">
        <v>734</v>
      </c>
      <c r="E10" s="34">
        <v>25194</v>
      </c>
    </row>
    <row r="11" spans="1:5" s="2" customFormat="1" ht="12.75" customHeight="1">
      <c r="A11" s="30"/>
      <c r="B11" s="31" t="s">
        <v>735</v>
      </c>
      <c r="C11" s="36">
        <v>15136</v>
      </c>
      <c r="D11" s="37" t="s">
        <v>736</v>
      </c>
      <c r="E11" s="36">
        <v>12984</v>
      </c>
    </row>
    <row r="12" spans="1:5" s="2" customFormat="1" ht="12.75" customHeight="1">
      <c r="A12" s="30"/>
      <c r="B12" s="31" t="s">
        <v>737</v>
      </c>
      <c r="C12" s="36">
        <v>6994</v>
      </c>
      <c r="D12" s="38"/>
      <c r="E12" s="36">
        <v>3182</v>
      </c>
    </row>
    <row r="13" spans="1:5" s="2" customFormat="1" ht="12.75" customHeight="1">
      <c r="A13" s="30"/>
      <c r="B13" s="31" t="s">
        <v>738</v>
      </c>
      <c r="C13" s="36">
        <v>1520</v>
      </c>
      <c r="D13" s="38"/>
      <c r="E13" s="36">
        <v>2673</v>
      </c>
    </row>
    <row r="14" spans="1:5" s="2" customFormat="1" ht="12.75" customHeight="1">
      <c r="A14" s="30"/>
      <c r="B14" s="31" t="s">
        <v>739</v>
      </c>
      <c r="C14" s="36">
        <v>1624</v>
      </c>
      <c r="D14" s="38"/>
      <c r="E14" s="36">
        <v>1945</v>
      </c>
    </row>
    <row r="15" spans="1:5" s="2" customFormat="1" ht="12.75" customHeight="1">
      <c r="A15" s="30"/>
      <c r="B15" s="31" t="s">
        <v>740</v>
      </c>
      <c r="C15" s="36">
        <v>7268</v>
      </c>
      <c r="D15" s="38"/>
      <c r="E15" s="36">
        <v>6133</v>
      </c>
    </row>
    <row r="16" spans="1:5" s="2" customFormat="1" ht="12.75" customHeight="1">
      <c r="A16" s="30"/>
      <c r="B16" s="31"/>
      <c r="C16" s="36"/>
      <c r="D16" s="38"/>
      <c r="E16" s="36"/>
    </row>
    <row r="17" spans="1:5" s="29" customFormat="1" ht="12.75" customHeight="1">
      <c r="A17" s="23" t="s">
        <v>2958</v>
      </c>
      <c r="B17" s="24"/>
      <c r="C17" s="39">
        <f>SUM(C10:C15)</f>
        <v>51371</v>
      </c>
      <c r="D17" s="40"/>
      <c r="E17" s="39">
        <f>SUM(E10:E15)</f>
        <v>52111</v>
      </c>
    </row>
    <row r="18" spans="1:5" s="2" customFormat="1" ht="12.75" customHeight="1">
      <c r="A18" s="30"/>
      <c r="B18" s="31"/>
      <c r="C18" s="36"/>
      <c r="D18" s="38"/>
      <c r="E18" s="36"/>
    </row>
    <row r="19" spans="1:5" s="29" customFormat="1" ht="12.75" customHeight="1">
      <c r="A19" s="23" t="s">
        <v>741</v>
      </c>
      <c r="B19" s="24"/>
      <c r="C19" s="39"/>
      <c r="D19" s="40"/>
      <c r="E19" s="39"/>
    </row>
    <row r="20" spans="1:5" s="2" customFormat="1" ht="12.75" customHeight="1">
      <c r="A20" s="30"/>
      <c r="B20" s="31" t="s">
        <v>742</v>
      </c>
      <c r="C20" s="36">
        <v>1594</v>
      </c>
      <c r="D20" s="38"/>
      <c r="E20" s="36">
        <v>2166</v>
      </c>
    </row>
    <row r="21" spans="1:5" s="2" customFormat="1" ht="12.75" customHeight="1">
      <c r="A21" s="30"/>
      <c r="B21" s="31" t="s">
        <v>743</v>
      </c>
      <c r="C21" s="36">
        <v>15806</v>
      </c>
      <c r="D21" s="38"/>
      <c r="E21" s="36">
        <v>14613</v>
      </c>
    </row>
    <row r="22" spans="1:5" s="2" customFormat="1" ht="12.75" customHeight="1">
      <c r="A22" s="30"/>
      <c r="B22" s="31" t="s">
        <v>2959</v>
      </c>
      <c r="C22" s="36">
        <v>236</v>
      </c>
      <c r="D22" s="38"/>
      <c r="E22" s="36">
        <v>140</v>
      </c>
    </row>
    <row r="23" spans="1:5" s="2" customFormat="1" ht="12.75" customHeight="1">
      <c r="A23" s="30"/>
      <c r="B23" s="31" t="s">
        <v>745</v>
      </c>
      <c r="C23" s="36">
        <v>143829</v>
      </c>
      <c r="D23" s="38"/>
      <c r="E23" s="36">
        <v>106178</v>
      </c>
    </row>
    <row r="24" spans="1:5" s="2" customFormat="1" ht="12.75" customHeight="1">
      <c r="A24" s="30"/>
      <c r="B24" s="31" t="s">
        <v>746</v>
      </c>
      <c r="C24" s="36">
        <v>188822</v>
      </c>
      <c r="D24" s="38"/>
      <c r="E24" s="36">
        <v>158673</v>
      </c>
    </row>
    <row r="25" spans="1:5" s="2" customFormat="1" ht="12.75" customHeight="1">
      <c r="A25" s="30"/>
      <c r="B25" s="31"/>
      <c r="C25" s="36"/>
      <c r="D25" s="38"/>
      <c r="E25" s="36"/>
    </row>
    <row r="26" spans="1:5" s="29" customFormat="1" ht="12.75" customHeight="1">
      <c r="A26" s="23" t="s">
        <v>2960</v>
      </c>
      <c r="B26" s="24"/>
      <c r="C26" s="39">
        <f>SUM(C20:C24)</f>
        <v>350287</v>
      </c>
      <c r="D26" s="40"/>
      <c r="E26" s="39">
        <f>SUM(E20:E24)</f>
        <v>281770</v>
      </c>
    </row>
    <row r="27" spans="1:5" s="2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747</v>
      </c>
      <c r="B28" s="24"/>
      <c r="C28" s="41">
        <f>C17+C26</f>
        <v>401658</v>
      </c>
      <c r="D28" s="28"/>
      <c r="E28" s="41">
        <f>E17+E26</f>
        <v>333881</v>
      </c>
    </row>
    <row r="29" spans="1:5" s="2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748</v>
      </c>
      <c r="B30" s="24"/>
      <c r="C30" s="27"/>
      <c r="D30" s="28"/>
      <c r="E30" s="27"/>
    </row>
    <row r="31" spans="1:5" s="2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749</v>
      </c>
      <c r="B32" s="24"/>
      <c r="C32" s="27"/>
      <c r="D32" s="28"/>
      <c r="E32" s="27"/>
    </row>
    <row r="33" spans="1:5" s="2" customFormat="1" ht="12.75" customHeight="1">
      <c r="A33" s="30"/>
      <c r="B33" s="31" t="s">
        <v>750</v>
      </c>
      <c r="C33" s="34">
        <v>1344</v>
      </c>
      <c r="D33" s="33"/>
      <c r="E33" s="34">
        <v>1787</v>
      </c>
    </row>
    <row r="34" spans="1:5" s="2" customFormat="1" ht="12.75" customHeight="1">
      <c r="A34" s="30"/>
      <c r="B34" s="31" t="s">
        <v>751</v>
      </c>
      <c r="C34" s="36">
        <v>7610</v>
      </c>
      <c r="D34" s="37" t="s">
        <v>752</v>
      </c>
      <c r="E34" s="36">
        <v>8446</v>
      </c>
    </row>
    <row r="35" spans="1:5" s="2" customFormat="1" ht="12.75" customHeight="1">
      <c r="A35" s="30"/>
      <c r="B35" s="31" t="s">
        <v>753</v>
      </c>
      <c r="C35" s="36">
        <v>12555</v>
      </c>
      <c r="D35" s="38"/>
      <c r="E35" s="36">
        <v>13854</v>
      </c>
    </row>
    <row r="36" spans="1:5" s="2" customFormat="1" ht="12.75" customHeight="1">
      <c r="A36" s="30"/>
      <c r="B36" s="31" t="s">
        <v>754</v>
      </c>
      <c r="C36" s="36">
        <v>18018</v>
      </c>
      <c r="D36" s="37" t="s">
        <v>755</v>
      </c>
      <c r="E36" s="36">
        <v>1289</v>
      </c>
    </row>
    <row r="37" spans="1:5" s="2" customFormat="1" ht="12.75" customHeight="1">
      <c r="A37" s="30"/>
      <c r="B37" s="31" t="s">
        <v>756</v>
      </c>
      <c r="C37" s="36">
        <v>7149</v>
      </c>
      <c r="D37" s="38"/>
      <c r="E37" s="36">
        <v>5338</v>
      </c>
    </row>
    <row r="38" spans="1:5" s="2" customFormat="1" ht="12.75" customHeight="1">
      <c r="A38" s="30"/>
      <c r="B38" s="31" t="s">
        <v>757</v>
      </c>
      <c r="C38" s="36">
        <v>919</v>
      </c>
      <c r="D38" s="38"/>
      <c r="E38" s="36">
        <v>857</v>
      </c>
    </row>
    <row r="39" spans="1:5" s="2" customFormat="1" ht="12.75" customHeight="1">
      <c r="A39" s="30"/>
      <c r="B39" s="31"/>
      <c r="C39" s="36"/>
      <c r="D39" s="38"/>
      <c r="E39" s="36"/>
    </row>
    <row r="40" spans="1:5" s="29" customFormat="1" ht="12.75" customHeight="1">
      <c r="A40" s="23" t="s">
        <v>2961</v>
      </c>
      <c r="B40" s="24"/>
      <c r="C40" s="39">
        <f>SUM(C33:C38)</f>
        <v>47595</v>
      </c>
      <c r="D40" s="40"/>
      <c r="E40" s="39">
        <f>SUM(E33:E38)</f>
        <v>31571</v>
      </c>
    </row>
    <row r="41" spans="1:5" s="2" customFormat="1" ht="12.75" customHeight="1">
      <c r="A41" s="30"/>
      <c r="B41" s="31"/>
      <c r="C41" s="36"/>
      <c r="D41" s="38"/>
      <c r="E41" s="36"/>
    </row>
    <row r="42" spans="1:5" s="29" customFormat="1" ht="12.75" customHeight="1">
      <c r="A42" s="23" t="s">
        <v>758</v>
      </c>
      <c r="B42" s="24"/>
      <c r="C42" s="39"/>
      <c r="D42" s="40"/>
      <c r="E42" s="39"/>
    </row>
    <row r="43" spans="1:5" ht="12.75" customHeight="1">
      <c r="A43" s="30"/>
      <c r="B43" s="31"/>
      <c r="C43" s="36"/>
      <c r="D43" s="38"/>
      <c r="E43" s="36"/>
    </row>
    <row r="44" spans="1:5" s="2" customFormat="1" ht="12.75" customHeight="1">
      <c r="A44" s="30"/>
      <c r="B44" s="31" t="s">
        <v>2962</v>
      </c>
      <c r="C44" s="36">
        <v>44751</v>
      </c>
      <c r="D44" s="38"/>
      <c r="E44" s="36">
        <v>25577</v>
      </c>
    </row>
    <row r="45" spans="1:5" s="2" customFormat="1" ht="12.75" customHeight="1">
      <c r="A45" s="30"/>
      <c r="B45" s="31"/>
      <c r="C45" s="36"/>
      <c r="D45" s="38"/>
      <c r="E45" s="36"/>
    </row>
    <row r="46" spans="1:5" s="29" customFormat="1" ht="12.75" customHeight="1">
      <c r="A46" s="23" t="s">
        <v>2963</v>
      </c>
      <c r="B46" s="24"/>
      <c r="C46" s="39">
        <f>SUM(C44:C44)</f>
        <v>44751</v>
      </c>
      <c r="D46" s="40"/>
      <c r="E46" s="39">
        <f>SUM(E44:E44)</f>
        <v>25577</v>
      </c>
    </row>
    <row r="47" spans="1:5" s="2" customFormat="1" ht="12.75" customHeight="1">
      <c r="A47" s="30"/>
      <c r="B47" s="31"/>
      <c r="C47" s="36"/>
      <c r="D47" s="38"/>
      <c r="E47" s="36"/>
    </row>
    <row r="48" spans="1:5" s="29" customFormat="1" ht="12.75" customHeight="1">
      <c r="A48" s="23" t="s">
        <v>760</v>
      </c>
      <c r="B48" s="24"/>
      <c r="C48" s="39">
        <f>C46+C40</f>
        <v>92346</v>
      </c>
      <c r="D48" s="40"/>
      <c r="E48" s="39">
        <f>E46+E40</f>
        <v>57148</v>
      </c>
    </row>
    <row r="49" spans="1:5" s="2" customFormat="1" ht="12.75" customHeight="1">
      <c r="A49" s="30"/>
      <c r="B49" s="31"/>
      <c r="C49" s="36"/>
      <c r="D49" s="38"/>
      <c r="E49" s="36"/>
    </row>
    <row r="50" spans="1:5" s="2" customFormat="1" ht="12.75" customHeight="1">
      <c r="A50" s="23" t="s">
        <v>761</v>
      </c>
      <c r="B50" s="24"/>
      <c r="C50" s="36"/>
      <c r="D50" s="38"/>
      <c r="E50" s="36"/>
    </row>
    <row r="51" spans="1:5" s="2" customFormat="1" ht="12.75" customHeight="1">
      <c r="A51" s="30"/>
      <c r="B51" s="31"/>
      <c r="C51" s="36"/>
      <c r="D51" s="38"/>
      <c r="E51" s="36"/>
    </row>
    <row r="52" spans="1:5" s="2" customFormat="1" ht="12.75" customHeight="1">
      <c r="A52" s="30" t="s">
        <v>762</v>
      </c>
      <c r="B52" s="31"/>
      <c r="C52" s="36">
        <v>144929</v>
      </c>
      <c r="D52" s="38"/>
      <c r="E52" s="36">
        <v>132292</v>
      </c>
    </row>
    <row r="53" spans="1:5" s="2" customFormat="1" ht="12.75" customHeight="1">
      <c r="A53" s="30" t="s">
        <v>763</v>
      </c>
      <c r="B53" s="31"/>
      <c r="C53" s="36"/>
      <c r="D53" s="38"/>
      <c r="E53" s="36"/>
    </row>
    <row r="54" spans="1:5" s="2" customFormat="1" ht="12.75" customHeight="1">
      <c r="A54" s="30"/>
      <c r="B54" s="31" t="s">
        <v>2964</v>
      </c>
      <c r="C54" s="36">
        <v>61870</v>
      </c>
      <c r="D54" s="38"/>
      <c r="E54" s="36">
        <v>53488</v>
      </c>
    </row>
    <row r="55" spans="1:5" s="2" customFormat="1" ht="12.75" customHeight="1">
      <c r="A55" s="30"/>
      <c r="B55" s="31" t="s">
        <v>2965</v>
      </c>
      <c r="C55" s="36">
        <v>74469</v>
      </c>
      <c r="D55" s="38"/>
      <c r="E55" s="36">
        <v>62475</v>
      </c>
    </row>
    <row r="56" spans="1:5" s="2" customFormat="1" ht="12.75" customHeight="1">
      <c r="A56" s="30" t="s">
        <v>764</v>
      </c>
      <c r="B56" s="31"/>
      <c r="C56" s="36">
        <v>28044</v>
      </c>
      <c r="D56" s="38"/>
      <c r="E56" s="36">
        <v>28478</v>
      </c>
    </row>
    <row r="57" spans="1:5" s="29" customFormat="1" ht="12.75" customHeight="1">
      <c r="A57" s="23"/>
      <c r="B57" s="24"/>
      <c r="C57" s="39"/>
      <c r="D57" s="40"/>
      <c r="E57" s="39"/>
    </row>
    <row r="58" spans="1:5" s="29" customFormat="1" ht="12.75" customHeight="1">
      <c r="A58" s="23" t="s">
        <v>2966</v>
      </c>
      <c r="B58" s="24"/>
      <c r="C58" s="39">
        <f>SUM(C52:C56)</f>
        <v>309312</v>
      </c>
      <c r="D58" s="40"/>
      <c r="E58" s="39">
        <f>SUM(E52:E56)</f>
        <v>276733</v>
      </c>
    </row>
    <row r="59" spans="1:5" s="2" customFormat="1" ht="12.75" customHeight="1">
      <c r="A59" s="30"/>
      <c r="B59" s="31"/>
      <c r="C59" s="32"/>
      <c r="D59" s="33"/>
      <c r="E59" s="32"/>
    </row>
    <row r="60" spans="1:5" s="29" customFormat="1" ht="12.75" customHeight="1">
      <c r="A60" s="23" t="s">
        <v>765</v>
      </c>
      <c r="B60" s="24"/>
      <c r="C60" s="41">
        <f>C58+C48</f>
        <v>401658</v>
      </c>
      <c r="D60" s="28"/>
      <c r="E60" s="41">
        <f>E58+E48</f>
        <v>333881</v>
      </c>
    </row>
    <row r="61" spans="1:4" s="2" customFormat="1" ht="12.75" customHeight="1" hidden="1">
      <c r="A61" s="30"/>
      <c r="B61" s="31"/>
      <c r="C61" s="32"/>
      <c r="D61" s="33"/>
    </row>
    <row r="62" spans="1:4" s="44" customFormat="1" ht="11.25" hidden="1">
      <c r="A62" s="42" t="s">
        <v>766</v>
      </c>
      <c r="B62" s="33"/>
      <c r="C62" s="43"/>
      <c r="D62" s="33"/>
    </row>
    <row r="63" spans="1:4" s="44" customFormat="1" ht="11.25" hidden="1">
      <c r="A63" s="45" t="s">
        <v>767</v>
      </c>
      <c r="B63" s="33"/>
      <c r="C63" s="43"/>
      <c r="D63" s="33"/>
    </row>
    <row r="64" spans="1:4" s="44" customFormat="1" ht="11.25" hidden="1">
      <c r="A64" s="45" t="s">
        <v>768</v>
      </c>
      <c r="B64" s="33"/>
      <c r="C64" s="43"/>
      <c r="D64" s="33"/>
    </row>
    <row r="65" spans="1:4" s="44" customFormat="1" ht="11.25" hidden="1">
      <c r="A65" s="45" t="s">
        <v>769</v>
      </c>
      <c r="B65" s="33"/>
      <c r="C65" s="43"/>
      <c r="D65" s="33"/>
    </row>
    <row r="66" spans="3:5" ht="12.75">
      <c r="C66" s="498"/>
      <c r="E66" s="2"/>
    </row>
    <row r="67" spans="1:5" ht="12.75">
      <c r="A67" s="551" t="s">
        <v>2967</v>
      </c>
      <c r="C67" s="2"/>
      <c r="E67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23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4.7109375" style="118" hidden="1" customWidth="1"/>
    <col min="2" max="2" width="80.28125" style="118" customWidth="1"/>
    <col min="3" max="3" width="7.00390625" style="240" customWidth="1"/>
    <col min="4" max="5" width="16.140625" style="328" customWidth="1"/>
    <col min="6" max="7" width="16.140625" style="118" customWidth="1"/>
    <col min="8" max="8" width="8.00390625" style="257" hidden="1" customWidth="1"/>
    <col min="9" max="51" width="9.140625" style="257" customWidth="1"/>
    <col min="52" max="16384" width="9.140625" style="118" customWidth="1"/>
  </cols>
  <sheetData>
    <row r="1" spans="1:51" s="239" customFormat="1" ht="110.25" customHeight="1" hidden="1">
      <c r="A1" s="239" t="s">
        <v>2841</v>
      </c>
      <c r="B1" s="239" t="s">
        <v>727</v>
      </c>
      <c r="C1" s="240" t="s">
        <v>1706</v>
      </c>
      <c r="D1" s="238" t="s">
        <v>2913</v>
      </c>
      <c r="E1" s="238" t="s">
        <v>2914</v>
      </c>
      <c r="F1" s="239" t="s">
        <v>2915</v>
      </c>
      <c r="G1" s="239" t="s">
        <v>2916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</row>
    <row r="2" spans="2:51" s="128" customFormat="1" ht="15.75" customHeight="1">
      <c r="B2" s="331" t="str">
        <f>"University of Missouri - "&amp;H2</f>
        <v>University of Missouri - Kansas City</v>
      </c>
      <c r="C2" s="332"/>
      <c r="D2" s="332"/>
      <c r="E2" s="332"/>
      <c r="F2" s="332"/>
      <c r="G2" s="333"/>
      <c r="H2" s="334" t="s">
        <v>3125</v>
      </c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</row>
    <row r="3" spans="1:51" s="128" customFormat="1" ht="15.75" customHeight="1">
      <c r="A3" s="128" t="s">
        <v>2917</v>
      </c>
      <c r="B3" s="335" t="s">
        <v>2917</v>
      </c>
      <c r="C3" s="336"/>
      <c r="D3" s="336"/>
      <c r="E3" s="336"/>
      <c r="F3" s="336"/>
      <c r="G3" s="337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</row>
    <row r="4" spans="2:8" ht="15.75" customHeight="1">
      <c r="B4" s="130" t="str">
        <f>"For the Year Ending "&amp;TEXT(H4,"MMMM DD, YYY")</f>
        <v>For the Year Ending June 30, 2004</v>
      </c>
      <c r="C4" s="16"/>
      <c r="D4" s="16"/>
      <c r="E4" s="16"/>
      <c r="F4" s="16"/>
      <c r="G4" s="338"/>
      <c r="H4" s="257" t="s">
        <v>2976</v>
      </c>
    </row>
    <row r="5" spans="2:7" ht="12.75" customHeight="1">
      <c r="B5" s="339"/>
      <c r="C5" s="340"/>
      <c r="D5" s="341"/>
      <c r="E5" s="341"/>
      <c r="F5" s="341"/>
      <c r="G5" s="138"/>
    </row>
    <row r="6" spans="2:7" ht="30" customHeight="1">
      <c r="B6" s="342"/>
      <c r="C6" s="343"/>
      <c r="D6" s="344" t="s">
        <v>2884</v>
      </c>
      <c r="E6" s="344" t="s">
        <v>2918</v>
      </c>
      <c r="F6" s="344" t="s">
        <v>2919</v>
      </c>
      <c r="G6" s="344" t="s">
        <v>2888</v>
      </c>
    </row>
    <row r="7" spans="2:7" ht="12.75" customHeight="1">
      <c r="B7" s="342"/>
      <c r="C7" s="343"/>
      <c r="D7" s="345"/>
      <c r="E7" s="345"/>
      <c r="F7" s="345"/>
      <c r="G7" s="345"/>
    </row>
    <row r="8" spans="2:7" ht="12.75" customHeight="1">
      <c r="B8" s="346" t="s">
        <v>771</v>
      </c>
      <c r="C8" s="325"/>
      <c r="D8" s="347"/>
      <c r="E8" s="347"/>
      <c r="F8" s="347"/>
      <c r="G8" s="347"/>
    </row>
    <row r="9" spans="1:51" s="239" customFormat="1" ht="38.25" hidden="1" outlineLevel="1">
      <c r="A9" s="239" t="s">
        <v>2700</v>
      </c>
      <c r="B9" s="239" t="s">
        <v>2701</v>
      </c>
      <c r="C9" s="240" t="s">
        <v>2702</v>
      </c>
      <c r="D9" s="238">
        <v>0</v>
      </c>
      <c r="E9" s="238">
        <v>0</v>
      </c>
      <c r="F9" s="239">
        <v>2107.81</v>
      </c>
      <c r="G9" s="239">
        <v>0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</row>
    <row r="10" spans="1:51" s="239" customFormat="1" ht="38.25" hidden="1" outlineLevel="1">
      <c r="A10" s="239" t="s">
        <v>2703</v>
      </c>
      <c r="B10" s="239" t="s">
        <v>2704</v>
      </c>
      <c r="C10" s="240" t="s">
        <v>2705</v>
      </c>
      <c r="D10" s="238">
        <v>0</v>
      </c>
      <c r="E10" s="238">
        <v>0</v>
      </c>
      <c r="F10" s="239">
        <v>9815.78</v>
      </c>
      <c r="G10" s="239">
        <v>0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</row>
    <row r="11" spans="1:51" s="239" customFormat="1" ht="38.25" hidden="1" outlineLevel="1">
      <c r="A11" s="239" t="s">
        <v>2706</v>
      </c>
      <c r="B11" s="239" t="s">
        <v>2707</v>
      </c>
      <c r="C11" s="240" t="s">
        <v>2708</v>
      </c>
      <c r="D11" s="238">
        <v>0</v>
      </c>
      <c r="E11" s="238">
        <v>0</v>
      </c>
      <c r="F11" s="239">
        <v>15213.47</v>
      </c>
      <c r="G11" s="239">
        <v>0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</row>
    <row r="12" spans="1:51" s="239" customFormat="1" ht="38.25" hidden="1" outlineLevel="1">
      <c r="A12" s="239" t="s">
        <v>2709</v>
      </c>
      <c r="B12" s="239" t="s">
        <v>2710</v>
      </c>
      <c r="C12" s="240" t="s">
        <v>2711</v>
      </c>
      <c r="D12" s="238">
        <v>0</v>
      </c>
      <c r="E12" s="238">
        <v>0</v>
      </c>
      <c r="F12" s="239">
        <v>3484.71</v>
      </c>
      <c r="G12" s="239">
        <v>0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</row>
    <row r="13" spans="1:51" s="239" customFormat="1" ht="38.25" hidden="1" outlineLevel="1">
      <c r="A13" s="239" t="s">
        <v>2712</v>
      </c>
      <c r="B13" s="239" t="s">
        <v>2713</v>
      </c>
      <c r="C13" s="240" t="s">
        <v>2714</v>
      </c>
      <c r="D13" s="238">
        <v>0</v>
      </c>
      <c r="E13" s="238">
        <v>0</v>
      </c>
      <c r="F13" s="239">
        <v>182886.78</v>
      </c>
      <c r="G13" s="239">
        <v>0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</row>
    <row r="14" spans="1:51" s="239" customFormat="1" ht="38.25" hidden="1" outlineLevel="1">
      <c r="A14" s="239" t="s">
        <v>2715</v>
      </c>
      <c r="B14" s="239" t="s">
        <v>2716</v>
      </c>
      <c r="C14" s="240" t="s">
        <v>2717</v>
      </c>
      <c r="D14" s="238">
        <v>0</v>
      </c>
      <c r="E14" s="238">
        <v>0</v>
      </c>
      <c r="F14" s="239">
        <v>108007.42</v>
      </c>
      <c r="G14" s="239">
        <v>0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</row>
    <row r="15" spans="1:51" s="239" customFormat="1" ht="38.25" hidden="1" outlineLevel="1">
      <c r="A15" s="239" t="s">
        <v>2718</v>
      </c>
      <c r="B15" s="239" t="s">
        <v>2719</v>
      </c>
      <c r="C15" s="240" t="s">
        <v>2720</v>
      </c>
      <c r="D15" s="238">
        <v>0</v>
      </c>
      <c r="E15" s="238">
        <v>0</v>
      </c>
      <c r="F15" s="239">
        <v>7.68</v>
      </c>
      <c r="G15" s="239">
        <v>0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</row>
    <row r="16" spans="1:51" s="239" customFormat="1" ht="38.25" hidden="1" outlineLevel="1">
      <c r="A16" s="239" t="s">
        <v>2721</v>
      </c>
      <c r="B16" s="239" t="s">
        <v>2722</v>
      </c>
      <c r="C16" s="240" t="s">
        <v>2723</v>
      </c>
      <c r="D16" s="238">
        <v>0</v>
      </c>
      <c r="E16" s="238">
        <v>0</v>
      </c>
      <c r="F16" s="239">
        <v>173788.26</v>
      </c>
      <c r="G16" s="239">
        <v>0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</row>
    <row r="17" spans="1:51" s="239" customFormat="1" ht="38.25" hidden="1" outlineLevel="1">
      <c r="A17" s="239" t="s">
        <v>2724</v>
      </c>
      <c r="B17" s="239" t="s">
        <v>2725</v>
      </c>
      <c r="C17" s="240" t="s">
        <v>2726</v>
      </c>
      <c r="D17" s="238">
        <v>0</v>
      </c>
      <c r="E17" s="238">
        <v>0</v>
      </c>
      <c r="F17" s="239">
        <v>103956.95</v>
      </c>
      <c r="G17" s="239">
        <v>0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</row>
    <row r="18" spans="1:51" s="239" customFormat="1" ht="38.25" hidden="1" outlineLevel="1">
      <c r="A18" s="239" t="s">
        <v>1001</v>
      </c>
      <c r="B18" s="239" t="s">
        <v>1002</v>
      </c>
      <c r="C18" s="240" t="s">
        <v>1003</v>
      </c>
      <c r="D18" s="238">
        <v>0</v>
      </c>
      <c r="E18" s="238">
        <v>0</v>
      </c>
      <c r="F18" s="239">
        <v>0.06</v>
      </c>
      <c r="G18" s="239">
        <v>0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</row>
    <row r="19" spans="1:51" s="239" customFormat="1" ht="38.25" hidden="1" outlineLevel="1">
      <c r="A19" s="239" t="s">
        <v>1004</v>
      </c>
      <c r="B19" s="239" t="s">
        <v>1005</v>
      </c>
      <c r="C19" s="240" t="s">
        <v>1006</v>
      </c>
      <c r="D19" s="238">
        <v>0</v>
      </c>
      <c r="E19" s="238">
        <v>0</v>
      </c>
      <c r="F19" s="239">
        <v>-7.68</v>
      </c>
      <c r="G19" s="239">
        <v>0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</row>
    <row r="20" spans="1:51" s="239" customFormat="1" ht="38.25" hidden="1" outlineLevel="1">
      <c r="A20" s="239" t="s">
        <v>1007</v>
      </c>
      <c r="B20" s="239" t="s">
        <v>1008</v>
      </c>
      <c r="C20" s="240" t="s">
        <v>1009</v>
      </c>
      <c r="D20" s="238">
        <v>0</v>
      </c>
      <c r="E20" s="238">
        <v>0</v>
      </c>
      <c r="F20" s="239">
        <v>7.68</v>
      </c>
      <c r="G20" s="239">
        <v>0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</row>
    <row r="21" spans="1:51" s="239" customFormat="1" ht="38.25" hidden="1" outlineLevel="1">
      <c r="A21" s="239" t="s">
        <v>3377</v>
      </c>
      <c r="B21" s="239" t="s">
        <v>3378</v>
      </c>
      <c r="C21" s="240" t="s">
        <v>3379</v>
      </c>
      <c r="D21" s="238">
        <v>0</v>
      </c>
      <c r="E21" s="238">
        <v>0</v>
      </c>
      <c r="F21" s="239">
        <v>-13387.89</v>
      </c>
      <c r="G21" s="239">
        <v>0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</row>
    <row r="22" spans="1:51" ht="12.75" customHeight="1" collapsed="1">
      <c r="A22" s="118" t="s">
        <v>2920</v>
      </c>
      <c r="B22" s="306" t="s">
        <v>1060</v>
      </c>
      <c r="C22" s="348"/>
      <c r="D22" s="349">
        <v>0</v>
      </c>
      <c r="E22" s="349">
        <v>0</v>
      </c>
      <c r="F22" s="349">
        <v>585881.03</v>
      </c>
      <c r="G22" s="349">
        <v>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</row>
    <row r="23" spans="1:51" s="239" customFormat="1" ht="38.25" hidden="1" outlineLevel="1">
      <c r="A23" s="239" t="s">
        <v>2745</v>
      </c>
      <c r="B23" s="239" t="s">
        <v>2746</v>
      </c>
      <c r="C23" s="240" t="s">
        <v>2747</v>
      </c>
      <c r="D23" s="238">
        <v>1147545.45</v>
      </c>
      <c r="E23" s="238">
        <v>33963.41</v>
      </c>
      <c r="F23" s="239">
        <v>-3335.36</v>
      </c>
      <c r="G23" s="239">
        <v>0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</row>
    <row r="24" spans="1:51" s="239" customFormat="1" ht="38.25" hidden="1" outlineLevel="1">
      <c r="A24" s="239" t="s">
        <v>2921</v>
      </c>
      <c r="B24" s="239" t="s">
        <v>2922</v>
      </c>
      <c r="C24" s="240" t="s">
        <v>2923</v>
      </c>
      <c r="D24" s="238">
        <v>0</v>
      </c>
      <c r="E24" s="238">
        <v>0</v>
      </c>
      <c r="F24" s="239">
        <v>207690.18</v>
      </c>
      <c r="G24" s="239">
        <v>0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</row>
    <row r="25" spans="1:51" s="239" customFormat="1" ht="38.25" hidden="1" outlineLevel="1">
      <c r="A25" s="239" t="s">
        <v>1061</v>
      </c>
      <c r="B25" s="239" t="s">
        <v>1062</v>
      </c>
      <c r="C25" s="240" t="s">
        <v>1063</v>
      </c>
      <c r="D25" s="238">
        <v>37.35</v>
      </c>
      <c r="E25" s="238">
        <v>0</v>
      </c>
      <c r="F25" s="239">
        <v>0</v>
      </c>
      <c r="G25" s="239">
        <v>0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</row>
    <row r="26" spans="1:51" s="239" customFormat="1" ht="38.25" hidden="1" outlineLevel="1">
      <c r="A26" s="239" t="s">
        <v>2924</v>
      </c>
      <c r="B26" s="239" t="s">
        <v>2925</v>
      </c>
      <c r="C26" s="240" t="s">
        <v>2926</v>
      </c>
      <c r="D26" s="238">
        <v>3908306.86</v>
      </c>
      <c r="E26" s="238">
        <v>0</v>
      </c>
      <c r="F26" s="239">
        <v>0</v>
      </c>
      <c r="G26" s="239">
        <v>0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</row>
    <row r="27" spans="1:51" s="239" customFormat="1" ht="38.25" hidden="1" outlineLevel="1">
      <c r="A27" s="239" t="s">
        <v>3416</v>
      </c>
      <c r="B27" s="239" t="s">
        <v>3417</v>
      </c>
      <c r="C27" s="240" t="s">
        <v>3418</v>
      </c>
      <c r="D27" s="238">
        <v>375600.41</v>
      </c>
      <c r="E27" s="238">
        <v>4876678.08</v>
      </c>
      <c r="F27" s="239">
        <v>0</v>
      </c>
      <c r="G27" s="239">
        <v>2084.25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</row>
    <row r="28" spans="1:51" s="239" customFormat="1" ht="38.25" hidden="1" outlineLevel="1">
      <c r="A28" s="239" t="s">
        <v>2748</v>
      </c>
      <c r="B28" s="239" t="s">
        <v>2749</v>
      </c>
      <c r="C28" s="240" t="s">
        <v>2750</v>
      </c>
      <c r="D28" s="238">
        <v>0</v>
      </c>
      <c r="E28" s="238">
        <v>71827</v>
      </c>
      <c r="F28" s="239">
        <v>0</v>
      </c>
      <c r="G28" s="239">
        <v>0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</row>
    <row r="29" spans="1:51" s="239" customFormat="1" ht="38.25" hidden="1" outlineLevel="1">
      <c r="A29" s="239" t="s">
        <v>2751</v>
      </c>
      <c r="B29" s="239" t="s">
        <v>2752</v>
      </c>
      <c r="C29" s="240" t="s">
        <v>2753</v>
      </c>
      <c r="D29" s="238">
        <v>289313</v>
      </c>
      <c r="E29" s="238">
        <v>0</v>
      </c>
      <c r="F29" s="239">
        <v>0</v>
      </c>
      <c r="G29" s="239">
        <v>0</v>
      </c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</row>
    <row r="30" spans="1:51" s="239" customFormat="1" ht="38.25" hidden="1" outlineLevel="1">
      <c r="A30" s="239" t="s">
        <v>2754</v>
      </c>
      <c r="B30" s="239" t="s">
        <v>2755</v>
      </c>
      <c r="C30" s="240" t="s">
        <v>2756</v>
      </c>
      <c r="D30" s="238">
        <v>0</v>
      </c>
      <c r="E30" s="238">
        <v>0</v>
      </c>
      <c r="F30" s="239">
        <v>0</v>
      </c>
      <c r="G30" s="239">
        <v>372386.7</v>
      </c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</row>
    <row r="31" spans="1:51" s="239" customFormat="1" ht="38.25" hidden="1" outlineLevel="1">
      <c r="A31" s="239" t="s">
        <v>2927</v>
      </c>
      <c r="B31" s="239" t="s">
        <v>2928</v>
      </c>
      <c r="C31" s="240" t="s">
        <v>2929</v>
      </c>
      <c r="D31" s="238">
        <v>0</v>
      </c>
      <c r="E31" s="238">
        <v>0</v>
      </c>
      <c r="F31" s="239">
        <v>0</v>
      </c>
      <c r="G31" s="239">
        <v>530387.29</v>
      </c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</row>
    <row r="32" spans="1:51" s="239" customFormat="1" ht="38.25" hidden="1" outlineLevel="1">
      <c r="A32" s="239" t="s">
        <v>2930</v>
      </c>
      <c r="B32" s="239" t="s">
        <v>2931</v>
      </c>
      <c r="C32" s="240" t="s">
        <v>2932</v>
      </c>
      <c r="D32" s="238">
        <v>0</v>
      </c>
      <c r="E32" s="238">
        <v>0</v>
      </c>
      <c r="F32" s="239">
        <v>0</v>
      </c>
      <c r="G32" s="239">
        <v>590272.59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</row>
    <row r="33" spans="1:51" s="239" customFormat="1" ht="38.25" hidden="1" outlineLevel="1">
      <c r="A33" s="239" t="s">
        <v>2933</v>
      </c>
      <c r="B33" s="239" t="s">
        <v>2934</v>
      </c>
      <c r="C33" s="240" t="s">
        <v>2935</v>
      </c>
      <c r="D33" s="238">
        <v>0</v>
      </c>
      <c r="E33" s="238">
        <v>0</v>
      </c>
      <c r="F33" s="239">
        <v>0</v>
      </c>
      <c r="G33" s="239">
        <v>558062.9</v>
      </c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</row>
    <row r="34" spans="1:51" s="239" customFormat="1" ht="38.25" hidden="1" outlineLevel="1">
      <c r="A34" s="239" t="s">
        <v>2936</v>
      </c>
      <c r="B34" s="239" t="s">
        <v>2937</v>
      </c>
      <c r="C34" s="240" t="s">
        <v>2938</v>
      </c>
      <c r="D34" s="238">
        <v>4201.33</v>
      </c>
      <c r="E34" s="238">
        <v>0</v>
      </c>
      <c r="F34" s="239">
        <v>0</v>
      </c>
      <c r="G34" s="239">
        <v>0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</row>
    <row r="35" spans="1:51" ht="12.75" customHeight="1" collapsed="1">
      <c r="A35" s="118" t="s">
        <v>3419</v>
      </c>
      <c r="B35" s="306" t="s">
        <v>1064</v>
      </c>
      <c r="C35" s="348"/>
      <c r="D35" s="298">
        <v>5725004.4</v>
      </c>
      <c r="E35" s="298">
        <v>4982468.49</v>
      </c>
      <c r="F35" s="298">
        <v>204354.82</v>
      </c>
      <c r="G35" s="298">
        <v>2053193.73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</row>
    <row r="36" spans="1:51" s="239" customFormat="1" ht="38.25" hidden="1" outlineLevel="1">
      <c r="A36" s="239" t="s">
        <v>3490</v>
      </c>
      <c r="B36" s="239" t="s">
        <v>3491</v>
      </c>
      <c r="C36" s="240" t="s">
        <v>3492</v>
      </c>
      <c r="D36" s="350">
        <v>0</v>
      </c>
      <c r="E36" s="350">
        <v>0</v>
      </c>
      <c r="F36" s="351">
        <v>654450.64</v>
      </c>
      <c r="G36" s="351">
        <v>0</v>
      </c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</row>
    <row r="37" spans="1:51" s="239" customFormat="1" ht="38.25" hidden="1" outlineLevel="1">
      <c r="A37" s="239" t="s">
        <v>2760</v>
      </c>
      <c r="B37" s="239" t="s">
        <v>2761</v>
      </c>
      <c r="C37" s="240" t="s">
        <v>2762</v>
      </c>
      <c r="D37" s="350">
        <v>15630.74</v>
      </c>
      <c r="E37" s="350">
        <v>0</v>
      </c>
      <c r="F37" s="351">
        <v>0</v>
      </c>
      <c r="G37" s="351">
        <v>0</v>
      </c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</row>
    <row r="38" spans="1:51" ht="12.75" customHeight="1" collapsed="1">
      <c r="A38" s="118" t="s">
        <v>2939</v>
      </c>
      <c r="B38" s="306" t="s">
        <v>1065</v>
      </c>
      <c r="C38" s="348"/>
      <c r="D38" s="298">
        <v>15630.74</v>
      </c>
      <c r="E38" s="298">
        <v>0</v>
      </c>
      <c r="F38" s="298">
        <v>654450.64</v>
      </c>
      <c r="G38" s="298">
        <v>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</row>
    <row r="39" spans="2:51" s="330" customFormat="1" ht="12.75" customHeight="1">
      <c r="B39" s="346" t="s">
        <v>2940</v>
      </c>
      <c r="C39" s="325"/>
      <c r="D39" s="301">
        <f>D22+D35+D38</f>
        <v>5740635.140000001</v>
      </c>
      <c r="E39" s="301">
        <f>E22+E35+E38</f>
        <v>4982468.49</v>
      </c>
      <c r="F39" s="301">
        <f>F22+F35+F38</f>
        <v>1444686.4900000002</v>
      </c>
      <c r="G39" s="301">
        <f>G22+G35+G38</f>
        <v>2053193.73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</row>
    <row r="40" spans="2:51" ht="12.75" customHeight="1">
      <c r="B40" s="306"/>
      <c r="C40" s="348"/>
      <c r="D40" s="298"/>
      <c r="E40" s="298"/>
      <c r="F40" s="298"/>
      <c r="G40" s="29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</row>
    <row r="41" spans="2:51" ht="12.75" customHeight="1">
      <c r="B41" s="320" t="s">
        <v>2948</v>
      </c>
      <c r="C41" s="352"/>
      <c r="D41" s="298"/>
      <c r="E41" s="298"/>
      <c r="F41" s="298"/>
      <c r="G41" s="29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</row>
    <row r="42" spans="1:51" s="239" customFormat="1" ht="38.25" hidden="1" outlineLevel="1">
      <c r="A42" s="239" t="s">
        <v>3515</v>
      </c>
      <c r="B42" s="239" t="s">
        <v>3516</v>
      </c>
      <c r="C42" s="240" t="s">
        <v>3517</v>
      </c>
      <c r="D42" s="350">
        <v>754</v>
      </c>
      <c r="E42" s="350">
        <v>12538</v>
      </c>
      <c r="F42" s="351">
        <v>489249.04</v>
      </c>
      <c r="G42" s="351">
        <v>0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</row>
    <row r="43" spans="1:51" s="239" customFormat="1" ht="38.25" hidden="1" outlineLevel="1">
      <c r="A43" s="239" t="s">
        <v>3518</v>
      </c>
      <c r="B43" s="239" t="s">
        <v>3519</v>
      </c>
      <c r="C43" s="240" t="s">
        <v>3520</v>
      </c>
      <c r="D43" s="350">
        <v>0</v>
      </c>
      <c r="E43" s="350">
        <v>0</v>
      </c>
      <c r="F43" s="351">
        <v>24369.67</v>
      </c>
      <c r="G43" s="351">
        <v>0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</row>
    <row r="44" spans="1:51" s="239" customFormat="1" ht="38.25" hidden="1" outlineLevel="1">
      <c r="A44" s="239" t="s">
        <v>3524</v>
      </c>
      <c r="B44" s="239" t="s">
        <v>3525</v>
      </c>
      <c r="C44" s="240" t="s">
        <v>3526</v>
      </c>
      <c r="D44" s="350">
        <v>164747.46</v>
      </c>
      <c r="E44" s="350">
        <v>218236.8</v>
      </c>
      <c r="F44" s="351">
        <v>257684.54</v>
      </c>
      <c r="G44" s="351">
        <v>48063.7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</row>
    <row r="45" spans="1:51" s="239" customFormat="1" ht="38.25" hidden="1" outlineLevel="1">
      <c r="A45" s="239" t="s">
        <v>3527</v>
      </c>
      <c r="B45" s="239" t="s">
        <v>3528</v>
      </c>
      <c r="C45" s="240" t="s">
        <v>3529</v>
      </c>
      <c r="D45" s="350">
        <v>42074.19</v>
      </c>
      <c r="E45" s="350">
        <v>98669.94</v>
      </c>
      <c r="F45" s="351">
        <v>220104.51</v>
      </c>
      <c r="G45" s="351">
        <v>7024.4</v>
      </c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</row>
    <row r="46" spans="1:51" s="239" customFormat="1" ht="38.25" hidden="1" outlineLevel="1">
      <c r="A46" s="239" t="s">
        <v>3530</v>
      </c>
      <c r="B46" s="239" t="s">
        <v>3531</v>
      </c>
      <c r="C46" s="240" t="s">
        <v>3532</v>
      </c>
      <c r="D46" s="350">
        <v>44569.12</v>
      </c>
      <c r="E46" s="350">
        <v>-59.62</v>
      </c>
      <c r="F46" s="351">
        <v>0</v>
      </c>
      <c r="G46" s="351">
        <v>0</v>
      </c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</row>
    <row r="47" spans="1:51" s="239" customFormat="1" ht="38.25" hidden="1" outlineLevel="1">
      <c r="A47" s="239" t="s">
        <v>3533</v>
      </c>
      <c r="B47" s="239" t="s">
        <v>3534</v>
      </c>
      <c r="C47" s="240" t="s">
        <v>3535</v>
      </c>
      <c r="D47" s="350">
        <v>129396.77</v>
      </c>
      <c r="E47" s="350">
        <v>80442.12</v>
      </c>
      <c r="F47" s="351">
        <v>54552.86</v>
      </c>
      <c r="G47" s="351">
        <v>60409.93</v>
      </c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</row>
    <row r="48" spans="1:51" s="239" customFormat="1" ht="38.25" hidden="1" outlineLevel="1">
      <c r="A48" s="239" t="s">
        <v>3536</v>
      </c>
      <c r="B48" s="239" t="s">
        <v>3537</v>
      </c>
      <c r="C48" s="240" t="s">
        <v>3538</v>
      </c>
      <c r="D48" s="350">
        <v>0</v>
      </c>
      <c r="E48" s="350">
        <v>175447.62</v>
      </c>
      <c r="F48" s="351">
        <v>0</v>
      </c>
      <c r="G48" s="351">
        <v>42141.13</v>
      </c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</row>
    <row r="49" spans="1:51" s="239" customFormat="1" ht="38.25" hidden="1" outlineLevel="1">
      <c r="A49" s="239" t="s">
        <v>3539</v>
      </c>
      <c r="B49" s="239" t="s">
        <v>3540</v>
      </c>
      <c r="C49" s="240" t="s">
        <v>3541</v>
      </c>
      <c r="D49" s="350">
        <v>44730.88</v>
      </c>
      <c r="E49" s="350">
        <v>266472.95</v>
      </c>
      <c r="F49" s="351">
        <v>13743.97</v>
      </c>
      <c r="G49" s="351">
        <v>74309.91</v>
      </c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</row>
    <row r="50" spans="1:51" s="239" customFormat="1" ht="38.25" hidden="1" outlineLevel="1">
      <c r="A50" s="239" t="s">
        <v>3542</v>
      </c>
      <c r="B50" s="239" t="s">
        <v>3543</v>
      </c>
      <c r="C50" s="240" t="s">
        <v>3544</v>
      </c>
      <c r="D50" s="350">
        <v>155500.87</v>
      </c>
      <c r="E50" s="350">
        <v>81720.93</v>
      </c>
      <c r="F50" s="351">
        <v>1300</v>
      </c>
      <c r="G50" s="351">
        <v>0</v>
      </c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</row>
    <row r="51" spans="1:51" s="239" customFormat="1" ht="38.25" hidden="1" outlineLevel="1">
      <c r="A51" s="239" t="s">
        <v>3548</v>
      </c>
      <c r="B51" s="239" t="s">
        <v>3549</v>
      </c>
      <c r="C51" s="240" t="s">
        <v>3550</v>
      </c>
      <c r="D51" s="350">
        <v>5157.17</v>
      </c>
      <c r="E51" s="350">
        <v>-10697.56</v>
      </c>
      <c r="F51" s="351">
        <v>5700.04</v>
      </c>
      <c r="G51" s="351">
        <v>-810.16</v>
      </c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</row>
    <row r="52" spans="1:51" ht="12.75" customHeight="1" collapsed="1">
      <c r="A52" s="118" t="s">
        <v>785</v>
      </c>
      <c r="B52" s="306" t="s">
        <v>1066</v>
      </c>
      <c r="C52" s="348"/>
      <c r="D52" s="298">
        <v>586930.46</v>
      </c>
      <c r="E52" s="298">
        <v>922771.18</v>
      </c>
      <c r="F52" s="298">
        <v>1066704.63</v>
      </c>
      <c r="G52" s="298">
        <v>231138.91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</row>
    <row r="53" spans="1:51" s="239" customFormat="1" ht="38.25" hidden="1" outlineLevel="1">
      <c r="A53" s="239" t="s">
        <v>794</v>
      </c>
      <c r="B53" s="239" t="s">
        <v>795</v>
      </c>
      <c r="C53" s="240" t="s">
        <v>796</v>
      </c>
      <c r="D53" s="350">
        <v>57.68</v>
      </c>
      <c r="E53" s="350">
        <v>959.15</v>
      </c>
      <c r="F53" s="351">
        <v>122852.24</v>
      </c>
      <c r="G53" s="351">
        <v>0</v>
      </c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</row>
    <row r="54" spans="1:51" s="239" customFormat="1" ht="38.25" hidden="1" outlineLevel="1">
      <c r="A54" s="239" t="s">
        <v>797</v>
      </c>
      <c r="B54" s="239" t="s">
        <v>798</v>
      </c>
      <c r="C54" s="240" t="s">
        <v>799</v>
      </c>
      <c r="D54" s="350">
        <v>0</v>
      </c>
      <c r="E54" s="350">
        <v>0</v>
      </c>
      <c r="F54" s="351">
        <v>675.16</v>
      </c>
      <c r="G54" s="351">
        <v>0</v>
      </c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</row>
    <row r="55" spans="1:51" s="239" customFormat="1" ht="38.25" hidden="1" outlineLevel="1">
      <c r="A55" s="239" t="s">
        <v>800</v>
      </c>
      <c r="B55" s="239" t="s">
        <v>801</v>
      </c>
      <c r="C55" s="240" t="s">
        <v>802</v>
      </c>
      <c r="D55" s="350">
        <v>44722.79</v>
      </c>
      <c r="E55" s="350">
        <v>59297.26</v>
      </c>
      <c r="F55" s="351">
        <v>70172.99</v>
      </c>
      <c r="G55" s="351">
        <v>12980.31</v>
      </c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</row>
    <row r="56" spans="1:51" s="239" customFormat="1" ht="38.25" hidden="1" outlineLevel="1">
      <c r="A56" s="239" t="s">
        <v>803</v>
      </c>
      <c r="B56" s="239" t="s">
        <v>804</v>
      </c>
      <c r="C56" s="240" t="s">
        <v>805</v>
      </c>
      <c r="D56" s="350">
        <v>9474.41</v>
      </c>
      <c r="E56" s="350">
        <v>26900.8</v>
      </c>
      <c r="F56" s="351">
        <v>57674.31</v>
      </c>
      <c r="G56" s="351">
        <v>537.36</v>
      </c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</row>
    <row r="57" spans="1:51" s="239" customFormat="1" ht="38.25" hidden="1" outlineLevel="1">
      <c r="A57" s="239" t="s">
        <v>806</v>
      </c>
      <c r="B57" s="239" t="s">
        <v>807</v>
      </c>
      <c r="C57" s="240" t="s">
        <v>808</v>
      </c>
      <c r="D57" s="350">
        <v>11867.18</v>
      </c>
      <c r="E57" s="350">
        <v>-0.95</v>
      </c>
      <c r="F57" s="351">
        <v>0</v>
      </c>
      <c r="G57" s="351">
        <v>0</v>
      </c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</row>
    <row r="58" spans="1:51" s="239" customFormat="1" ht="38.25" hidden="1" outlineLevel="1">
      <c r="A58" s="239" t="s">
        <v>809</v>
      </c>
      <c r="B58" s="239" t="s">
        <v>810</v>
      </c>
      <c r="C58" s="240" t="s">
        <v>811</v>
      </c>
      <c r="D58" s="350">
        <v>35060.16</v>
      </c>
      <c r="E58" s="350">
        <v>19651.62</v>
      </c>
      <c r="F58" s="351">
        <v>14408.18</v>
      </c>
      <c r="G58" s="351">
        <v>16432.36</v>
      </c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</row>
    <row r="59" spans="1:51" s="239" customFormat="1" ht="38.25" hidden="1" outlineLevel="1">
      <c r="A59" s="239" t="s">
        <v>812</v>
      </c>
      <c r="B59" s="239" t="s">
        <v>813</v>
      </c>
      <c r="C59" s="240" t="s">
        <v>814</v>
      </c>
      <c r="D59" s="350">
        <v>0</v>
      </c>
      <c r="E59" s="350">
        <v>46208.67</v>
      </c>
      <c r="F59" s="351">
        <v>0</v>
      </c>
      <c r="G59" s="351">
        <v>11439.73</v>
      </c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</row>
    <row r="60" spans="1:51" s="239" customFormat="1" ht="38.25" hidden="1" outlineLevel="1">
      <c r="A60" s="239" t="s">
        <v>815</v>
      </c>
      <c r="B60" s="239" t="s">
        <v>816</v>
      </c>
      <c r="C60" s="240" t="s">
        <v>817</v>
      </c>
      <c r="D60" s="350">
        <v>3218.94</v>
      </c>
      <c r="E60" s="350">
        <v>66599.58</v>
      </c>
      <c r="F60" s="351">
        <v>1051.4</v>
      </c>
      <c r="G60" s="351">
        <v>17358.36</v>
      </c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</row>
    <row r="61" spans="1:51" s="239" customFormat="1" ht="38.25" hidden="1" outlineLevel="1">
      <c r="A61" s="239" t="s">
        <v>818</v>
      </c>
      <c r="B61" s="239" t="s">
        <v>819</v>
      </c>
      <c r="C61" s="240" t="s">
        <v>820</v>
      </c>
      <c r="D61" s="350">
        <v>1090</v>
      </c>
      <c r="E61" s="350">
        <v>8425.67</v>
      </c>
      <c r="F61" s="351">
        <v>0</v>
      </c>
      <c r="G61" s="351"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</row>
    <row r="62" spans="1:51" s="239" customFormat="1" ht="38.25" hidden="1" outlineLevel="1">
      <c r="A62" s="239" t="s">
        <v>821</v>
      </c>
      <c r="B62" s="239" t="s">
        <v>822</v>
      </c>
      <c r="C62" s="240" t="s">
        <v>823</v>
      </c>
      <c r="D62" s="350">
        <v>0</v>
      </c>
      <c r="E62" s="350">
        <v>0</v>
      </c>
      <c r="F62" s="351">
        <v>3267.86</v>
      </c>
      <c r="G62" s="351">
        <v>0</v>
      </c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</row>
    <row r="63" spans="1:51" s="239" customFormat="1" ht="38.25" hidden="1" outlineLevel="1">
      <c r="A63" s="239" t="s">
        <v>900</v>
      </c>
      <c r="B63" s="239" t="s">
        <v>901</v>
      </c>
      <c r="C63" s="240" t="s">
        <v>902</v>
      </c>
      <c r="D63" s="350">
        <v>0</v>
      </c>
      <c r="E63" s="350">
        <v>56202.08</v>
      </c>
      <c r="F63" s="351">
        <v>0</v>
      </c>
      <c r="G63" s="351">
        <v>0</v>
      </c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</row>
    <row r="64" spans="1:51" s="239" customFormat="1" ht="38.25" hidden="1" outlineLevel="1">
      <c r="A64" s="239" t="s">
        <v>824</v>
      </c>
      <c r="B64" s="239" t="s">
        <v>825</v>
      </c>
      <c r="C64" s="240" t="s">
        <v>826</v>
      </c>
      <c r="D64" s="350">
        <v>-653.2</v>
      </c>
      <c r="E64" s="350">
        <v>-5365.04</v>
      </c>
      <c r="F64" s="351">
        <v>-1775.01</v>
      </c>
      <c r="G64" s="351">
        <v>-499.28</v>
      </c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</row>
    <row r="65" spans="1:51" ht="12.75" customHeight="1" collapsed="1">
      <c r="A65" s="118" t="s">
        <v>830</v>
      </c>
      <c r="B65" s="306" t="s">
        <v>1067</v>
      </c>
      <c r="C65" s="348"/>
      <c r="D65" s="298">
        <v>104837.96</v>
      </c>
      <c r="E65" s="298">
        <v>278878.84</v>
      </c>
      <c r="F65" s="298">
        <v>268327.13</v>
      </c>
      <c r="G65" s="298">
        <v>58248.84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</row>
    <row r="66" spans="1:51" s="239" customFormat="1" ht="38.25" hidden="1" outlineLevel="1">
      <c r="A66" s="239" t="s">
        <v>1789</v>
      </c>
      <c r="B66" s="239" t="s">
        <v>1790</v>
      </c>
      <c r="C66" s="240" t="s">
        <v>1791</v>
      </c>
      <c r="D66" s="350">
        <v>391394.77</v>
      </c>
      <c r="E66" s="350">
        <v>0</v>
      </c>
      <c r="F66" s="351">
        <v>0</v>
      </c>
      <c r="G66" s="351">
        <v>0</v>
      </c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</row>
    <row r="67" spans="1:51" s="239" customFormat="1" ht="38.25" hidden="1" outlineLevel="1">
      <c r="A67" s="239" t="s">
        <v>1792</v>
      </c>
      <c r="B67" s="239" t="s">
        <v>1793</v>
      </c>
      <c r="C67" s="240" t="s">
        <v>1794</v>
      </c>
      <c r="D67" s="350">
        <v>92759.4</v>
      </c>
      <c r="E67" s="350">
        <v>0</v>
      </c>
      <c r="F67" s="351">
        <v>0</v>
      </c>
      <c r="G67" s="351">
        <v>0</v>
      </c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</row>
    <row r="68" spans="1:51" s="239" customFormat="1" ht="38.25" hidden="1" outlineLevel="1">
      <c r="A68" s="239" t="s">
        <v>1813</v>
      </c>
      <c r="B68" s="239" t="s">
        <v>1814</v>
      </c>
      <c r="C68" s="240" t="s">
        <v>1815</v>
      </c>
      <c r="D68" s="350">
        <v>158439.15</v>
      </c>
      <c r="E68" s="350">
        <v>0</v>
      </c>
      <c r="F68" s="351">
        <v>0</v>
      </c>
      <c r="G68" s="351">
        <v>0</v>
      </c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</row>
    <row r="69" spans="1:51" s="239" customFormat="1" ht="38.25" hidden="1" outlineLevel="1">
      <c r="A69" s="239" t="s">
        <v>1816</v>
      </c>
      <c r="B69" s="239" t="s">
        <v>1817</v>
      </c>
      <c r="C69" s="240" t="s">
        <v>1818</v>
      </c>
      <c r="D69" s="350">
        <v>38591.97</v>
      </c>
      <c r="E69" s="350">
        <v>0</v>
      </c>
      <c r="F69" s="351">
        <v>0</v>
      </c>
      <c r="G69" s="351">
        <v>0</v>
      </c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</row>
    <row r="70" spans="1:51" s="239" customFormat="1" ht="38.25" hidden="1" outlineLevel="1">
      <c r="A70" s="239" t="s">
        <v>1819</v>
      </c>
      <c r="B70" s="239" t="s">
        <v>1820</v>
      </c>
      <c r="C70" s="240" t="s">
        <v>1821</v>
      </c>
      <c r="D70" s="350">
        <v>697213.97</v>
      </c>
      <c r="E70" s="350">
        <v>0</v>
      </c>
      <c r="F70" s="351">
        <v>0</v>
      </c>
      <c r="G70" s="351">
        <v>0</v>
      </c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</row>
    <row r="71" spans="1:51" s="239" customFormat="1" ht="38.25" hidden="1" outlineLevel="1">
      <c r="A71" s="239" t="s">
        <v>1822</v>
      </c>
      <c r="B71" s="239" t="s">
        <v>1823</v>
      </c>
      <c r="C71" s="240" t="s">
        <v>1824</v>
      </c>
      <c r="D71" s="350">
        <v>307343.04</v>
      </c>
      <c r="E71" s="350">
        <v>0</v>
      </c>
      <c r="F71" s="351">
        <v>0</v>
      </c>
      <c r="G71" s="351">
        <v>0</v>
      </c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</row>
    <row r="72" spans="1:51" s="239" customFormat="1" ht="38.25" hidden="1" outlineLevel="1">
      <c r="A72" s="239" t="s">
        <v>1840</v>
      </c>
      <c r="B72" s="239" t="s">
        <v>1841</v>
      </c>
      <c r="C72" s="240" t="s">
        <v>1842</v>
      </c>
      <c r="D72" s="350">
        <v>234670.05</v>
      </c>
      <c r="E72" s="350">
        <v>0</v>
      </c>
      <c r="F72" s="351">
        <v>0</v>
      </c>
      <c r="G72" s="351">
        <v>0</v>
      </c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</row>
    <row r="73" spans="1:51" s="239" customFormat="1" ht="38.25" hidden="1" outlineLevel="1">
      <c r="A73" s="239" t="s">
        <v>1843</v>
      </c>
      <c r="B73" s="239" t="s">
        <v>1844</v>
      </c>
      <c r="C73" s="240" t="s">
        <v>1845</v>
      </c>
      <c r="D73" s="350">
        <v>2527691.52</v>
      </c>
      <c r="E73" s="350">
        <v>0</v>
      </c>
      <c r="F73" s="351">
        <v>0</v>
      </c>
      <c r="G73" s="351">
        <v>0</v>
      </c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</row>
    <row r="74" spans="1:51" s="239" customFormat="1" ht="38.25" hidden="1" outlineLevel="1">
      <c r="A74" s="239" t="s">
        <v>1846</v>
      </c>
      <c r="B74" s="239" t="s">
        <v>1847</v>
      </c>
      <c r="C74" s="240" t="s">
        <v>1848</v>
      </c>
      <c r="D74" s="350">
        <v>235730.94</v>
      </c>
      <c r="E74" s="350">
        <v>0</v>
      </c>
      <c r="F74" s="351">
        <v>0</v>
      </c>
      <c r="G74" s="351">
        <v>0</v>
      </c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</row>
    <row r="75" spans="1:51" ht="12.75" customHeight="1" collapsed="1">
      <c r="A75" s="118" t="s">
        <v>2941</v>
      </c>
      <c r="B75" s="306" t="s">
        <v>1068</v>
      </c>
      <c r="C75" s="348"/>
      <c r="D75" s="298">
        <v>4683834.81</v>
      </c>
      <c r="E75" s="298">
        <v>0</v>
      </c>
      <c r="F75" s="298">
        <v>0</v>
      </c>
      <c r="G75" s="298">
        <v>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</row>
    <row r="76" spans="1:51" s="239" customFormat="1" ht="38.25" hidden="1" outlineLevel="1">
      <c r="A76" s="239" t="s">
        <v>2291</v>
      </c>
      <c r="B76" s="239" t="s">
        <v>2292</v>
      </c>
      <c r="C76" s="240" t="s">
        <v>2293</v>
      </c>
      <c r="D76" s="350">
        <v>15442.83</v>
      </c>
      <c r="E76" s="350">
        <v>0</v>
      </c>
      <c r="F76" s="351">
        <v>0</v>
      </c>
      <c r="G76" s="351">
        <v>0</v>
      </c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</row>
    <row r="77" spans="1:51" s="239" customFormat="1" ht="38.25" hidden="1" outlineLevel="1">
      <c r="A77" s="239" t="s">
        <v>2294</v>
      </c>
      <c r="B77" s="239" t="s">
        <v>2295</v>
      </c>
      <c r="C77" s="240" t="s">
        <v>2296</v>
      </c>
      <c r="D77" s="350">
        <v>18660</v>
      </c>
      <c r="E77" s="350">
        <v>0</v>
      </c>
      <c r="F77" s="351">
        <v>0</v>
      </c>
      <c r="G77" s="351">
        <v>0</v>
      </c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</row>
    <row r="78" spans="1:51" s="239" customFormat="1" ht="38.25" hidden="1" outlineLevel="1">
      <c r="A78" s="239" t="s">
        <v>2297</v>
      </c>
      <c r="B78" s="239" t="s">
        <v>2298</v>
      </c>
      <c r="C78" s="240" t="s">
        <v>2299</v>
      </c>
      <c r="D78" s="350">
        <v>23760</v>
      </c>
      <c r="E78" s="350">
        <v>0</v>
      </c>
      <c r="F78" s="351">
        <v>0</v>
      </c>
      <c r="G78" s="351">
        <v>0</v>
      </c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</row>
    <row r="79" spans="1:51" s="239" customFormat="1" ht="38.25" hidden="1" outlineLevel="1">
      <c r="A79" s="239" t="s">
        <v>2303</v>
      </c>
      <c r="B79" s="239" t="s">
        <v>2304</v>
      </c>
      <c r="C79" s="240" t="s">
        <v>2305</v>
      </c>
      <c r="D79" s="350">
        <v>0</v>
      </c>
      <c r="E79" s="350">
        <v>189478.62</v>
      </c>
      <c r="F79" s="351">
        <v>0</v>
      </c>
      <c r="G79" s="351">
        <v>11331.12</v>
      </c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</row>
    <row r="80" spans="1:51" s="239" customFormat="1" ht="38.25" hidden="1" outlineLevel="1">
      <c r="A80" s="239" t="s">
        <v>2306</v>
      </c>
      <c r="B80" s="239" t="s">
        <v>2307</v>
      </c>
      <c r="C80" s="240" t="s">
        <v>2308</v>
      </c>
      <c r="D80" s="350">
        <v>0</v>
      </c>
      <c r="E80" s="350">
        <v>104042.62</v>
      </c>
      <c r="F80" s="351">
        <v>0</v>
      </c>
      <c r="G80" s="351">
        <v>0</v>
      </c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</row>
    <row r="81" spans="1:51" s="239" customFormat="1" ht="38.25" hidden="1" outlineLevel="1">
      <c r="A81" s="239" t="s">
        <v>2309</v>
      </c>
      <c r="B81" s="239" t="s">
        <v>2310</v>
      </c>
      <c r="C81" s="240" t="s">
        <v>2311</v>
      </c>
      <c r="D81" s="350">
        <v>0</v>
      </c>
      <c r="E81" s="350">
        <v>364327.88</v>
      </c>
      <c r="F81" s="351">
        <v>0</v>
      </c>
      <c r="G81" s="351">
        <v>0</v>
      </c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</row>
    <row r="82" spans="1:51" s="239" customFormat="1" ht="38.25" hidden="1" outlineLevel="1">
      <c r="A82" s="239" t="s">
        <v>2312</v>
      </c>
      <c r="B82" s="239" t="s">
        <v>2313</v>
      </c>
      <c r="C82" s="240" t="s">
        <v>2314</v>
      </c>
      <c r="D82" s="350">
        <v>0</v>
      </c>
      <c r="E82" s="350">
        <v>0</v>
      </c>
      <c r="F82" s="351">
        <v>0</v>
      </c>
      <c r="G82" s="351">
        <v>4596.62</v>
      </c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</row>
    <row r="83" spans="1:51" s="239" customFormat="1" ht="38.25" hidden="1" outlineLevel="1">
      <c r="A83" s="239" t="s">
        <v>2315</v>
      </c>
      <c r="B83" s="239" t="s">
        <v>2316</v>
      </c>
      <c r="C83" s="240" t="s">
        <v>2317</v>
      </c>
      <c r="D83" s="350">
        <v>0</v>
      </c>
      <c r="E83" s="350">
        <v>6240.43</v>
      </c>
      <c r="F83" s="351">
        <v>0</v>
      </c>
      <c r="G83" s="351">
        <v>0</v>
      </c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</row>
    <row r="84" spans="1:51" ht="12.75" customHeight="1" collapsed="1">
      <c r="A84" s="118" t="s">
        <v>2942</v>
      </c>
      <c r="B84" s="306" t="s">
        <v>1069</v>
      </c>
      <c r="C84" s="348"/>
      <c r="D84" s="298">
        <v>57862.83</v>
      </c>
      <c r="E84" s="298">
        <v>664089.55</v>
      </c>
      <c r="F84" s="298">
        <v>0</v>
      </c>
      <c r="G84" s="298">
        <v>15927.74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</row>
    <row r="85" spans="1:51" s="239" customFormat="1" ht="38.25" hidden="1" outlineLevel="1">
      <c r="A85" s="239" t="s">
        <v>1993</v>
      </c>
      <c r="B85" s="239" t="s">
        <v>1994</v>
      </c>
      <c r="C85" s="240" t="s">
        <v>1995</v>
      </c>
      <c r="D85" s="350">
        <v>39156.67</v>
      </c>
      <c r="E85" s="350">
        <v>96985.01</v>
      </c>
      <c r="F85" s="351">
        <v>35201.08</v>
      </c>
      <c r="G85" s="351">
        <v>36443.66</v>
      </c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</row>
    <row r="86" spans="1:51" s="239" customFormat="1" ht="38.25" hidden="1" outlineLevel="1">
      <c r="A86" s="239" t="s">
        <v>1996</v>
      </c>
      <c r="B86" s="239" t="s">
        <v>1997</v>
      </c>
      <c r="C86" s="240" t="s">
        <v>1998</v>
      </c>
      <c r="D86" s="350">
        <v>9448.36</v>
      </c>
      <c r="E86" s="350">
        <v>4651.94</v>
      </c>
      <c r="F86" s="351">
        <v>1243.12</v>
      </c>
      <c r="G86" s="351">
        <v>58.65</v>
      </c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</row>
    <row r="87" spans="1:51" s="239" customFormat="1" ht="38.25" hidden="1" outlineLevel="1">
      <c r="A87" s="239" t="s">
        <v>1999</v>
      </c>
      <c r="B87" s="239" t="s">
        <v>2000</v>
      </c>
      <c r="C87" s="240" t="s">
        <v>2001</v>
      </c>
      <c r="D87" s="350">
        <v>0</v>
      </c>
      <c r="E87" s="350">
        <v>299</v>
      </c>
      <c r="F87" s="351">
        <v>0</v>
      </c>
      <c r="G87" s="351">
        <v>0</v>
      </c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</row>
    <row r="88" spans="1:51" s="239" customFormat="1" ht="38.25" hidden="1" outlineLevel="1">
      <c r="A88" s="239" t="s">
        <v>2008</v>
      </c>
      <c r="B88" s="239" t="s">
        <v>2009</v>
      </c>
      <c r="C88" s="240" t="s">
        <v>2010</v>
      </c>
      <c r="D88" s="350">
        <v>0</v>
      </c>
      <c r="E88" s="350">
        <v>752.93</v>
      </c>
      <c r="F88" s="351">
        <v>577.74</v>
      </c>
      <c r="G88" s="351">
        <v>0</v>
      </c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</row>
    <row r="89" spans="1:51" s="239" customFormat="1" ht="38.25" hidden="1" outlineLevel="1">
      <c r="A89" s="239" t="s">
        <v>2014</v>
      </c>
      <c r="B89" s="239" t="s">
        <v>2015</v>
      </c>
      <c r="C89" s="240" t="s">
        <v>2016</v>
      </c>
      <c r="D89" s="350">
        <v>0</v>
      </c>
      <c r="E89" s="350">
        <v>0</v>
      </c>
      <c r="F89" s="351">
        <v>158594.08</v>
      </c>
      <c r="G89" s="351">
        <v>0</v>
      </c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</row>
    <row r="90" spans="1:51" s="239" customFormat="1" ht="38.25" hidden="1" outlineLevel="1">
      <c r="A90" s="239" t="s">
        <v>2017</v>
      </c>
      <c r="B90" s="239" t="s">
        <v>2018</v>
      </c>
      <c r="C90" s="240" t="s">
        <v>2019</v>
      </c>
      <c r="D90" s="350">
        <v>0</v>
      </c>
      <c r="E90" s="350">
        <v>100.4</v>
      </c>
      <c r="F90" s="351">
        <v>0</v>
      </c>
      <c r="G90" s="351">
        <v>0</v>
      </c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</row>
    <row r="91" spans="1:51" s="239" customFormat="1" ht="38.25" hidden="1" outlineLevel="1">
      <c r="A91" s="239" t="s">
        <v>2026</v>
      </c>
      <c r="B91" s="239" t="s">
        <v>2027</v>
      </c>
      <c r="C91" s="240" t="s">
        <v>2028</v>
      </c>
      <c r="D91" s="350">
        <v>0</v>
      </c>
      <c r="E91" s="350">
        <v>469.75</v>
      </c>
      <c r="F91" s="351">
        <v>0</v>
      </c>
      <c r="G91" s="351">
        <v>0</v>
      </c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</row>
    <row r="92" spans="1:51" s="239" customFormat="1" ht="38.25" hidden="1" outlineLevel="1">
      <c r="A92" s="239" t="s">
        <v>2032</v>
      </c>
      <c r="B92" s="239" t="s">
        <v>2033</v>
      </c>
      <c r="C92" s="240" t="s">
        <v>2034</v>
      </c>
      <c r="D92" s="350">
        <v>880.22</v>
      </c>
      <c r="E92" s="350">
        <v>191.55</v>
      </c>
      <c r="F92" s="351">
        <v>2946.85</v>
      </c>
      <c r="G92" s="351">
        <v>2196.7</v>
      </c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</row>
    <row r="93" spans="1:51" s="239" customFormat="1" ht="38.25" hidden="1" outlineLevel="1">
      <c r="A93" s="239" t="s">
        <v>2041</v>
      </c>
      <c r="B93" s="239" t="s">
        <v>2042</v>
      </c>
      <c r="C93" s="240" t="s">
        <v>2043</v>
      </c>
      <c r="D93" s="350">
        <v>0</v>
      </c>
      <c r="E93" s="350">
        <v>0</v>
      </c>
      <c r="F93" s="351">
        <v>18022.65</v>
      </c>
      <c r="G93" s="351">
        <v>0</v>
      </c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</row>
    <row r="94" spans="1:51" s="239" customFormat="1" ht="38.25" hidden="1" outlineLevel="1">
      <c r="A94" s="239" t="s">
        <v>2044</v>
      </c>
      <c r="B94" s="239" t="s">
        <v>2045</v>
      </c>
      <c r="C94" s="240" t="s">
        <v>2046</v>
      </c>
      <c r="D94" s="350">
        <v>0</v>
      </c>
      <c r="E94" s="350">
        <v>19214.01</v>
      </c>
      <c r="F94" s="351">
        <v>0</v>
      </c>
      <c r="G94" s="351">
        <v>0</v>
      </c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</row>
    <row r="95" spans="1:51" s="239" customFormat="1" ht="38.25" hidden="1" outlineLevel="1">
      <c r="A95" s="239" t="s">
        <v>2047</v>
      </c>
      <c r="B95" s="239" t="s">
        <v>2048</v>
      </c>
      <c r="C95" s="240" t="s">
        <v>2049</v>
      </c>
      <c r="D95" s="350">
        <v>0</v>
      </c>
      <c r="E95" s="350">
        <v>20</v>
      </c>
      <c r="F95" s="351">
        <v>0</v>
      </c>
      <c r="G95" s="351">
        <v>0</v>
      </c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</row>
    <row r="96" spans="1:51" s="239" customFormat="1" ht="38.25" hidden="1" outlineLevel="1">
      <c r="A96" s="239" t="s">
        <v>2071</v>
      </c>
      <c r="B96" s="239" t="s">
        <v>2072</v>
      </c>
      <c r="C96" s="240" t="s">
        <v>2073</v>
      </c>
      <c r="D96" s="350">
        <v>0</v>
      </c>
      <c r="E96" s="350">
        <v>74.16</v>
      </c>
      <c r="F96" s="351">
        <v>0</v>
      </c>
      <c r="G96" s="351">
        <v>0</v>
      </c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</row>
    <row r="97" spans="1:51" s="239" customFormat="1" ht="38.25" hidden="1" outlineLevel="1">
      <c r="A97" s="239" t="s">
        <v>2074</v>
      </c>
      <c r="B97" s="239" t="s">
        <v>2075</v>
      </c>
      <c r="C97" s="240" t="s">
        <v>2076</v>
      </c>
      <c r="D97" s="350">
        <v>0</v>
      </c>
      <c r="E97" s="350">
        <v>127</v>
      </c>
      <c r="F97" s="351">
        <v>0</v>
      </c>
      <c r="G97" s="351">
        <v>0</v>
      </c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</row>
    <row r="98" spans="1:51" s="239" customFormat="1" ht="38.25" hidden="1" outlineLevel="1">
      <c r="A98" s="239" t="s">
        <v>2089</v>
      </c>
      <c r="B98" s="239" t="s">
        <v>2090</v>
      </c>
      <c r="C98" s="240" t="s">
        <v>2091</v>
      </c>
      <c r="D98" s="350">
        <v>0</v>
      </c>
      <c r="E98" s="350">
        <v>0</v>
      </c>
      <c r="F98" s="351">
        <v>764.32</v>
      </c>
      <c r="G98" s="351">
        <v>0</v>
      </c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</row>
    <row r="99" spans="1:51" s="239" customFormat="1" ht="38.25" hidden="1" outlineLevel="1">
      <c r="A99" s="239" t="s">
        <v>2092</v>
      </c>
      <c r="B99" s="239" t="s">
        <v>2093</v>
      </c>
      <c r="C99" s="240" t="s">
        <v>2094</v>
      </c>
      <c r="D99" s="350">
        <v>0</v>
      </c>
      <c r="E99" s="350">
        <v>0</v>
      </c>
      <c r="F99" s="351">
        <v>390</v>
      </c>
      <c r="G99" s="351">
        <v>0</v>
      </c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</row>
    <row r="100" spans="1:51" s="239" customFormat="1" ht="38.25" hidden="1" outlineLevel="1">
      <c r="A100" s="239" t="s">
        <v>2095</v>
      </c>
      <c r="B100" s="239" t="s">
        <v>2096</v>
      </c>
      <c r="C100" s="240" t="s">
        <v>2097</v>
      </c>
      <c r="D100" s="350">
        <v>176.4</v>
      </c>
      <c r="E100" s="350">
        <v>0</v>
      </c>
      <c r="F100" s="351">
        <v>0</v>
      </c>
      <c r="G100" s="351">
        <v>0</v>
      </c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</row>
    <row r="101" spans="1:51" s="239" customFormat="1" ht="38.25" hidden="1" outlineLevel="1">
      <c r="A101" s="239" t="s">
        <v>2134</v>
      </c>
      <c r="B101" s="239" t="s">
        <v>2135</v>
      </c>
      <c r="C101" s="240" t="s">
        <v>2136</v>
      </c>
      <c r="D101" s="350">
        <v>0</v>
      </c>
      <c r="E101" s="350">
        <v>197.54</v>
      </c>
      <c r="F101" s="351">
        <v>200</v>
      </c>
      <c r="G101" s="351">
        <v>0</v>
      </c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</row>
    <row r="102" spans="1:51" s="239" customFormat="1" ht="38.25" hidden="1" outlineLevel="1">
      <c r="A102" s="239" t="s">
        <v>2137</v>
      </c>
      <c r="B102" s="239" t="s">
        <v>2138</v>
      </c>
      <c r="C102" s="240" t="s">
        <v>2139</v>
      </c>
      <c r="D102" s="350">
        <v>1167</v>
      </c>
      <c r="E102" s="350">
        <v>9814.74</v>
      </c>
      <c r="F102" s="351">
        <v>0</v>
      </c>
      <c r="G102" s="351">
        <v>3783.48</v>
      </c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</row>
    <row r="103" spans="1:51" s="239" customFormat="1" ht="38.25" hidden="1" outlineLevel="1">
      <c r="A103" s="239" t="s">
        <v>2143</v>
      </c>
      <c r="B103" s="239" t="s">
        <v>2144</v>
      </c>
      <c r="C103" s="240" t="s">
        <v>2145</v>
      </c>
      <c r="D103" s="350">
        <v>0</v>
      </c>
      <c r="E103" s="350">
        <v>1061.26</v>
      </c>
      <c r="F103" s="351">
        <v>0</v>
      </c>
      <c r="G103" s="351">
        <v>0</v>
      </c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</row>
    <row r="104" spans="1:51" s="239" customFormat="1" ht="38.25" hidden="1" outlineLevel="1">
      <c r="A104" s="239" t="s">
        <v>2152</v>
      </c>
      <c r="B104" s="239" t="s">
        <v>2153</v>
      </c>
      <c r="C104" s="240" t="s">
        <v>2154</v>
      </c>
      <c r="D104" s="350">
        <v>0</v>
      </c>
      <c r="E104" s="350">
        <v>36539.76</v>
      </c>
      <c r="F104" s="351">
        <v>0</v>
      </c>
      <c r="G104" s="351">
        <v>0</v>
      </c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</row>
    <row r="105" spans="1:51" s="239" customFormat="1" ht="38.25" hidden="1" outlineLevel="1">
      <c r="A105" s="239" t="s">
        <v>921</v>
      </c>
      <c r="B105" s="239" t="s">
        <v>922</v>
      </c>
      <c r="C105" s="240" t="s">
        <v>923</v>
      </c>
      <c r="D105" s="350">
        <v>0</v>
      </c>
      <c r="E105" s="350">
        <v>0</v>
      </c>
      <c r="F105" s="351">
        <v>186.04</v>
      </c>
      <c r="G105" s="351">
        <v>0</v>
      </c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</row>
    <row r="106" spans="1:51" s="239" customFormat="1" ht="38.25" hidden="1" outlineLevel="1">
      <c r="A106" s="239" t="s">
        <v>2257</v>
      </c>
      <c r="B106" s="239" t="s">
        <v>2258</v>
      </c>
      <c r="C106" s="240" t="s">
        <v>2259</v>
      </c>
      <c r="D106" s="350">
        <v>6648.19</v>
      </c>
      <c r="E106" s="350">
        <v>8286.94</v>
      </c>
      <c r="F106" s="351">
        <v>9853.61</v>
      </c>
      <c r="G106" s="351">
        <v>12565.92</v>
      </c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</row>
    <row r="107" spans="1:51" s="239" customFormat="1" ht="38.25" hidden="1" outlineLevel="1">
      <c r="A107" s="239" t="s">
        <v>2272</v>
      </c>
      <c r="B107" s="239" t="s">
        <v>2273</v>
      </c>
      <c r="C107" s="240" t="s">
        <v>2274</v>
      </c>
      <c r="D107" s="350">
        <v>0</v>
      </c>
      <c r="E107" s="350">
        <v>0</v>
      </c>
      <c r="F107" s="351">
        <v>33637</v>
      </c>
      <c r="G107" s="351">
        <v>4000</v>
      </c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</row>
    <row r="108" spans="1:51" s="239" customFormat="1" ht="38.25" hidden="1" outlineLevel="1">
      <c r="A108" s="239" t="s">
        <v>2275</v>
      </c>
      <c r="B108" s="239" t="s">
        <v>2276</v>
      </c>
      <c r="C108" s="240" t="s">
        <v>2277</v>
      </c>
      <c r="D108" s="350">
        <v>0</v>
      </c>
      <c r="E108" s="350">
        <v>9600</v>
      </c>
      <c r="F108" s="351">
        <v>12439</v>
      </c>
      <c r="G108" s="351">
        <v>0</v>
      </c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</row>
    <row r="109" spans="1:51" s="239" customFormat="1" ht="38.25" hidden="1" outlineLevel="1">
      <c r="A109" s="239" t="s">
        <v>2278</v>
      </c>
      <c r="B109" s="239" t="s">
        <v>944</v>
      </c>
      <c r="C109" s="240" t="s">
        <v>2279</v>
      </c>
      <c r="D109" s="350">
        <v>0</v>
      </c>
      <c r="E109" s="350">
        <v>0</v>
      </c>
      <c r="F109" s="351">
        <v>16918.55</v>
      </c>
      <c r="G109" s="351">
        <v>19495.66</v>
      </c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57"/>
      <c r="AY109" s="257"/>
    </row>
    <row r="110" spans="1:51" s="239" customFormat="1" ht="38.25" hidden="1" outlineLevel="1">
      <c r="A110" s="239" t="s">
        <v>2280</v>
      </c>
      <c r="B110" s="239" t="s">
        <v>945</v>
      </c>
      <c r="C110" s="240" t="s">
        <v>2281</v>
      </c>
      <c r="D110" s="350">
        <v>0</v>
      </c>
      <c r="E110" s="350">
        <v>223.3</v>
      </c>
      <c r="F110" s="351">
        <v>0</v>
      </c>
      <c r="G110" s="351">
        <v>24037.04</v>
      </c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57"/>
      <c r="AY110" s="257"/>
    </row>
    <row r="111" spans="1:51" s="239" customFormat="1" ht="38.25" hidden="1" outlineLevel="1">
      <c r="A111" s="239" t="s">
        <v>2282</v>
      </c>
      <c r="B111" s="239" t="s">
        <v>2283</v>
      </c>
      <c r="C111" s="240" t="s">
        <v>2284</v>
      </c>
      <c r="D111" s="350">
        <v>0</v>
      </c>
      <c r="E111" s="350">
        <v>83509.38</v>
      </c>
      <c r="F111" s="351">
        <v>0</v>
      </c>
      <c r="G111" s="351">
        <v>0</v>
      </c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57"/>
      <c r="AY111" s="257"/>
    </row>
    <row r="112" spans="1:51" s="239" customFormat="1" ht="38.25" hidden="1" outlineLevel="1">
      <c r="A112" s="239" t="s">
        <v>2285</v>
      </c>
      <c r="B112" s="239" t="s">
        <v>2286</v>
      </c>
      <c r="C112" s="240" t="s">
        <v>2287</v>
      </c>
      <c r="D112" s="350">
        <v>1065.26</v>
      </c>
      <c r="E112" s="350">
        <v>590454.51</v>
      </c>
      <c r="F112" s="351">
        <v>54.45</v>
      </c>
      <c r="G112" s="351">
        <v>4792.09</v>
      </c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</row>
    <row r="113" spans="1:51" s="239" customFormat="1" ht="38.25" hidden="1" outlineLevel="1">
      <c r="A113" s="239" t="s">
        <v>2288</v>
      </c>
      <c r="B113" s="239" t="s">
        <v>2289</v>
      </c>
      <c r="C113" s="240" t="s">
        <v>2290</v>
      </c>
      <c r="D113" s="350">
        <v>432.32</v>
      </c>
      <c r="E113" s="350">
        <v>17628.75</v>
      </c>
      <c r="F113" s="351">
        <v>47.85</v>
      </c>
      <c r="G113" s="351">
        <v>0</v>
      </c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57"/>
      <c r="AY113" s="257"/>
    </row>
    <row r="114" spans="1:51" ht="12.75" customHeight="1" collapsed="1">
      <c r="A114" s="118" t="s">
        <v>2943</v>
      </c>
      <c r="B114" s="306" t="s">
        <v>1070</v>
      </c>
      <c r="C114" s="348"/>
      <c r="D114" s="298">
        <v>58974.42</v>
      </c>
      <c r="E114" s="298">
        <v>880201.93</v>
      </c>
      <c r="F114" s="298">
        <v>291076.34</v>
      </c>
      <c r="G114" s="298">
        <v>107373.2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</row>
    <row r="115" spans="1:51" s="239" customFormat="1" ht="38.25" hidden="1" outlineLevel="1">
      <c r="A115" s="239" t="s">
        <v>2194</v>
      </c>
      <c r="B115" s="239" t="s">
        <v>2195</v>
      </c>
      <c r="C115" s="240" t="s">
        <v>2196</v>
      </c>
      <c r="D115" s="350">
        <v>4666.94</v>
      </c>
      <c r="E115" s="350">
        <v>17191.21</v>
      </c>
      <c r="F115" s="351">
        <v>296881.04</v>
      </c>
      <c r="G115" s="351">
        <v>0</v>
      </c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</row>
    <row r="116" spans="1:51" s="239" customFormat="1" ht="38.25" hidden="1" outlineLevel="1">
      <c r="A116" s="239" t="s">
        <v>2197</v>
      </c>
      <c r="B116" s="239" t="s">
        <v>2198</v>
      </c>
      <c r="C116" s="240" t="s">
        <v>2199</v>
      </c>
      <c r="D116" s="350">
        <v>0</v>
      </c>
      <c r="E116" s="350">
        <v>17290</v>
      </c>
      <c r="F116" s="351">
        <v>5479.39</v>
      </c>
      <c r="G116" s="351">
        <v>0</v>
      </c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57"/>
    </row>
    <row r="117" spans="1:51" s="239" customFormat="1" ht="38.25" hidden="1" outlineLevel="1">
      <c r="A117" s="239" t="s">
        <v>2200</v>
      </c>
      <c r="B117" s="239" t="s">
        <v>2201</v>
      </c>
      <c r="C117" s="240" t="s">
        <v>2202</v>
      </c>
      <c r="D117" s="350">
        <v>0</v>
      </c>
      <c r="E117" s="350">
        <v>2972.05</v>
      </c>
      <c r="F117" s="351">
        <v>0</v>
      </c>
      <c r="G117" s="351">
        <v>0</v>
      </c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57"/>
    </row>
    <row r="118" spans="1:51" s="239" customFormat="1" ht="38.25" hidden="1" outlineLevel="1">
      <c r="A118" s="239" t="s">
        <v>2209</v>
      </c>
      <c r="B118" s="239" t="s">
        <v>2210</v>
      </c>
      <c r="C118" s="240" t="s">
        <v>2211</v>
      </c>
      <c r="D118" s="350">
        <v>0</v>
      </c>
      <c r="E118" s="350">
        <v>5008.46</v>
      </c>
      <c r="F118" s="351">
        <v>0</v>
      </c>
      <c r="G118" s="351">
        <v>0</v>
      </c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  <c r="AY118" s="257"/>
    </row>
    <row r="119" spans="1:51" s="239" customFormat="1" ht="38.25" hidden="1" outlineLevel="1">
      <c r="A119" s="239" t="s">
        <v>2212</v>
      </c>
      <c r="B119" s="239" t="s">
        <v>2213</v>
      </c>
      <c r="C119" s="240" t="s">
        <v>2214</v>
      </c>
      <c r="D119" s="350">
        <v>52.87</v>
      </c>
      <c r="E119" s="350">
        <v>29309.34</v>
      </c>
      <c r="F119" s="351">
        <v>95.33</v>
      </c>
      <c r="G119" s="351">
        <v>0</v>
      </c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257"/>
    </row>
    <row r="120" spans="1:51" s="239" customFormat="1" ht="38.25" hidden="1" outlineLevel="1">
      <c r="A120" s="239" t="s">
        <v>2218</v>
      </c>
      <c r="B120" s="239" t="s">
        <v>2219</v>
      </c>
      <c r="C120" s="240" t="s">
        <v>2220</v>
      </c>
      <c r="D120" s="350">
        <v>853.83</v>
      </c>
      <c r="E120" s="350">
        <v>421.39</v>
      </c>
      <c r="F120" s="351">
        <v>0</v>
      </c>
      <c r="G120" s="351">
        <v>0</v>
      </c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</row>
    <row r="121" spans="1:51" s="239" customFormat="1" ht="38.25" hidden="1" outlineLevel="1">
      <c r="A121" s="239" t="s">
        <v>2224</v>
      </c>
      <c r="B121" s="239" t="s">
        <v>2225</v>
      </c>
      <c r="C121" s="240" t="s">
        <v>2226</v>
      </c>
      <c r="D121" s="350">
        <v>0</v>
      </c>
      <c r="E121" s="350">
        <v>28098.75</v>
      </c>
      <c r="F121" s="351">
        <v>0</v>
      </c>
      <c r="G121" s="351">
        <v>0</v>
      </c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</row>
    <row r="122" spans="1:51" s="239" customFormat="1" ht="38.25" hidden="1" outlineLevel="1">
      <c r="A122" s="239" t="s">
        <v>2227</v>
      </c>
      <c r="B122" s="239" t="s">
        <v>2228</v>
      </c>
      <c r="C122" s="240" t="s">
        <v>2229</v>
      </c>
      <c r="D122" s="350">
        <v>0</v>
      </c>
      <c r="E122" s="350">
        <v>20</v>
      </c>
      <c r="F122" s="351">
        <v>7470.75</v>
      </c>
      <c r="G122" s="351">
        <v>0</v>
      </c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</row>
    <row r="123" spans="1:51" s="239" customFormat="1" ht="38.25" hidden="1" outlineLevel="1">
      <c r="A123" s="239" t="s">
        <v>2230</v>
      </c>
      <c r="B123" s="239" t="s">
        <v>2231</v>
      </c>
      <c r="C123" s="240" t="s">
        <v>2232</v>
      </c>
      <c r="D123" s="350">
        <v>21599.24</v>
      </c>
      <c r="E123" s="350">
        <v>72596.56</v>
      </c>
      <c r="F123" s="351">
        <v>938</v>
      </c>
      <c r="G123" s="351">
        <v>0</v>
      </c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</row>
    <row r="124" spans="1:51" s="239" customFormat="1" ht="38.25" hidden="1" outlineLevel="1">
      <c r="A124" s="239" t="s">
        <v>2233</v>
      </c>
      <c r="B124" s="239" t="s">
        <v>2234</v>
      </c>
      <c r="C124" s="240" t="s">
        <v>2235</v>
      </c>
      <c r="D124" s="350">
        <v>0</v>
      </c>
      <c r="E124" s="350">
        <v>2107.36</v>
      </c>
      <c r="F124" s="351">
        <v>8578.01</v>
      </c>
      <c r="G124" s="351">
        <v>0</v>
      </c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</row>
    <row r="125" spans="1:51" s="239" customFormat="1" ht="38.25" hidden="1" outlineLevel="1">
      <c r="A125" s="239" t="s">
        <v>2239</v>
      </c>
      <c r="B125" s="239" t="s">
        <v>2240</v>
      </c>
      <c r="C125" s="240" t="s">
        <v>2241</v>
      </c>
      <c r="D125" s="350">
        <v>0</v>
      </c>
      <c r="E125" s="350">
        <v>0</v>
      </c>
      <c r="F125" s="351">
        <v>3839.52</v>
      </c>
      <c r="G125" s="351">
        <v>0</v>
      </c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</row>
    <row r="126" spans="1:51" ht="12.75" customHeight="1" collapsed="1">
      <c r="A126" s="118" t="s">
        <v>2944</v>
      </c>
      <c r="B126" s="306" t="s">
        <v>1071</v>
      </c>
      <c r="C126" s="348"/>
      <c r="D126" s="298">
        <v>27172.88</v>
      </c>
      <c r="E126" s="298">
        <v>175015.12</v>
      </c>
      <c r="F126" s="298">
        <v>323282.04</v>
      </c>
      <c r="G126" s="298">
        <v>0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</row>
    <row r="127" spans="1:51" s="239" customFormat="1" ht="38.25" hidden="1" outlineLevel="1">
      <c r="A127" s="239" t="s">
        <v>834</v>
      </c>
      <c r="B127" s="239" t="s">
        <v>835</v>
      </c>
      <c r="C127" s="240" t="s">
        <v>836</v>
      </c>
      <c r="D127" s="350">
        <v>0</v>
      </c>
      <c r="E127" s="350">
        <v>-5227.1</v>
      </c>
      <c r="F127" s="351">
        <v>0</v>
      </c>
      <c r="G127" s="351">
        <v>0</v>
      </c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</row>
    <row r="128" spans="1:51" s="239" customFormat="1" ht="38.25" hidden="1" outlineLevel="1">
      <c r="A128" s="239" t="s">
        <v>1855</v>
      </c>
      <c r="B128" s="239" t="s">
        <v>1856</v>
      </c>
      <c r="C128" s="240" t="s">
        <v>1857</v>
      </c>
      <c r="D128" s="350">
        <v>0</v>
      </c>
      <c r="E128" s="350">
        <v>0</v>
      </c>
      <c r="F128" s="351">
        <v>0</v>
      </c>
      <c r="G128" s="351">
        <v>35435.78</v>
      </c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</row>
    <row r="129" spans="1:51" s="239" customFormat="1" ht="38.25" hidden="1" outlineLevel="1">
      <c r="A129" s="239" t="s">
        <v>1858</v>
      </c>
      <c r="B129" s="239" t="s">
        <v>1859</v>
      </c>
      <c r="C129" s="240" t="s">
        <v>1860</v>
      </c>
      <c r="D129" s="350">
        <v>8828.81</v>
      </c>
      <c r="E129" s="350">
        <v>1855.97</v>
      </c>
      <c r="F129" s="351">
        <v>12461.93</v>
      </c>
      <c r="G129" s="351">
        <v>407.52</v>
      </c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</row>
    <row r="130" spans="1:51" s="239" customFormat="1" ht="38.25" hidden="1" outlineLevel="1">
      <c r="A130" s="239" t="s">
        <v>1861</v>
      </c>
      <c r="B130" s="239" t="s">
        <v>1862</v>
      </c>
      <c r="C130" s="240" t="s">
        <v>1863</v>
      </c>
      <c r="D130" s="350">
        <v>0</v>
      </c>
      <c r="E130" s="350">
        <v>1783.12</v>
      </c>
      <c r="F130" s="351">
        <v>0</v>
      </c>
      <c r="G130" s="351">
        <v>-192.31</v>
      </c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</row>
    <row r="131" spans="1:51" s="239" customFormat="1" ht="38.25" hidden="1" outlineLevel="1">
      <c r="A131" s="239" t="s">
        <v>1864</v>
      </c>
      <c r="B131" s="239" t="s">
        <v>1865</v>
      </c>
      <c r="C131" s="240" t="s">
        <v>1866</v>
      </c>
      <c r="D131" s="350">
        <v>0</v>
      </c>
      <c r="E131" s="350">
        <v>3555.64</v>
      </c>
      <c r="F131" s="351">
        <v>0</v>
      </c>
      <c r="G131" s="351">
        <v>0</v>
      </c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</row>
    <row r="132" spans="1:51" s="239" customFormat="1" ht="38.25" hidden="1" outlineLevel="1">
      <c r="A132" s="239" t="s">
        <v>1870</v>
      </c>
      <c r="B132" s="239" t="s">
        <v>1871</v>
      </c>
      <c r="C132" s="240" t="s">
        <v>1872</v>
      </c>
      <c r="D132" s="350">
        <v>0</v>
      </c>
      <c r="E132" s="350">
        <v>963.01</v>
      </c>
      <c r="F132" s="351">
        <v>1486.15</v>
      </c>
      <c r="G132" s="351">
        <v>0</v>
      </c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257"/>
    </row>
    <row r="133" spans="1:51" s="239" customFormat="1" ht="38.25" hidden="1" outlineLevel="1">
      <c r="A133" s="239" t="s">
        <v>1879</v>
      </c>
      <c r="B133" s="239" t="s">
        <v>1880</v>
      </c>
      <c r="C133" s="240" t="s">
        <v>1881</v>
      </c>
      <c r="D133" s="350">
        <v>0</v>
      </c>
      <c r="E133" s="350">
        <v>0</v>
      </c>
      <c r="F133" s="351">
        <v>373094.88</v>
      </c>
      <c r="G133" s="351">
        <v>0</v>
      </c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</row>
    <row r="134" spans="1:51" s="239" customFormat="1" ht="38.25" hidden="1" outlineLevel="1">
      <c r="A134" s="239" t="s">
        <v>1882</v>
      </c>
      <c r="B134" s="239" t="s">
        <v>1883</v>
      </c>
      <c r="C134" s="240" t="s">
        <v>1884</v>
      </c>
      <c r="D134" s="350">
        <v>0</v>
      </c>
      <c r="E134" s="350">
        <v>0</v>
      </c>
      <c r="F134" s="351">
        <v>42706.87</v>
      </c>
      <c r="G134" s="351">
        <v>0</v>
      </c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</row>
    <row r="135" spans="1:51" s="239" customFormat="1" ht="38.25" hidden="1" outlineLevel="1">
      <c r="A135" s="239" t="s">
        <v>1885</v>
      </c>
      <c r="B135" s="239" t="s">
        <v>1886</v>
      </c>
      <c r="C135" s="240" t="s">
        <v>1887</v>
      </c>
      <c r="D135" s="350">
        <v>0</v>
      </c>
      <c r="E135" s="350">
        <v>0</v>
      </c>
      <c r="F135" s="351">
        <v>61151.17</v>
      </c>
      <c r="G135" s="351">
        <v>0</v>
      </c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57"/>
      <c r="AY135" s="257"/>
    </row>
    <row r="136" spans="1:51" s="239" customFormat="1" ht="38.25" hidden="1" outlineLevel="1">
      <c r="A136" s="239" t="s">
        <v>1888</v>
      </c>
      <c r="B136" s="239" t="s">
        <v>1889</v>
      </c>
      <c r="C136" s="240" t="s">
        <v>1890</v>
      </c>
      <c r="D136" s="350">
        <v>0</v>
      </c>
      <c r="E136" s="350">
        <v>0</v>
      </c>
      <c r="F136" s="351">
        <v>2362.5</v>
      </c>
      <c r="G136" s="351">
        <v>0</v>
      </c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</row>
    <row r="137" spans="1:51" s="239" customFormat="1" ht="38.25" hidden="1" outlineLevel="1">
      <c r="A137" s="239" t="s">
        <v>1897</v>
      </c>
      <c r="B137" s="239" t="s">
        <v>1898</v>
      </c>
      <c r="C137" s="240" t="s">
        <v>1899</v>
      </c>
      <c r="D137" s="350">
        <v>1073.23</v>
      </c>
      <c r="E137" s="350">
        <v>3973.81</v>
      </c>
      <c r="F137" s="351">
        <v>790.66</v>
      </c>
      <c r="G137" s="351">
        <v>12.95</v>
      </c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7"/>
      <c r="AM137" s="257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57"/>
      <c r="AY137" s="257"/>
    </row>
    <row r="138" spans="1:51" s="239" customFormat="1" ht="38.25" hidden="1" outlineLevel="1">
      <c r="A138" s="239" t="s">
        <v>1900</v>
      </c>
      <c r="B138" s="239" t="s">
        <v>1901</v>
      </c>
      <c r="C138" s="240" t="s">
        <v>1902</v>
      </c>
      <c r="D138" s="350">
        <v>0</v>
      </c>
      <c r="E138" s="350">
        <v>0</v>
      </c>
      <c r="F138" s="351">
        <v>19810.12</v>
      </c>
      <c r="G138" s="351">
        <v>0</v>
      </c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257"/>
      <c r="AM138" s="257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57"/>
      <c r="AY138" s="257"/>
    </row>
    <row r="139" spans="1:51" s="239" customFormat="1" ht="38.25" hidden="1" outlineLevel="1">
      <c r="A139" s="239" t="s">
        <v>1906</v>
      </c>
      <c r="B139" s="239" t="s">
        <v>1907</v>
      </c>
      <c r="C139" s="240" t="s">
        <v>1908</v>
      </c>
      <c r="D139" s="350">
        <v>0</v>
      </c>
      <c r="E139" s="350">
        <v>5598.18</v>
      </c>
      <c r="F139" s="351">
        <v>10711.29</v>
      </c>
      <c r="G139" s="351">
        <v>0</v>
      </c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257"/>
      <c r="AM139" s="257"/>
      <c r="AN139" s="257"/>
      <c r="AO139" s="257"/>
      <c r="AP139" s="257"/>
      <c r="AQ139" s="257"/>
      <c r="AR139" s="257"/>
      <c r="AS139" s="257"/>
      <c r="AT139" s="257"/>
      <c r="AU139" s="257"/>
      <c r="AV139" s="257"/>
      <c r="AW139" s="257"/>
      <c r="AX139" s="257"/>
      <c r="AY139" s="257"/>
    </row>
    <row r="140" spans="1:51" s="239" customFormat="1" ht="38.25" hidden="1" outlineLevel="1">
      <c r="A140" s="239" t="s">
        <v>1909</v>
      </c>
      <c r="B140" s="239" t="s">
        <v>1910</v>
      </c>
      <c r="C140" s="240" t="s">
        <v>1911</v>
      </c>
      <c r="D140" s="350">
        <v>0</v>
      </c>
      <c r="E140" s="350">
        <v>101.25</v>
      </c>
      <c r="F140" s="351">
        <v>0</v>
      </c>
      <c r="G140" s="351">
        <v>0</v>
      </c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7"/>
      <c r="AM140" s="257"/>
      <c r="AN140" s="257"/>
      <c r="AO140" s="257"/>
      <c r="AP140" s="257"/>
      <c r="AQ140" s="257"/>
      <c r="AR140" s="257"/>
      <c r="AS140" s="257"/>
      <c r="AT140" s="257"/>
      <c r="AU140" s="257"/>
      <c r="AV140" s="257"/>
      <c r="AW140" s="257"/>
      <c r="AX140" s="257"/>
      <c r="AY140" s="257"/>
    </row>
    <row r="141" spans="1:51" s="239" customFormat="1" ht="38.25" hidden="1" outlineLevel="1">
      <c r="A141" s="239" t="s">
        <v>1912</v>
      </c>
      <c r="B141" s="239" t="s">
        <v>1913</v>
      </c>
      <c r="C141" s="240" t="s">
        <v>1914</v>
      </c>
      <c r="D141" s="350">
        <v>0</v>
      </c>
      <c r="E141" s="350">
        <v>100</v>
      </c>
      <c r="F141" s="351">
        <v>0</v>
      </c>
      <c r="G141" s="351">
        <v>0</v>
      </c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7"/>
      <c r="AK141" s="257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  <c r="AX141" s="257"/>
      <c r="AY141" s="257"/>
    </row>
    <row r="142" spans="1:51" s="239" customFormat="1" ht="38.25" hidden="1" outlineLevel="1">
      <c r="A142" s="239" t="s">
        <v>1921</v>
      </c>
      <c r="B142" s="239" t="s">
        <v>1922</v>
      </c>
      <c r="C142" s="240" t="s">
        <v>1923</v>
      </c>
      <c r="D142" s="350">
        <v>823.38</v>
      </c>
      <c r="E142" s="350">
        <v>5630.95</v>
      </c>
      <c r="F142" s="351">
        <v>25174.31</v>
      </c>
      <c r="G142" s="351">
        <v>581.4</v>
      </c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57"/>
      <c r="AV142" s="257"/>
      <c r="AW142" s="257"/>
      <c r="AX142" s="257"/>
      <c r="AY142" s="257"/>
    </row>
    <row r="143" spans="1:51" s="239" customFormat="1" ht="38.25" hidden="1" outlineLevel="1">
      <c r="A143" s="239" t="s">
        <v>1924</v>
      </c>
      <c r="B143" s="239" t="s">
        <v>1925</v>
      </c>
      <c r="C143" s="240" t="s">
        <v>1926</v>
      </c>
      <c r="D143" s="350">
        <v>-0.09</v>
      </c>
      <c r="E143" s="350">
        <v>0</v>
      </c>
      <c r="F143" s="351">
        <v>0</v>
      </c>
      <c r="G143" s="351">
        <v>0</v>
      </c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  <c r="AF143" s="257"/>
      <c r="AG143" s="257"/>
      <c r="AH143" s="257"/>
      <c r="AI143" s="257"/>
      <c r="AJ143" s="257"/>
      <c r="AK143" s="257"/>
      <c r="AL143" s="257"/>
      <c r="AM143" s="257"/>
      <c r="AN143" s="257"/>
      <c r="AO143" s="257"/>
      <c r="AP143" s="257"/>
      <c r="AQ143" s="257"/>
      <c r="AR143" s="257"/>
      <c r="AS143" s="257"/>
      <c r="AT143" s="257"/>
      <c r="AU143" s="257"/>
      <c r="AV143" s="257"/>
      <c r="AW143" s="257"/>
      <c r="AX143" s="257"/>
      <c r="AY143" s="257"/>
    </row>
    <row r="144" spans="1:51" s="239" customFormat="1" ht="38.25" hidden="1" outlineLevel="1">
      <c r="A144" s="239" t="s">
        <v>1939</v>
      </c>
      <c r="B144" s="239" t="s">
        <v>1940</v>
      </c>
      <c r="C144" s="240" t="s">
        <v>1941</v>
      </c>
      <c r="D144" s="350">
        <v>19155</v>
      </c>
      <c r="E144" s="350">
        <v>77444.83</v>
      </c>
      <c r="F144" s="351">
        <v>31797.94</v>
      </c>
      <c r="G144" s="351">
        <v>6900</v>
      </c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7"/>
      <c r="AS144" s="257"/>
      <c r="AT144" s="257"/>
      <c r="AU144" s="257"/>
      <c r="AV144" s="257"/>
      <c r="AW144" s="257"/>
      <c r="AX144" s="257"/>
      <c r="AY144" s="257"/>
    </row>
    <row r="145" spans="1:51" s="239" customFormat="1" ht="38.25" hidden="1" outlineLevel="1">
      <c r="A145" s="239" t="s">
        <v>1942</v>
      </c>
      <c r="B145" s="239" t="s">
        <v>1943</v>
      </c>
      <c r="C145" s="240" t="s">
        <v>1944</v>
      </c>
      <c r="D145" s="350">
        <v>0</v>
      </c>
      <c r="E145" s="350">
        <v>64</v>
      </c>
      <c r="F145" s="351">
        <v>0</v>
      </c>
      <c r="G145" s="351">
        <v>0</v>
      </c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7"/>
      <c r="AR145" s="257"/>
      <c r="AS145" s="257"/>
      <c r="AT145" s="257"/>
      <c r="AU145" s="257"/>
      <c r="AV145" s="257"/>
      <c r="AW145" s="257"/>
      <c r="AX145" s="257"/>
      <c r="AY145" s="257"/>
    </row>
    <row r="146" spans="1:51" s="239" customFormat="1" ht="38.25" hidden="1" outlineLevel="1">
      <c r="A146" s="239" t="s">
        <v>1945</v>
      </c>
      <c r="B146" s="239" t="s">
        <v>1946</v>
      </c>
      <c r="C146" s="240" t="s">
        <v>1947</v>
      </c>
      <c r="D146" s="350">
        <v>1500</v>
      </c>
      <c r="E146" s="350">
        <v>16220</v>
      </c>
      <c r="F146" s="351">
        <v>400</v>
      </c>
      <c r="G146" s="351">
        <v>1387</v>
      </c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257"/>
      <c r="AR146" s="257"/>
      <c r="AS146" s="257"/>
      <c r="AT146" s="257"/>
      <c r="AU146" s="257"/>
      <c r="AV146" s="257"/>
      <c r="AW146" s="257"/>
      <c r="AX146" s="257"/>
      <c r="AY146" s="257"/>
    </row>
    <row r="147" spans="1:51" s="239" customFormat="1" ht="38.25" hidden="1" outlineLevel="1">
      <c r="A147" s="239" t="s">
        <v>1951</v>
      </c>
      <c r="B147" s="239" t="s">
        <v>1952</v>
      </c>
      <c r="C147" s="240" t="s">
        <v>1953</v>
      </c>
      <c r="D147" s="350">
        <v>137.37</v>
      </c>
      <c r="E147" s="350">
        <v>11385.64</v>
      </c>
      <c r="F147" s="351">
        <v>20746.85</v>
      </c>
      <c r="G147" s="351">
        <v>3999.44</v>
      </c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257"/>
      <c r="AR147" s="257"/>
      <c r="AS147" s="257"/>
      <c r="AT147" s="257"/>
      <c r="AU147" s="257"/>
      <c r="AV147" s="257"/>
      <c r="AW147" s="257"/>
      <c r="AX147" s="257"/>
      <c r="AY147" s="257"/>
    </row>
    <row r="148" spans="1:51" s="239" customFormat="1" ht="38.25" hidden="1" outlineLevel="1">
      <c r="A148" s="239" t="s">
        <v>1954</v>
      </c>
      <c r="B148" s="239" t="s">
        <v>1955</v>
      </c>
      <c r="C148" s="240" t="s">
        <v>1956</v>
      </c>
      <c r="D148" s="350">
        <v>0</v>
      </c>
      <c r="E148" s="350">
        <v>2285.5</v>
      </c>
      <c r="F148" s="351">
        <v>0</v>
      </c>
      <c r="G148" s="351">
        <v>31</v>
      </c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  <c r="AA148" s="257"/>
      <c r="AB148" s="257"/>
      <c r="AC148" s="257"/>
      <c r="AD148" s="257"/>
      <c r="AE148" s="257"/>
      <c r="AF148" s="257"/>
      <c r="AG148" s="257"/>
      <c r="AH148" s="257"/>
      <c r="AI148" s="257"/>
      <c r="AJ148" s="257"/>
      <c r="AK148" s="257"/>
      <c r="AL148" s="257"/>
      <c r="AM148" s="257"/>
      <c r="AN148" s="257"/>
      <c r="AO148" s="257"/>
      <c r="AP148" s="257"/>
      <c r="AQ148" s="257"/>
      <c r="AR148" s="257"/>
      <c r="AS148" s="257"/>
      <c r="AT148" s="257"/>
      <c r="AU148" s="257"/>
      <c r="AV148" s="257"/>
      <c r="AW148" s="257"/>
      <c r="AX148" s="257"/>
      <c r="AY148" s="257"/>
    </row>
    <row r="149" spans="1:51" s="239" customFormat="1" ht="38.25" hidden="1" outlineLevel="1">
      <c r="A149" s="239" t="s">
        <v>1957</v>
      </c>
      <c r="B149" s="239" t="s">
        <v>1958</v>
      </c>
      <c r="C149" s="240" t="s">
        <v>1959</v>
      </c>
      <c r="D149" s="350">
        <v>848.73</v>
      </c>
      <c r="E149" s="350">
        <v>1404.27</v>
      </c>
      <c r="F149" s="351">
        <v>6342.4</v>
      </c>
      <c r="G149" s="351">
        <v>18.96</v>
      </c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57"/>
      <c r="AY149" s="257"/>
    </row>
    <row r="150" spans="1:51" s="239" customFormat="1" ht="38.25" hidden="1" outlineLevel="1">
      <c r="A150" s="239" t="s">
        <v>1960</v>
      </c>
      <c r="B150" s="239" t="s">
        <v>1961</v>
      </c>
      <c r="C150" s="240" t="s">
        <v>1962</v>
      </c>
      <c r="D150" s="350">
        <v>5061.4</v>
      </c>
      <c r="E150" s="350">
        <v>1231.84</v>
      </c>
      <c r="F150" s="351">
        <v>2099</v>
      </c>
      <c r="G150" s="351">
        <v>0</v>
      </c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7"/>
      <c r="AK150" s="257"/>
      <c r="AL150" s="257"/>
      <c r="AM150" s="257"/>
      <c r="AN150" s="257"/>
      <c r="AO150" s="257"/>
      <c r="AP150" s="257"/>
      <c r="AQ150" s="257"/>
      <c r="AR150" s="257"/>
      <c r="AS150" s="257"/>
      <c r="AT150" s="257"/>
      <c r="AU150" s="257"/>
      <c r="AV150" s="257"/>
      <c r="AW150" s="257"/>
      <c r="AX150" s="257"/>
      <c r="AY150" s="257"/>
    </row>
    <row r="151" spans="1:51" s="239" customFormat="1" ht="38.25" hidden="1" outlineLevel="1">
      <c r="A151" s="239" t="s">
        <v>1963</v>
      </c>
      <c r="B151" s="239" t="s">
        <v>1964</v>
      </c>
      <c r="C151" s="240" t="s">
        <v>1965</v>
      </c>
      <c r="D151" s="350">
        <v>150</v>
      </c>
      <c r="E151" s="350">
        <v>800</v>
      </c>
      <c r="F151" s="351">
        <v>1400.33</v>
      </c>
      <c r="G151" s="351">
        <v>0</v>
      </c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57"/>
      <c r="AY151" s="257"/>
    </row>
    <row r="152" spans="1:51" s="239" customFormat="1" ht="38.25" hidden="1" outlineLevel="1">
      <c r="A152" s="239" t="s">
        <v>1966</v>
      </c>
      <c r="B152" s="239" t="s">
        <v>1967</v>
      </c>
      <c r="C152" s="240" t="s">
        <v>1968</v>
      </c>
      <c r="D152" s="350">
        <v>0</v>
      </c>
      <c r="E152" s="350">
        <v>0</v>
      </c>
      <c r="F152" s="351">
        <v>50625</v>
      </c>
      <c r="G152" s="351">
        <v>0</v>
      </c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57"/>
      <c r="AL152" s="257"/>
      <c r="AM152" s="257"/>
      <c r="AN152" s="257"/>
      <c r="AO152" s="257"/>
      <c r="AP152" s="257"/>
      <c r="AQ152" s="257"/>
      <c r="AR152" s="257"/>
      <c r="AS152" s="257"/>
      <c r="AT152" s="257"/>
      <c r="AU152" s="257"/>
      <c r="AV152" s="257"/>
      <c r="AW152" s="257"/>
      <c r="AX152" s="257"/>
      <c r="AY152" s="257"/>
    </row>
    <row r="153" spans="1:51" s="239" customFormat="1" ht="38.25" hidden="1" outlineLevel="1">
      <c r="A153" s="239" t="s">
        <v>1969</v>
      </c>
      <c r="B153" s="239" t="s">
        <v>1970</v>
      </c>
      <c r="C153" s="240" t="s">
        <v>1971</v>
      </c>
      <c r="D153" s="350">
        <v>0</v>
      </c>
      <c r="E153" s="350">
        <v>0</v>
      </c>
      <c r="F153" s="351">
        <v>49999.37</v>
      </c>
      <c r="G153" s="351">
        <v>0</v>
      </c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  <c r="AA153" s="257"/>
      <c r="AB153" s="257"/>
      <c r="AC153" s="257"/>
      <c r="AD153" s="257"/>
      <c r="AE153" s="257"/>
      <c r="AF153" s="257"/>
      <c r="AG153" s="257"/>
      <c r="AH153" s="257"/>
      <c r="AI153" s="257"/>
      <c r="AJ153" s="257"/>
      <c r="AK153" s="257"/>
      <c r="AL153" s="257"/>
      <c r="AM153" s="257"/>
      <c r="AN153" s="257"/>
      <c r="AO153" s="257"/>
      <c r="AP153" s="257"/>
      <c r="AQ153" s="257"/>
      <c r="AR153" s="257"/>
      <c r="AS153" s="257"/>
      <c r="AT153" s="257"/>
      <c r="AU153" s="257"/>
      <c r="AV153" s="257"/>
      <c r="AW153" s="257"/>
      <c r="AX153" s="257"/>
      <c r="AY153" s="257"/>
    </row>
    <row r="154" spans="1:51" s="239" customFormat="1" ht="38.25" hidden="1" outlineLevel="1">
      <c r="A154" s="239" t="s">
        <v>1972</v>
      </c>
      <c r="B154" s="239" t="s">
        <v>1973</v>
      </c>
      <c r="C154" s="240" t="s">
        <v>1974</v>
      </c>
      <c r="D154" s="350">
        <v>0</v>
      </c>
      <c r="E154" s="350">
        <v>0</v>
      </c>
      <c r="F154" s="351">
        <v>6814.25</v>
      </c>
      <c r="G154" s="351">
        <v>0</v>
      </c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57"/>
      <c r="AY154" s="257"/>
    </row>
    <row r="155" spans="1:51" s="239" customFormat="1" ht="38.25" hidden="1" outlineLevel="1">
      <c r="A155" s="239" t="s">
        <v>1978</v>
      </c>
      <c r="B155" s="239" t="s">
        <v>1979</v>
      </c>
      <c r="C155" s="240" t="s">
        <v>1980</v>
      </c>
      <c r="D155" s="350">
        <v>0</v>
      </c>
      <c r="E155" s="350">
        <v>0</v>
      </c>
      <c r="F155" s="351">
        <v>54306.4</v>
      </c>
      <c r="G155" s="351">
        <v>0</v>
      </c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7"/>
      <c r="AX155" s="257"/>
      <c r="AY155" s="257"/>
    </row>
    <row r="156" spans="1:51" s="239" customFormat="1" ht="38.25" hidden="1" outlineLevel="1">
      <c r="A156" s="239" t="s">
        <v>1981</v>
      </c>
      <c r="B156" s="239" t="s">
        <v>1982</v>
      </c>
      <c r="C156" s="240" t="s">
        <v>1983</v>
      </c>
      <c r="D156" s="350">
        <v>247.22</v>
      </c>
      <c r="E156" s="350">
        <v>3253.62</v>
      </c>
      <c r="F156" s="351">
        <v>1877.31</v>
      </c>
      <c r="G156" s="351">
        <v>0</v>
      </c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57"/>
      <c r="AY156" s="257"/>
    </row>
    <row r="157" spans="1:51" s="239" customFormat="1" ht="38.25" hidden="1" outlineLevel="1">
      <c r="A157" s="239" t="s">
        <v>1984</v>
      </c>
      <c r="B157" s="239" t="s">
        <v>1985</v>
      </c>
      <c r="C157" s="240" t="s">
        <v>1986</v>
      </c>
      <c r="D157" s="350">
        <v>0</v>
      </c>
      <c r="E157" s="350">
        <v>4491.28</v>
      </c>
      <c r="F157" s="351">
        <v>53465.1</v>
      </c>
      <c r="G157" s="351">
        <v>3122.54</v>
      </c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57"/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57"/>
      <c r="AY157" s="257"/>
    </row>
    <row r="158" spans="1:51" s="239" customFormat="1" ht="38.25" hidden="1" outlineLevel="1">
      <c r="A158" s="239" t="s">
        <v>1987</v>
      </c>
      <c r="B158" s="239" t="s">
        <v>1988</v>
      </c>
      <c r="C158" s="240" t="s">
        <v>1989</v>
      </c>
      <c r="D158" s="350">
        <v>25</v>
      </c>
      <c r="E158" s="350">
        <v>4332.35</v>
      </c>
      <c r="F158" s="351">
        <v>46483.71</v>
      </c>
      <c r="G158" s="351">
        <v>1365.24</v>
      </c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  <c r="AJ158" s="257"/>
      <c r="AK158" s="257"/>
      <c r="AL158" s="257"/>
      <c r="AM158" s="257"/>
      <c r="AN158" s="257"/>
      <c r="AO158" s="257"/>
      <c r="AP158" s="257"/>
      <c r="AQ158" s="257"/>
      <c r="AR158" s="257"/>
      <c r="AS158" s="257"/>
      <c r="AT158" s="257"/>
      <c r="AU158" s="257"/>
      <c r="AV158" s="257"/>
      <c r="AW158" s="257"/>
      <c r="AX158" s="257"/>
      <c r="AY158" s="257"/>
    </row>
    <row r="159" spans="1:51" s="239" customFormat="1" ht="38.25" hidden="1" outlineLevel="1">
      <c r="A159" s="239" t="s">
        <v>2101</v>
      </c>
      <c r="B159" s="239" t="s">
        <v>2102</v>
      </c>
      <c r="C159" s="240" t="s">
        <v>2103</v>
      </c>
      <c r="D159" s="350">
        <v>8311.25</v>
      </c>
      <c r="E159" s="350">
        <v>530</v>
      </c>
      <c r="F159" s="351">
        <v>8500</v>
      </c>
      <c r="G159" s="351">
        <v>140</v>
      </c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  <c r="AA159" s="257"/>
      <c r="AB159" s="257"/>
      <c r="AC159" s="257"/>
      <c r="AD159" s="257"/>
      <c r="AE159" s="257"/>
      <c r="AF159" s="257"/>
      <c r="AG159" s="257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  <c r="AT159" s="257"/>
      <c r="AU159" s="257"/>
      <c r="AV159" s="257"/>
      <c r="AW159" s="257"/>
      <c r="AX159" s="257"/>
      <c r="AY159" s="257"/>
    </row>
    <row r="160" spans="1:51" s="239" customFormat="1" ht="38.25" hidden="1" outlineLevel="1">
      <c r="A160" s="239" t="s">
        <v>2104</v>
      </c>
      <c r="B160" s="239" t="s">
        <v>2105</v>
      </c>
      <c r="C160" s="240" t="s">
        <v>2106</v>
      </c>
      <c r="D160" s="350">
        <v>0</v>
      </c>
      <c r="E160" s="350">
        <v>30</v>
      </c>
      <c r="F160" s="351">
        <v>0</v>
      </c>
      <c r="G160" s="351">
        <v>0</v>
      </c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257"/>
      <c r="AR160" s="257"/>
      <c r="AS160" s="257"/>
      <c r="AT160" s="257"/>
      <c r="AU160" s="257"/>
      <c r="AV160" s="257"/>
      <c r="AW160" s="257"/>
      <c r="AX160" s="257"/>
      <c r="AY160" s="257"/>
    </row>
    <row r="161" spans="1:51" s="239" customFormat="1" ht="38.25" hidden="1" outlineLevel="1">
      <c r="A161" s="239" t="s">
        <v>2110</v>
      </c>
      <c r="B161" s="239" t="s">
        <v>2111</v>
      </c>
      <c r="C161" s="240" t="s">
        <v>2112</v>
      </c>
      <c r="D161" s="350">
        <v>0</v>
      </c>
      <c r="E161" s="350">
        <v>0</v>
      </c>
      <c r="F161" s="351">
        <v>20000</v>
      </c>
      <c r="G161" s="351">
        <v>0</v>
      </c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  <c r="AA161" s="257"/>
      <c r="AB161" s="257"/>
      <c r="AC161" s="257"/>
      <c r="AD161" s="257"/>
      <c r="AE161" s="257"/>
      <c r="AF161" s="257"/>
      <c r="AG161" s="257"/>
      <c r="AH161" s="257"/>
      <c r="AI161" s="257"/>
      <c r="AJ161" s="257"/>
      <c r="AK161" s="257"/>
      <c r="AL161" s="257"/>
      <c r="AM161" s="257"/>
      <c r="AN161" s="257"/>
      <c r="AO161" s="257"/>
      <c r="AP161" s="257"/>
      <c r="AQ161" s="257"/>
      <c r="AR161" s="257"/>
      <c r="AS161" s="257"/>
      <c r="AT161" s="257"/>
      <c r="AU161" s="257"/>
      <c r="AV161" s="257"/>
      <c r="AW161" s="257"/>
      <c r="AX161" s="257"/>
      <c r="AY161" s="257"/>
    </row>
    <row r="162" spans="1:51" s="239" customFormat="1" ht="38.25" hidden="1" outlineLevel="1">
      <c r="A162" s="239" t="s">
        <v>2113</v>
      </c>
      <c r="B162" s="239" t="s">
        <v>2114</v>
      </c>
      <c r="C162" s="240" t="s">
        <v>2115</v>
      </c>
      <c r="D162" s="350">
        <v>0</v>
      </c>
      <c r="E162" s="350">
        <v>0</v>
      </c>
      <c r="F162" s="351">
        <v>343.48</v>
      </c>
      <c r="G162" s="351">
        <v>0</v>
      </c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</row>
    <row r="163" spans="1:51" s="239" customFormat="1" ht="38.25" hidden="1" outlineLevel="1">
      <c r="A163" s="239" t="s">
        <v>2119</v>
      </c>
      <c r="B163" s="239" t="s">
        <v>2120</v>
      </c>
      <c r="C163" s="240" t="s">
        <v>2121</v>
      </c>
      <c r="D163" s="350">
        <v>24.72</v>
      </c>
      <c r="E163" s="350">
        <v>443.62</v>
      </c>
      <c r="F163" s="351">
        <v>0</v>
      </c>
      <c r="G163" s="351">
        <v>0</v>
      </c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57"/>
      <c r="AY163" s="257"/>
    </row>
    <row r="164" spans="1:51" s="239" customFormat="1" ht="38.25" hidden="1" outlineLevel="1">
      <c r="A164" s="239" t="s">
        <v>2122</v>
      </c>
      <c r="B164" s="239" t="s">
        <v>2123</v>
      </c>
      <c r="C164" s="240" t="s">
        <v>2124</v>
      </c>
      <c r="D164" s="350">
        <v>0</v>
      </c>
      <c r="E164" s="350">
        <v>214.12</v>
      </c>
      <c r="F164" s="351">
        <v>519</v>
      </c>
      <c r="G164" s="351">
        <v>6700</v>
      </c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257"/>
      <c r="AR164" s="257"/>
      <c r="AS164" s="257"/>
      <c r="AT164" s="257"/>
      <c r="AU164" s="257"/>
      <c r="AV164" s="257"/>
      <c r="AW164" s="257"/>
      <c r="AX164" s="257"/>
      <c r="AY164" s="257"/>
    </row>
    <row r="165" spans="1:51" s="239" customFormat="1" ht="38.25" hidden="1" outlineLevel="1">
      <c r="A165" s="239" t="s">
        <v>2125</v>
      </c>
      <c r="B165" s="239" t="s">
        <v>2126</v>
      </c>
      <c r="C165" s="240" t="s">
        <v>2127</v>
      </c>
      <c r="D165" s="350">
        <v>0</v>
      </c>
      <c r="E165" s="350">
        <v>0</v>
      </c>
      <c r="F165" s="351">
        <v>0</v>
      </c>
      <c r="G165" s="351">
        <v>2580</v>
      </c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</row>
    <row r="166" spans="1:51" s="239" customFormat="1" ht="38.25" hidden="1" outlineLevel="1">
      <c r="A166" s="239" t="s">
        <v>2128</v>
      </c>
      <c r="B166" s="239" t="s">
        <v>2129</v>
      </c>
      <c r="C166" s="240" t="s">
        <v>2130</v>
      </c>
      <c r="D166" s="350">
        <v>0</v>
      </c>
      <c r="E166" s="350">
        <v>0</v>
      </c>
      <c r="F166" s="351">
        <v>49.75</v>
      </c>
      <c r="G166" s="351">
        <v>0</v>
      </c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</row>
    <row r="167" spans="1:51" s="239" customFormat="1" ht="38.25" hidden="1" outlineLevel="1">
      <c r="A167" s="239" t="s">
        <v>2131</v>
      </c>
      <c r="B167" s="239" t="s">
        <v>2132</v>
      </c>
      <c r="C167" s="240" t="s">
        <v>2133</v>
      </c>
      <c r="D167" s="350">
        <v>0</v>
      </c>
      <c r="E167" s="350">
        <v>210</v>
      </c>
      <c r="F167" s="351">
        <v>1212.55</v>
      </c>
      <c r="G167" s="351">
        <v>0</v>
      </c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</row>
    <row r="168" spans="1:51" s="239" customFormat="1" ht="38.25" hidden="1" outlineLevel="1">
      <c r="A168" s="239" t="s">
        <v>2158</v>
      </c>
      <c r="B168" s="239" t="s">
        <v>2159</v>
      </c>
      <c r="C168" s="240" t="s">
        <v>2160</v>
      </c>
      <c r="D168" s="350">
        <v>0</v>
      </c>
      <c r="E168" s="350">
        <v>315</v>
      </c>
      <c r="F168" s="351">
        <v>8250.52</v>
      </c>
      <c r="G168" s="351">
        <v>0</v>
      </c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7"/>
      <c r="AW168" s="257"/>
      <c r="AX168" s="257"/>
      <c r="AY168" s="257"/>
    </row>
    <row r="169" spans="1:51" s="239" customFormat="1" ht="38.25" hidden="1" outlineLevel="1">
      <c r="A169" s="239" t="s">
        <v>2164</v>
      </c>
      <c r="B169" s="239" t="s">
        <v>2165</v>
      </c>
      <c r="C169" s="240" t="s">
        <v>2166</v>
      </c>
      <c r="D169" s="350">
        <v>-164764.7</v>
      </c>
      <c r="E169" s="350">
        <v>829796.18</v>
      </c>
      <c r="F169" s="351">
        <v>209439.09</v>
      </c>
      <c r="G169" s="351">
        <v>589.6</v>
      </c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257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7"/>
      <c r="AX169" s="257"/>
      <c r="AY169" s="257"/>
    </row>
    <row r="170" spans="1:51" s="239" customFormat="1" ht="38.25" hidden="1" outlineLevel="1">
      <c r="A170" s="239" t="s">
        <v>2176</v>
      </c>
      <c r="B170" s="239" t="s">
        <v>2177</v>
      </c>
      <c r="C170" s="240" t="s">
        <v>2178</v>
      </c>
      <c r="D170" s="350">
        <v>0</v>
      </c>
      <c r="E170" s="350">
        <v>0</v>
      </c>
      <c r="F170" s="351">
        <v>48700</v>
      </c>
      <c r="G170" s="351">
        <v>0</v>
      </c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57"/>
      <c r="AY170" s="257"/>
    </row>
    <row r="171" spans="1:51" s="239" customFormat="1" ht="38.25" hidden="1" outlineLevel="1">
      <c r="A171" s="239" t="s">
        <v>2179</v>
      </c>
      <c r="B171" s="239" t="s">
        <v>2180</v>
      </c>
      <c r="C171" s="240" t="s">
        <v>2181</v>
      </c>
      <c r="D171" s="350">
        <v>0</v>
      </c>
      <c r="E171" s="350">
        <v>0</v>
      </c>
      <c r="F171" s="351">
        <v>25214.72</v>
      </c>
      <c r="G171" s="351">
        <v>0</v>
      </c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7"/>
      <c r="AK171" s="257"/>
      <c r="AL171" s="257"/>
      <c r="AM171" s="257"/>
      <c r="AN171" s="257"/>
      <c r="AO171" s="257"/>
      <c r="AP171" s="257"/>
      <c r="AQ171" s="257"/>
      <c r="AR171" s="257"/>
      <c r="AS171" s="257"/>
      <c r="AT171" s="257"/>
      <c r="AU171" s="257"/>
      <c r="AV171" s="257"/>
      <c r="AW171" s="257"/>
      <c r="AX171" s="257"/>
      <c r="AY171" s="257"/>
    </row>
    <row r="172" spans="1:51" s="239" customFormat="1" ht="38.25" hidden="1" outlineLevel="1">
      <c r="A172" s="239" t="s">
        <v>2182</v>
      </c>
      <c r="B172" s="239" t="s">
        <v>2183</v>
      </c>
      <c r="C172" s="240" t="s">
        <v>2184</v>
      </c>
      <c r="D172" s="350">
        <v>1247.19</v>
      </c>
      <c r="E172" s="350">
        <v>0</v>
      </c>
      <c r="F172" s="351">
        <v>0</v>
      </c>
      <c r="G172" s="351">
        <v>0</v>
      </c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</row>
    <row r="173" spans="1:51" s="239" customFormat="1" ht="38.25" hidden="1" outlineLevel="1">
      <c r="A173" s="239" t="s">
        <v>2185</v>
      </c>
      <c r="B173" s="239" t="s">
        <v>2186</v>
      </c>
      <c r="C173" s="240" t="s">
        <v>2187</v>
      </c>
      <c r="D173" s="350">
        <v>0</v>
      </c>
      <c r="E173" s="350">
        <v>0</v>
      </c>
      <c r="F173" s="351">
        <v>285.7</v>
      </c>
      <c r="G173" s="351">
        <v>0</v>
      </c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</row>
    <row r="174" spans="1:51" s="239" customFormat="1" ht="38.25" hidden="1" outlineLevel="1">
      <c r="A174" s="239" t="s">
        <v>2188</v>
      </c>
      <c r="B174" s="239" t="s">
        <v>2189</v>
      </c>
      <c r="C174" s="240" t="s">
        <v>2190</v>
      </c>
      <c r="D174" s="350">
        <v>0</v>
      </c>
      <c r="E174" s="350">
        <v>0</v>
      </c>
      <c r="F174" s="351">
        <v>1613.44</v>
      </c>
      <c r="G174" s="351">
        <v>0</v>
      </c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257"/>
      <c r="AR174" s="257"/>
      <c r="AS174" s="257"/>
      <c r="AT174" s="257"/>
      <c r="AU174" s="257"/>
      <c r="AV174" s="257"/>
      <c r="AW174" s="257"/>
      <c r="AX174" s="257"/>
      <c r="AY174" s="257"/>
    </row>
    <row r="175" spans="1:51" s="239" customFormat="1" ht="38.25" hidden="1" outlineLevel="1">
      <c r="A175" s="239" t="s">
        <v>2191</v>
      </c>
      <c r="B175" s="239" t="s">
        <v>2192</v>
      </c>
      <c r="C175" s="240" t="s">
        <v>2193</v>
      </c>
      <c r="D175" s="350">
        <v>63456</v>
      </c>
      <c r="E175" s="350">
        <v>18564</v>
      </c>
      <c r="F175" s="351">
        <v>516</v>
      </c>
      <c r="G175" s="351">
        <v>6336</v>
      </c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257"/>
      <c r="AR175" s="257"/>
      <c r="AS175" s="257"/>
      <c r="AT175" s="257"/>
      <c r="AU175" s="257"/>
      <c r="AV175" s="257"/>
      <c r="AW175" s="257"/>
      <c r="AX175" s="257"/>
      <c r="AY175" s="257"/>
    </row>
    <row r="176" spans="1:51" s="239" customFormat="1" ht="38.25" hidden="1" outlineLevel="1">
      <c r="A176" s="239" t="s">
        <v>2245</v>
      </c>
      <c r="B176" s="239" t="s">
        <v>2246</v>
      </c>
      <c r="C176" s="240" t="s">
        <v>2247</v>
      </c>
      <c r="D176" s="350">
        <v>4908</v>
      </c>
      <c r="E176" s="350">
        <v>0</v>
      </c>
      <c r="F176" s="351">
        <v>94589.2</v>
      </c>
      <c r="G176" s="351">
        <v>1.81</v>
      </c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257"/>
      <c r="AL176" s="257"/>
      <c r="AM176" s="257"/>
      <c r="AN176" s="257"/>
      <c r="AO176" s="257"/>
      <c r="AP176" s="257"/>
      <c r="AQ176" s="257"/>
      <c r="AR176" s="257"/>
      <c r="AS176" s="257"/>
      <c r="AT176" s="257"/>
      <c r="AU176" s="257"/>
      <c r="AV176" s="257"/>
      <c r="AW176" s="257"/>
      <c r="AX176" s="257"/>
      <c r="AY176" s="257"/>
    </row>
    <row r="177" spans="1:51" s="239" customFormat="1" ht="38.25" hidden="1" outlineLevel="1">
      <c r="A177" s="239" t="s">
        <v>67</v>
      </c>
      <c r="B177" s="239" t="s">
        <v>68</v>
      </c>
      <c r="C177" s="240" t="s">
        <v>69</v>
      </c>
      <c r="D177" s="350">
        <v>0</v>
      </c>
      <c r="E177" s="350">
        <v>54381.83</v>
      </c>
      <c r="F177" s="351">
        <v>0</v>
      </c>
      <c r="G177" s="351">
        <v>0</v>
      </c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57"/>
      <c r="AM177" s="257"/>
      <c r="AN177" s="257"/>
      <c r="AO177" s="257"/>
      <c r="AP177" s="257"/>
      <c r="AQ177" s="257"/>
      <c r="AR177" s="257"/>
      <c r="AS177" s="257"/>
      <c r="AT177" s="257"/>
      <c r="AU177" s="257"/>
      <c r="AV177" s="257"/>
      <c r="AW177" s="257"/>
      <c r="AX177" s="257"/>
      <c r="AY177" s="257"/>
    </row>
    <row r="178" spans="1:51" s="239" customFormat="1" ht="38.25" hidden="1" outlineLevel="1">
      <c r="A178" s="239" t="s">
        <v>0</v>
      </c>
      <c r="B178" s="239" t="s">
        <v>1</v>
      </c>
      <c r="C178" s="240" t="s">
        <v>2</v>
      </c>
      <c r="D178" s="350">
        <v>158255</v>
      </c>
      <c r="E178" s="350">
        <v>197555</v>
      </c>
      <c r="F178" s="351">
        <v>74333</v>
      </c>
      <c r="G178" s="351">
        <v>54549</v>
      </c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257"/>
      <c r="AR178" s="257"/>
      <c r="AS178" s="257"/>
      <c r="AT178" s="257"/>
      <c r="AU178" s="257"/>
      <c r="AV178" s="257"/>
      <c r="AW178" s="257"/>
      <c r="AX178" s="257"/>
      <c r="AY178" s="257"/>
    </row>
    <row r="179" spans="1:51" s="239" customFormat="1" ht="38.25" hidden="1" outlineLevel="1">
      <c r="A179" s="239" t="s">
        <v>946</v>
      </c>
      <c r="B179" s="239" t="s">
        <v>947</v>
      </c>
      <c r="C179" s="240" t="s">
        <v>948</v>
      </c>
      <c r="D179" s="350">
        <v>-899.33</v>
      </c>
      <c r="E179" s="350">
        <v>15562.59</v>
      </c>
      <c r="F179" s="351">
        <v>0</v>
      </c>
      <c r="G179" s="351">
        <v>494.29</v>
      </c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  <c r="AA179" s="257"/>
      <c r="AB179" s="257"/>
      <c r="AC179" s="257"/>
      <c r="AD179" s="257"/>
      <c r="AE179" s="257"/>
      <c r="AF179" s="257"/>
      <c r="AG179" s="257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257"/>
      <c r="AR179" s="257"/>
      <c r="AS179" s="257"/>
      <c r="AT179" s="257"/>
      <c r="AU179" s="257"/>
      <c r="AV179" s="257"/>
      <c r="AW179" s="257"/>
      <c r="AX179" s="257"/>
      <c r="AY179" s="257"/>
    </row>
    <row r="180" spans="1:51" ht="12.75" customHeight="1" collapsed="1">
      <c r="A180" s="118" t="s">
        <v>84</v>
      </c>
      <c r="B180" s="306" t="s">
        <v>1072</v>
      </c>
      <c r="C180" s="348"/>
      <c r="D180" s="298">
        <v>108388.18</v>
      </c>
      <c r="E180" s="298">
        <v>1258850.5</v>
      </c>
      <c r="F180" s="298">
        <v>1369673.99</v>
      </c>
      <c r="G180" s="298">
        <v>124460.22</v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</row>
    <row r="181" spans="2:51" s="169" customFormat="1" ht="12.75" customHeight="1">
      <c r="B181" s="346" t="s">
        <v>85</v>
      </c>
      <c r="C181" s="325"/>
      <c r="D181" s="301">
        <f>D52+D65+D75+D84+D114+D126+D180</f>
        <v>5628001.539999999</v>
      </c>
      <c r="E181" s="301">
        <f>E52+E65+E75+E84+E114+E126+E180</f>
        <v>4179807.12</v>
      </c>
      <c r="F181" s="301">
        <f>F52+F65+F75+F84+F114+F126+F180</f>
        <v>3319064.13</v>
      </c>
      <c r="G181" s="301">
        <f>G52+G65+G75+G84+G114+G126+G180</f>
        <v>537148.91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</row>
    <row r="182" spans="2:51" ht="12.75" customHeight="1">
      <c r="B182" s="320"/>
      <c r="C182" s="352"/>
      <c r="D182" s="298"/>
      <c r="E182" s="298"/>
      <c r="F182" s="298"/>
      <c r="G182" s="29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</row>
    <row r="183" spans="2:51" ht="12.75" customHeight="1">
      <c r="B183" s="320" t="s">
        <v>86</v>
      </c>
      <c r="C183" s="352"/>
      <c r="D183" s="298"/>
      <c r="E183" s="298"/>
      <c r="F183" s="298"/>
      <c r="G183" s="29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</row>
    <row r="184" spans="2:51" s="169" customFormat="1" ht="12.75" customHeight="1">
      <c r="B184" s="353" t="s">
        <v>1073</v>
      </c>
      <c r="C184" s="352"/>
      <c r="D184" s="301">
        <f>D39-D181</f>
        <v>112633.60000000149</v>
      </c>
      <c r="E184" s="301">
        <f>E39-E181</f>
        <v>802661.3700000001</v>
      </c>
      <c r="F184" s="301">
        <f>F39-F181</f>
        <v>-1874377.6399999997</v>
      </c>
      <c r="G184" s="301">
        <f>G39-G181</f>
        <v>1516044.8199999998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</row>
    <row r="185" spans="2:51" ht="12.75" customHeight="1">
      <c r="B185" s="306"/>
      <c r="C185" s="348"/>
      <c r="D185" s="298"/>
      <c r="E185" s="298"/>
      <c r="F185" s="298"/>
      <c r="G185" s="29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</row>
    <row r="186" spans="2:51" ht="12.75" customHeight="1">
      <c r="B186" s="320" t="s">
        <v>1074</v>
      </c>
      <c r="C186" s="352"/>
      <c r="D186" s="298"/>
      <c r="E186" s="298"/>
      <c r="F186" s="298"/>
      <c r="G186" s="29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</row>
    <row r="187" spans="1:51" ht="12.75" customHeight="1">
      <c r="A187" s="118" t="s">
        <v>2431</v>
      </c>
      <c r="B187" s="306" t="s">
        <v>1075</v>
      </c>
      <c r="C187" s="348"/>
      <c r="D187" s="298">
        <v>0</v>
      </c>
      <c r="E187" s="298">
        <v>0</v>
      </c>
      <c r="F187" s="298">
        <v>0</v>
      </c>
      <c r="G187" s="298">
        <v>0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</row>
    <row r="188" spans="1:51" s="239" customFormat="1" ht="38.25" hidden="1" outlineLevel="1">
      <c r="A188" s="239" t="s">
        <v>1076</v>
      </c>
      <c r="B188" s="239" t="s">
        <v>1077</v>
      </c>
      <c r="C188" s="240" t="s">
        <v>1078</v>
      </c>
      <c r="D188" s="350">
        <v>0</v>
      </c>
      <c r="E188" s="350">
        <v>0</v>
      </c>
      <c r="F188" s="351">
        <v>56500</v>
      </c>
      <c r="G188" s="351">
        <v>0</v>
      </c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  <c r="AX188" s="257"/>
      <c r="AY188" s="257"/>
    </row>
    <row r="189" spans="1:51" s="239" customFormat="1" ht="38.25" hidden="1" outlineLevel="1">
      <c r="A189" s="239" t="s">
        <v>87</v>
      </c>
      <c r="B189" s="239" t="s">
        <v>88</v>
      </c>
      <c r="C189" s="240" t="s">
        <v>89</v>
      </c>
      <c r="D189" s="350">
        <v>0</v>
      </c>
      <c r="E189" s="350">
        <v>0</v>
      </c>
      <c r="F189" s="351">
        <v>1000</v>
      </c>
      <c r="G189" s="351">
        <v>0</v>
      </c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57"/>
      <c r="AY189" s="257"/>
    </row>
    <row r="190" spans="1:51" s="239" customFormat="1" ht="38.25" hidden="1" outlineLevel="1">
      <c r="A190" s="239" t="s">
        <v>1079</v>
      </c>
      <c r="B190" s="239" t="s">
        <v>1080</v>
      </c>
      <c r="C190" s="240" t="s">
        <v>1081</v>
      </c>
      <c r="D190" s="350">
        <v>0</v>
      </c>
      <c r="E190" s="350">
        <v>200</v>
      </c>
      <c r="F190" s="351">
        <v>0</v>
      </c>
      <c r="G190" s="351">
        <v>0</v>
      </c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  <c r="AX190" s="257"/>
      <c r="AY190" s="257"/>
    </row>
    <row r="191" spans="1:51" ht="12.75" customHeight="1" collapsed="1">
      <c r="A191" s="118" t="s">
        <v>90</v>
      </c>
      <c r="B191" s="306" t="s">
        <v>1082</v>
      </c>
      <c r="C191" s="348"/>
      <c r="D191" s="298">
        <v>0</v>
      </c>
      <c r="E191" s="298">
        <v>200</v>
      </c>
      <c r="F191" s="298">
        <v>57500</v>
      </c>
      <c r="G191" s="298">
        <v>0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</row>
    <row r="192" spans="1:51" ht="12.75" customHeight="1">
      <c r="A192" s="118" t="s">
        <v>91</v>
      </c>
      <c r="B192" s="306" t="s">
        <v>1083</v>
      </c>
      <c r="C192" s="348"/>
      <c r="D192" s="298">
        <v>0</v>
      </c>
      <c r="E192" s="298">
        <v>0</v>
      </c>
      <c r="F192" s="298">
        <v>0</v>
      </c>
      <c r="G192" s="298">
        <v>0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</row>
    <row r="193" spans="1:51" ht="12.75" customHeight="1">
      <c r="A193" s="118" t="s">
        <v>92</v>
      </c>
      <c r="B193" s="306" t="s">
        <v>1084</v>
      </c>
      <c r="C193" s="348"/>
      <c r="D193" s="298">
        <v>0</v>
      </c>
      <c r="E193" s="298">
        <v>0</v>
      </c>
      <c r="F193" s="298">
        <v>0</v>
      </c>
      <c r="G193" s="298">
        <v>0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</row>
    <row r="194" spans="1:51" s="239" customFormat="1" ht="38.25" hidden="1" outlineLevel="1">
      <c r="A194" s="239" t="s">
        <v>2483</v>
      </c>
      <c r="B194" s="239" t="s">
        <v>2484</v>
      </c>
      <c r="C194" s="240" t="s">
        <v>2485</v>
      </c>
      <c r="D194" s="350">
        <v>6816.85</v>
      </c>
      <c r="E194" s="350">
        <v>292.11</v>
      </c>
      <c r="F194" s="351">
        <v>0</v>
      </c>
      <c r="G194" s="351">
        <v>0</v>
      </c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  <c r="AA194" s="257"/>
      <c r="AB194" s="257"/>
      <c r="AC194" s="257"/>
      <c r="AD194" s="257"/>
      <c r="AE194" s="257"/>
      <c r="AF194" s="257"/>
      <c r="AG194" s="257"/>
      <c r="AH194" s="257"/>
      <c r="AI194" s="257"/>
      <c r="AJ194" s="257"/>
      <c r="AK194" s="257"/>
      <c r="AL194" s="257"/>
      <c r="AM194" s="257"/>
      <c r="AN194" s="257"/>
      <c r="AO194" s="257"/>
      <c r="AP194" s="257"/>
      <c r="AQ194" s="257"/>
      <c r="AR194" s="257"/>
      <c r="AS194" s="257"/>
      <c r="AT194" s="257"/>
      <c r="AU194" s="257"/>
      <c r="AV194" s="257"/>
      <c r="AW194" s="257"/>
      <c r="AX194" s="257"/>
      <c r="AY194" s="257"/>
    </row>
    <row r="195" spans="1:51" s="239" customFormat="1" ht="38.25" hidden="1" outlineLevel="1">
      <c r="A195" s="239" t="s">
        <v>831</v>
      </c>
      <c r="B195" s="239" t="s">
        <v>832</v>
      </c>
      <c r="C195" s="240" t="s">
        <v>833</v>
      </c>
      <c r="D195" s="350">
        <v>0</v>
      </c>
      <c r="E195" s="350">
        <v>137567.59</v>
      </c>
      <c r="F195" s="351">
        <v>2419467.54</v>
      </c>
      <c r="G195" s="351">
        <v>0</v>
      </c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  <c r="AA195" s="257"/>
      <c r="AB195" s="257"/>
      <c r="AC195" s="257"/>
      <c r="AD195" s="257"/>
      <c r="AE195" s="257"/>
      <c r="AF195" s="257"/>
      <c r="AG195" s="257"/>
      <c r="AH195" s="257"/>
      <c r="AI195" s="257"/>
      <c r="AJ195" s="257"/>
      <c r="AK195" s="257"/>
      <c r="AL195" s="257"/>
      <c r="AM195" s="257"/>
      <c r="AN195" s="257"/>
      <c r="AO195" s="257"/>
      <c r="AP195" s="257"/>
      <c r="AQ195" s="257"/>
      <c r="AR195" s="257"/>
      <c r="AS195" s="257"/>
      <c r="AT195" s="257"/>
      <c r="AU195" s="257"/>
      <c r="AV195" s="257"/>
      <c r="AW195" s="257"/>
      <c r="AX195" s="257"/>
      <c r="AY195" s="257"/>
    </row>
    <row r="196" spans="1:51" s="239" customFormat="1" ht="38.25" hidden="1" outlineLevel="1">
      <c r="A196" s="239" t="s">
        <v>2472</v>
      </c>
      <c r="B196" s="239" t="s">
        <v>2473</v>
      </c>
      <c r="C196" s="240" t="s">
        <v>2474</v>
      </c>
      <c r="D196" s="350">
        <v>-133052</v>
      </c>
      <c r="E196" s="350">
        <v>-566237</v>
      </c>
      <c r="F196" s="351">
        <v>0</v>
      </c>
      <c r="G196" s="351">
        <v>-654204</v>
      </c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7"/>
      <c r="AK196" s="257"/>
      <c r="AL196" s="257"/>
      <c r="AM196" s="257"/>
      <c r="AN196" s="257"/>
      <c r="AO196" s="257"/>
      <c r="AP196" s="257"/>
      <c r="AQ196" s="257"/>
      <c r="AR196" s="257"/>
      <c r="AS196" s="257"/>
      <c r="AT196" s="257"/>
      <c r="AU196" s="257"/>
      <c r="AV196" s="257"/>
      <c r="AW196" s="257"/>
      <c r="AX196" s="257"/>
      <c r="AY196" s="257"/>
    </row>
    <row r="197" spans="1:51" s="239" customFormat="1" ht="38.25" hidden="1" outlineLevel="1">
      <c r="A197" s="239" t="s">
        <v>2492</v>
      </c>
      <c r="B197" s="239" t="s">
        <v>2493</v>
      </c>
      <c r="C197" s="240" t="s">
        <v>2494</v>
      </c>
      <c r="D197" s="350">
        <v>0</v>
      </c>
      <c r="E197" s="350">
        <v>-1805.94</v>
      </c>
      <c r="F197" s="351">
        <v>0</v>
      </c>
      <c r="G197" s="351">
        <v>-1921.63</v>
      </c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  <c r="AA197" s="257"/>
      <c r="AB197" s="257"/>
      <c r="AC197" s="257"/>
      <c r="AD197" s="257"/>
      <c r="AE197" s="257"/>
      <c r="AF197" s="257"/>
      <c r="AG197" s="257"/>
      <c r="AH197" s="257"/>
      <c r="AI197" s="257"/>
      <c r="AJ197" s="257"/>
      <c r="AK197" s="257"/>
      <c r="AL197" s="257"/>
      <c r="AM197" s="257"/>
      <c r="AN197" s="257"/>
      <c r="AO197" s="257"/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</row>
    <row r="198" spans="1:51" s="239" customFormat="1" ht="38.25" hidden="1" outlineLevel="1">
      <c r="A198" s="239" t="s">
        <v>2321</v>
      </c>
      <c r="B198" s="239" t="s">
        <v>2322</v>
      </c>
      <c r="C198" s="240" t="s">
        <v>2323</v>
      </c>
      <c r="D198" s="350">
        <v>0</v>
      </c>
      <c r="E198" s="350">
        <v>-283055.18</v>
      </c>
      <c r="F198" s="351">
        <v>-505260.67</v>
      </c>
      <c r="G198" s="351">
        <v>-170000</v>
      </c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  <c r="AA198" s="257"/>
      <c r="AB198" s="257"/>
      <c r="AC198" s="257"/>
      <c r="AD198" s="257"/>
      <c r="AE198" s="257"/>
      <c r="AF198" s="257"/>
      <c r="AG198" s="257"/>
      <c r="AH198" s="257"/>
      <c r="AI198" s="257"/>
      <c r="AJ198" s="257"/>
      <c r="AK198" s="257"/>
      <c r="AL198" s="257"/>
      <c r="AM198" s="257"/>
      <c r="AN198" s="257"/>
      <c r="AO198" s="257"/>
      <c r="AP198" s="257"/>
      <c r="AQ198" s="257"/>
      <c r="AR198" s="257"/>
      <c r="AS198" s="257"/>
      <c r="AT198" s="257"/>
      <c r="AU198" s="257"/>
      <c r="AV198" s="257"/>
      <c r="AW198" s="257"/>
      <c r="AX198" s="257"/>
      <c r="AY198" s="257"/>
    </row>
    <row r="199" spans="1:51" ht="12.75" customHeight="1" collapsed="1">
      <c r="A199" s="118" t="s">
        <v>93</v>
      </c>
      <c r="B199" s="306" t="s">
        <v>1085</v>
      </c>
      <c r="C199" s="348"/>
      <c r="D199" s="298">
        <v>-126235.15</v>
      </c>
      <c r="E199" s="298">
        <v>-713238.42</v>
      </c>
      <c r="F199" s="298">
        <v>1914206.87</v>
      </c>
      <c r="G199" s="298">
        <v>-826125.63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</row>
    <row r="200" spans="2:51" ht="12.75" customHeight="1">
      <c r="B200" s="346" t="s">
        <v>94</v>
      </c>
      <c r="C200" s="348"/>
      <c r="D200" s="298"/>
      <c r="E200" s="298"/>
      <c r="F200" s="298"/>
      <c r="G200" s="29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</row>
    <row r="201" spans="2:51" s="169" customFormat="1" ht="12.75" customHeight="1">
      <c r="B201" s="346" t="s">
        <v>95</v>
      </c>
      <c r="C201" s="325"/>
      <c r="D201" s="301">
        <f>D187+D191+D192+D193+D199</f>
        <v>-126235.15</v>
      </c>
      <c r="E201" s="301">
        <f>E187+E191+E192+E193+E199</f>
        <v>-713038.42</v>
      </c>
      <c r="F201" s="301">
        <f>F187+F191+F192+F193+F199</f>
        <v>1971706.87</v>
      </c>
      <c r="G201" s="301">
        <f>G187+G191+G192+G193+G199</f>
        <v>-826125.63</v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</row>
    <row r="202" spans="2:51" ht="12.75" customHeight="1">
      <c r="B202" s="306"/>
      <c r="C202" s="348"/>
      <c r="D202" s="298"/>
      <c r="E202" s="298"/>
      <c r="F202" s="298"/>
      <c r="G202" s="29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</row>
    <row r="203" spans="2:51" s="169" customFormat="1" ht="12.75" customHeight="1">
      <c r="B203" s="320" t="s">
        <v>96</v>
      </c>
      <c r="C203" s="352"/>
      <c r="D203" s="301">
        <f>D184+D201</f>
        <v>-13601.549999998504</v>
      </c>
      <c r="E203" s="301">
        <f>E184+E201</f>
        <v>89622.95000000007</v>
      </c>
      <c r="F203" s="301">
        <f>F184+F201</f>
        <v>97329.23000000045</v>
      </c>
      <c r="G203" s="301">
        <f>G184+G201</f>
        <v>689919.1899999998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</row>
    <row r="204" spans="2:51" ht="12.75" customHeight="1">
      <c r="B204" s="306"/>
      <c r="C204" s="348"/>
      <c r="D204" s="298"/>
      <c r="E204" s="298"/>
      <c r="F204" s="298"/>
      <c r="G204" s="29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</row>
    <row r="205" spans="1:51" s="239" customFormat="1" ht="38.25" hidden="1" outlineLevel="1">
      <c r="A205" s="239" t="s">
        <v>2499</v>
      </c>
      <c r="B205" s="239" t="s">
        <v>2500</v>
      </c>
      <c r="C205" s="240" t="s">
        <v>2501</v>
      </c>
      <c r="D205" s="350">
        <v>-1904622.23</v>
      </c>
      <c r="E205" s="350">
        <v>-1657827.5</v>
      </c>
      <c r="F205" s="351">
        <v>-736663.62</v>
      </c>
      <c r="G205" s="351">
        <v>882326.9</v>
      </c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  <c r="AA205" s="257"/>
      <c r="AB205" s="257"/>
      <c r="AC205" s="257"/>
      <c r="AD205" s="257"/>
      <c r="AE205" s="257"/>
      <c r="AF205" s="257"/>
      <c r="AG205" s="257"/>
      <c r="AH205" s="257"/>
      <c r="AI205" s="257"/>
      <c r="AJ205" s="257"/>
      <c r="AK205" s="257"/>
      <c r="AL205" s="257"/>
      <c r="AM205" s="257"/>
      <c r="AN205" s="257"/>
      <c r="AO205" s="257"/>
      <c r="AP205" s="257"/>
      <c r="AQ205" s="257"/>
      <c r="AR205" s="257"/>
      <c r="AS205" s="257"/>
      <c r="AT205" s="257"/>
      <c r="AU205" s="257"/>
      <c r="AV205" s="257"/>
      <c r="AW205" s="257"/>
      <c r="AX205" s="257"/>
      <c r="AY205" s="257"/>
    </row>
    <row r="206" spans="1:8" s="257" customFormat="1" ht="12.75" customHeight="1" collapsed="1">
      <c r="A206" s="354" t="s">
        <v>2502</v>
      </c>
      <c r="B206" s="23" t="s">
        <v>2503</v>
      </c>
      <c r="C206" s="72"/>
      <c r="D206" s="39">
        <v>-1904622.23</v>
      </c>
      <c r="E206" s="39">
        <v>-1657827.5</v>
      </c>
      <c r="F206" s="39">
        <v>-736663.62</v>
      </c>
      <c r="G206" s="39">
        <v>882326.9</v>
      </c>
      <c r="H206" s="355"/>
    </row>
    <row r="207" spans="1:8" s="257" customFormat="1" ht="12.75" customHeight="1">
      <c r="A207" s="354"/>
      <c r="B207" s="23"/>
      <c r="C207" s="72"/>
      <c r="D207" s="27"/>
      <c r="E207" s="27"/>
      <c r="F207" s="27"/>
      <c r="G207" s="27"/>
      <c r="H207" s="355"/>
    </row>
    <row r="208" spans="1:8" s="257" customFormat="1" ht="12.75" customHeight="1">
      <c r="A208" s="354"/>
      <c r="B208" s="23" t="s">
        <v>3060</v>
      </c>
      <c r="C208" s="72"/>
      <c r="D208" s="356">
        <f>D203+D206</f>
        <v>-1918223.7799999984</v>
      </c>
      <c r="E208" s="356">
        <f>E203+E206</f>
        <v>-1568204.5499999998</v>
      </c>
      <c r="F208" s="356">
        <f>F203+F206</f>
        <v>-639334.3899999995</v>
      </c>
      <c r="G208" s="356">
        <f>G203+G206</f>
        <v>1572246.0899999999</v>
      </c>
      <c r="H208" s="355"/>
    </row>
    <row r="209" spans="3:8" s="257" customFormat="1" ht="12.75">
      <c r="C209" s="357"/>
      <c r="D209" s="328"/>
      <c r="E209" s="328"/>
      <c r="F209" s="328"/>
      <c r="G209" s="328"/>
      <c r="H209" s="358"/>
    </row>
    <row r="210" spans="3:7" s="257" customFormat="1" ht="12.75">
      <c r="C210" s="357"/>
      <c r="D210" s="118"/>
      <c r="E210" s="118"/>
      <c r="F210" s="118"/>
      <c r="G210" s="118"/>
    </row>
    <row r="211" spans="3:7" s="257" customFormat="1" ht="12.75">
      <c r="C211" s="357"/>
      <c r="D211" s="118"/>
      <c r="E211" s="118"/>
      <c r="F211" s="118"/>
      <c r="G211" s="118"/>
    </row>
    <row r="212" spans="3:7" s="257" customFormat="1" ht="12.75">
      <c r="C212" s="357"/>
      <c r="D212" s="118"/>
      <c r="E212" s="118"/>
      <c r="F212" s="118"/>
      <c r="G212" s="118"/>
    </row>
    <row r="213" spans="3:7" s="257" customFormat="1" ht="12.75">
      <c r="C213" s="357"/>
      <c r="D213" s="118"/>
      <c r="E213" s="118"/>
      <c r="F213" s="118"/>
      <c r="G213" s="118"/>
    </row>
    <row r="214" spans="3:7" s="257" customFormat="1" ht="12.75">
      <c r="C214" s="357"/>
      <c r="D214" s="118"/>
      <c r="E214" s="118"/>
      <c r="F214" s="118"/>
      <c r="G214" s="118"/>
    </row>
    <row r="215" spans="3:7" s="257" customFormat="1" ht="12.75">
      <c r="C215" s="357"/>
      <c r="D215" s="118"/>
      <c r="E215" s="118"/>
      <c r="F215" s="118"/>
      <c r="G215" s="118"/>
    </row>
    <row r="216" spans="3:7" s="257" customFormat="1" ht="12.75">
      <c r="C216" s="357"/>
      <c r="D216" s="118"/>
      <c r="E216" s="118"/>
      <c r="F216" s="118"/>
      <c r="G216" s="118"/>
    </row>
    <row r="217" spans="3:7" s="257" customFormat="1" ht="12.75">
      <c r="C217" s="357"/>
      <c r="D217" s="118"/>
      <c r="E217" s="118"/>
      <c r="F217" s="118"/>
      <c r="G217" s="118"/>
    </row>
    <row r="218" spans="3:7" s="257" customFormat="1" ht="12.75">
      <c r="C218" s="357"/>
      <c r="D218" s="118"/>
      <c r="E218" s="118"/>
      <c r="F218" s="118"/>
      <c r="G218" s="118"/>
    </row>
    <row r="219" spans="3:7" s="257" customFormat="1" ht="12.75">
      <c r="C219" s="357"/>
      <c r="D219" s="118"/>
      <c r="E219" s="118"/>
      <c r="F219" s="118"/>
      <c r="G219" s="118"/>
    </row>
    <row r="220" spans="3:7" s="257" customFormat="1" ht="12.75">
      <c r="C220" s="357"/>
      <c r="D220" s="118"/>
      <c r="E220" s="118"/>
      <c r="F220" s="118"/>
      <c r="G220" s="118"/>
    </row>
    <row r="221" spans="3:7" s="257" customFormat="1" ht="12.75">
      <c r="C221" s="357"/>
      <c r="D221" s="118"/>
      <c r="E221" s="118"/>
      <c r="F221" s="118"/>
      <c r="G221" s="118"/>
    </row>
    <row r="222" spans="3:7" s="257" customFormat="1" ht="12.75">
      <c r="C222" s="357"/>
      <c r="D222" s="118"/>
      <c r="E222" s="118"/>
      <c r="F222" s="118"/>
      <c r="G222" s="118"/>
    </row>
    <row r="223" spans="3:7" s="257" customFormat="1" ht="12.75">
      <c r="C223" s="357"/>
      <c r="D223" s="118"/>
      <c r="E223" s="118"/>
      <c r="F223" s="118"/>
      <c r="G223" s="118"/>
    </row>
    <row r="224" spans="3:7" s="257" customFormat="1" ht="12.75">
      <c r="C224" s="357"/>
      <c r="D224" s="118"/>
      <c r="E224" s="118"/>
      <c r="F224" s="118"/>
      <c r="G224" s="118"/>
    </row>
    <row r="225" spans="3:7" s="257" customFormat="1" ht="12.75">
      <c r="C225" s="357"/>
      <c r="D225" s="118"/>
      <c r="E225" s="118"/>
      <c r="F225" s="118"/>
      <c r="G225" s="118"/>
    </row>
    <row r="226" spans="3:7" s="257" customFormat="1" ht="12.75">
      <c r="C226" s="357"/>
      <c r="D226" s="118"/>
      <c r="E226" s="118"/>
      <c r="F226" s="118"/>
      <c r="G226" s="118"/>
    </row>
    <row r="227" spans="3:7" s="257" customFormat="1" ht="12.75">
      <c r="C227" s="357"/>
      <c r="D227" s="118"/>
      <c r="E227" s="118"/>
      <c r="F227" s="118"/>
      <c r="G227" s="118"/>
    </row>
    <row r="228" spans="3:7" s="257" customFormat="1" ht="12.75">
      <c r="C228" s="357"/>
      <c r="D228" s="118"/>
      <c r="E228" s="118"/>
      <c r="F228" s="118"/>
      <c r="G228" s="118"/>
    </row>
    <row r="229" spans="3:7" s="257" customFormat="1" ht="12.75">
      <c r="C229" s="357"/>
      <c r="D229" s="118"/>
      <c r="E229" s="118"/>
      <c r="F229" s="118"/>
      <c r="G229" s="118"/>
    </row>
    <row r="230" spans="3:7" s="257" customFormat="1" ht="12.75">
      <c r="C230" s="357"/>
      <c r="D230" s="118"/>
      <c r="E230" s="118"/>
      <c r="F230" s="118"/>
      <c r="G230" s="118"/>
    </row>
    <row r="231" spans="3:7" s="257" customFormat="1" ht="12.75">
      <c r="C231" s="357"/>
      <c r="D231" s="118"/>
      <c r="E231" s="118"/>
      <c r="F231" s="118"/>
      <c r="G231" s="118"/>
    </row>
    <row r="232" spans="3:7" s="257" customFormat="1" ht="12.75">
      <c r="C232" s="357"/>
      <c r="D232" s="118"/>
      <c r="E232" s="118"/>
      <c r="F232" s="118"/>
      <c r="G232" s="118"/>
    </row>
    <row r="233" spans="3:7" s="257" customFormat="1" ht="12.75">
      <c r="C233" s="357"/>
      <c r="D233" s="118"/>
      <c r="E233" s="118"/>
      <c r="F233" s="118"/>
      <c r="G233" s="118"/>
    </row>
    <row r="234" spans="3:7" s="257" customFormat="1" ht="12.75">
      <c r="C234" s="357"/>
      <c r="D234" s="118"/>
      <c r="E234" s="118"/>
      <c r="F234" s="118"/>
      <c r="G234" s="118"/>
    </row>
    <row r="235" spans="3:7" s="257" customFormat="1" ht="12.75">
      <c r="C235" s="357"/>
      <c r="D235" s="118"/>
      <c r="E235" s="118"/>
      <c r="F235" s="118"/>
      <c r="G235" s="118"/>
    </row>
    <row r="236" spans="3:7" s="257" customFormat="1" ht="12.75">
      <c r="C236" s="357"/>
      <c r="D236" s="118"/>
      <c r="E236" s="118"/>
      <c r="F236" s="118"/>
      <c r="G236" s="118"/>
    </row>
    <row r="237" spans="3:7" s="257" customFormat="1" ht="12.75">
      <c r="C237" s="357"/>
      <c r="D237" s="118"/>
      <c r="E237" s="118"/>
      <c r="F237" s="118"/>
      <c r="G237" s="118"/>
    </row>
    <row r="238" spans="3:7" s="257" customFormat="1" ht="12.75">
      <c r="C238" s="357"/>
      <c r="D238" s="118"/>
      <c r="E238" s="118"/>
      <c r="F238" s="118"/>
      <c r="G238" s="118"/>
    </row>
    <row r="239" spans="3:7" s="257" customFormat="1" ht="12.75">
      <c r="C239" s="357"/>
      <c r="D239" s="118"/>
      <c r="E239" s="118"/>
      <c r="F239" s="118"/>
      <c r="G239" s="118"/>
    </row>
    <row r="240" spans="3:7" s="257" customFormat="1" ht="12.75">
      <c r="C240" s="357"/>
      <c r="D240" s="118"/>
      <c r="E240" s="118"/>
      <c r="F240" s="118"/>
      <c r="G240" s="118"/>
    </row>
    <row r="241" spans="3:7" s="257" customFormat="1" ht="12.75">
      <c r="C241" s="357"/>
      <c r="D241" s="118"/>
      <c r="E241" s="118"/>
      <c r="F241" s="118"/>
      <c r="G241" s="118"/>
    </row>
    <row r="242" spans="3:7" s="257" customFormat="1" ht="12.75">
      <c r="C242" s="357"/>
      <c r="D242" s="118"/>
      <c r="E242" s="118"/>
      <c r="F242" s="118"/>
      <c r="G242" s="118"/>
    </row>
    <row r="243" spans="3:7" s="257" customFormat="1" ht="12.75">
      <c r="C243" s="357"/>
      <c r="D243" s="118"/>
      <c r="E243" s="118"/>
      <c r="F243" s="118"/>
      <c r="G243" s="118"/>
    </row>
    <row r="244" spans="3:7" s="257" customFormat="1" ht="12.75">
      <c r="C244" s="357"/>
      <c r="D244" s="118"/>
      <c r="E244" s="118"/>
      <c r="F244" s="118"/>
      <c r="G244" s="118"/>
    </row>
    <row r="245" spans="3:7" s="257" customFormat="1" ht="12.75">
      <c r="C245" s="357"/>
      <c r="D245" s="118"/>
      <c r="E245" s="118"/>
      <c r="F245" s="118"/>
      <c r="G245" s="118"/>
    </row>
    <row r="246" spans="3:7" s="257" customFormat="1" ht="12.75">
      <c r="C246" s="357"/>
      <c r="D246" s="118"/>
      <c r="E246" s="118"/>
      <c r="F246" s="118"/>
      <c r="G246" s="118"/>
    </row>
    <row r="247" spans="3:7" s="257" customFormat="1" ht="12.75">
      <c r="C247" s="357"/>
      <c r="D247" s="118"/>
      <c r="E247" s="118"/>
      <c r="F247" s="118"/>
      <c r="G247" s="118"/>
    </row>
    <row r="248" spans="3:7" s="257" customFormat="1" ht="12.75">
      <c r="C248" s="357"/>
      <c r="D248" s="118"/>
      <c r="E248" s="118"/>
      <c r="F248" s="118"/>
      <c r="G248" s="118"/>
    </row>
    <row r="249" spans="3:7" s="257" customFormat="1" ht="12.75">
      <c r="C249" s="357"/>
      <c r="D249" s="118"/>
      <c r="E249" s="118"/>
      <c r="F249" s="118"/>
      <c r="G249" s="118"/>
    </row>
    <row r="250" spans="3:7" s="257" customFormat="1" ht="12.75">
      <c r="C250" s="357"/>
      <c r="D250" s="118"/>
      <c r="E250" s="118"/>
      <c r="F250" s="118"/>
      <c r="G250" s="118"/>
    </row>
    <row r="251" spans="3:7" s="257" customFormat="1" ht="12.75">
      <c r="C251" s="357"/>
      <c r="D251" s="118"/>
      <c r="E251" s="118"/>
      <c r="F251" s="118"/>
      <c r="G251" s="118"/>
    </row>
    <row r="252" spans="3:7" s="257" customFormat="1" ht="12.75">
      <c r="C252" s="357"/>
      <c r="D252" s="118"/>
      <c r="E252" s="118"/>
      <c r="F252" s="118"/>
      <c r="G252" s="118"/>
    </row>
    <row r="253" spans="3:7" s="257" customFormat="1" ht="12.75">
      <c r="C253" s="357"/>
      <c r="D253" s="118"/>
      <c r="E253" s="118"/>
      <c r="F253" s="118"/>
      <c r="G253" s="118"/>
    </row>
    <row r="254" spans="3:7" s="257" customFormat="1" ht="12.75">
      <c r="C254" s="357"/>
      <c r="D254" s="118"/>
      <c r="E254" s="118"/>
      <c r="F254" s="118"/>
      <c r="G254" s="118"/>
    </row>
    <row r="255" spans="3:7" s="257" customFormat="1" ht="12.75">
      <c r="C255" s="357"/>
      <c r="D255" s="118"/>
      <c r="E255" s="118"/>
      <c r="F255" s="118"/>
      <c r="G255" s="118"/>
    </row>
    <row r="256" spans="3:7" s="257" customFormat="1" ht="12.75">
      <c r="C256" s="357"/>
      <c r="D256" s="118"/>
      <c r="E256" s="118"/>
      <c r="F256" s="118"/>
      <c r="G256" s="118"/>
    </row>
    <row r="257" spans="3:7" s="257" customFormat="1" ht="12.75">
      <c r="C257" s="357"/>
      <c r="D257" s="118"/>
      <c r="E257" s="118"/>
      <c r="F257" s="118"/>
      <c r="G257" s="118"/>
    </row>
    <row r="258" spans="3:7" s="257" customFormat="1" ht="12.75">
      <c r="C258" s="357"/>
      <c r="D258" s="118"/>
      <c r="E258" s="118"/>
      <c r="F258" s="118"/>
      <c r="G258" s="118"/>
    </row>
    <row r="259" spans="3:7" s="257" customFormat="1" ht="12.75">
      <c r="C259" s="357"/>
      <c r="D259" s="118"/>
      <c r="E259" s="118"/>
      <c r="F259" s="118"/>
      <c r="G259" s="118"/>
    </row>
    <row r="260" spans="3:7" s="257" customFormat="1" ht="12.75">
      <c r="C260" s="357"/>
      <c r="D260" s="118"/>
      <c r="E260" s="118"/>
      <c r="F260" s="118"/>
      <c r="G260" s="118"/>
    </row>
    <row r="261" spans="3:7" s="257" customFormat="1" ht="12.75">
      <c r="C261" s="357"/>
      <c r="D261" s="118"/>
      <c r="E261" s="118"/>
      <c r="F261" s="118"/>
      <c r="G261" s="118"/>
    </row>
    <row r="262" spans="3:7" s="257" customFormat="1" ht="12.75">
      <c r="C262" s="357"/>
      <c r="D262" s="118"/>
      <c r="E262" s="118"/>
      <c r="F262" s="118"/>
      <c r="G262" s="118"/>
    </row>
    <row r="263" spans="3:7" s="257" customFormat="1" ht="12.75">
      <c r="C263" s="357"/>
      <c r="D263" s="118"/>
      <c r="E263" s="118"/>
      <c r="F263" s="118"/>
      <c r="G263" s="118"/>
    </row>
    <row r="264" spans="3:7" s="257" customFormat="1" ht="12.75">
      <c r="C264" s="357"/>
      <c r="D264" s="118"/>
      <c r="E264" s="118"/>
      <c r="F264" s="118"/>
      <c r="G264" s="118"/>
    </row>
    <row r="265" spans="3:7" s="257" customFormat="1" ht="12.75">
      <c r="C265" s="357"/>
      <c r="D265" s="118"/>
      <c r="E265" s="118"/>
      <c r="F265" s="118"/>
      <c r="G265" s="118"/>
    </row>
    <row r="266" spans="3:7" s="257" customFormat="1" ht="12.75">
      <c r="C266" s="357"/>
      <c r="D266" s="118"/>
      <c r="E266" s="118"/>
      <c r="F266" s="118"/>
      <c r="G266" s="118"/>
    </row>
    <row r="267" spans="3:7" s="257" customFormat="1" ht="12.75">
      <c r="C267" s="357"/>
      <c r="D267" s="118"/>
      <c r="E267" s="118"/>
      <c r="F267" s="118"/>
      <c r="G267" s="118"/>
    </row>
    <row r="268" spans="3:7" s="257" customFormat="1" ht="12.75">
      <c r="C268" s="357"/>
      <c r="D268" s="118"/>
      <c r="E268" s="118"/>
      <c r="F268" s="118"/>
      <c r="G268" s="118"/>
    </row>
    <row r="269" spans="3:7" s="257" customFormat="1" ht="12.75">
      <c r="C269" s="357"/>
      <c r="D269" s="118"/>
      <c r="E269" s="118"/>
      <c r="F269" s="118"/>
      <c r="G269" s="118"/>
    </row>
    <row r="270" spans="3:7" s="257" customFormat="1" ht="12.75">
      <c r="C270" s="357"/>
      <c r="D270" s="118"/>
      <c r="E270" s="118"/>
      <c r="F270" s="118"/>
      <c r="G270" s="118"/>
    </row>
    <row r="271" spans="3:7" s="257" customFormat="1" ht="12.75">
      <c r="C271" s="357"/>
      <c r="D271" s="118"/>
      <c r="E271" s="118"/>
      <c r="F271" s="118"/>
      <c r="G271" s="118"/>
    </row>
    <row r="272" spans="3:7" s="257" customFormat="1" ht="12.75">
      <c r="C272" s="357"/>
      <c r="D272" s="118"/>
      <c r="E272" s="118"/>
      <c r="F272" s="118"/>
      <c r="G272" s="118"/>
    </row>
    <row r="273" spans="3:7" s="257" customFormat="1" ht="12.75">
      <c r="C273" s="357"/>
      <c r="D273" s="118"/>
      <c r="E273" s="118"/>
      <c r="F273" s="118"/>
      <c r="G273" s="118"/>
    </row>
    <row r="274" spans="3:7" s="257" customFormat="1" ht="12.75">
      <c r="C274" s="357"/>
      <c r="D274" s="118"/>
      <c r="E274" s="118"/>
      <c r="F274" s="118"/>
      <c r="G274" s="118"/>
    </row>
    <row r="275" spans="3:7" s="257" customFormat="1" ht="12.75">
      <c r="C275" s="357"/>
      <c r="D275" s="118"/>
      <c r="E275" s="118"/>
      <c r="F275" s="118"/>
      <c r="G275" s="118"/>
    </row>
    <row r="276" spans="3:7" s="257" customFormat="1" ht="12.75">
      <c r="C276" s="357"/>
      <c r="D276" s="118"/>
      <c r="E276" s="118"/>
      <c r="F276" s="118"/>
      <c r="G276" s="118"/>
    </row>
    <row r="277" spans="3:7" s="257" customFormat="1" ht="12.75">
      <c r="C277" s="357"/>
      <c r="D277" s="118"/>
      <c r="E277" s="118"/>
      <c r="F277" s="118"/>
      <c r="G277" s="118"/>
    </row>
    <row r="278" spans="3:7" s="257" customFormat="1" ht="12.75">
      <c r="C278" s="357"/>
      <c r="D278" s="118"/>
      <c r="E278" s="118"/>
      <c r="F278" s="118"/>
      <c r="G278" s="118"/>
    </row>
    <row r="279" spans="3:7" s="257" customFormat="1" ht="12.75">
      <c r="C279" s="357"/>
      <c r="D279" s="118"/>
      <c r="E279" s="118"/>
      <c r="F279" s="118"/>
      <c r="G279" s="118"/>
    </row>
    <row r="280" spans="3:7" s="257" customFormat="1" ht="12.75">
      <c r="C280" s="357"/>
      <c r="D280" s="118"/>
      <c r="E280" s="118"/>
      <c r="F280" s="118"/>
      <c r="G280" s="118"/>
    </row>
    <row r="281" spans="3:7" s="257" customFormat="1" ht="12.75">
      <c r="C281" s="357"/>
      <c r="D281" s="118"/>
      <c r="E281" s="118"/>
      <c r="F281" s="118"/>
      <c r="G281" s="118"/>
    </row>
    <row r="282" spans="3:7" s="257" customFormat="1" ht="12.75">
      <c r="C282" s="357"/>
      <c r="D282" s="118"/>
      <c r="E282" s="118"/>
      <c r="F282" s="118"/>
      <c r="G282" s="118"/>
    </row>
    <row r="283" spans="3:7" s="257" customFormat="1" ht="12.75">
      <c r="C283" s="357"/>
      <c r="D283" s="118"/>
      <c r="E283" s="118"/>
      <c r="F283" s="118"/>
      <c r="G283" s="118"/>
    </row>
    <row r="284" spans="3:7" s="257" customFormat="1" ht="12.75">
      <c r="C284" s="357"/>
      <c r="D284" s="118"/>
      <c r="E284" s="118"/>
      <c r="F284" s="118"/>
      <c r="G284" s="118"/>
    </row>
    <row r="285" spans="3:7" s="257" customFormat="1" ht="12.75">
      <c r="C285" s="357"/>
      <c r="D285" s="118"/>
      <c r="E285" s="118"/>
      <c r="F285" s="118"/>
      <c r="G285" s="118"/>
    </row>
    <row r="286" spans="3:7" s="257" customFormat="1" ht="12.75">
      <c r="C286" s="357"/>
      <c r="D286" s="118"/>
      <c r="E286" s="118"/>
      <c r="F286" s="118"/>
      <c r="G286" s="118"/>
    </row>
    <row r="287" spans="3:7" s="257" customFormat="1" ht="12.75">
      <c r="C287" s="357"/>
      <c r="D287" s="118"/>
      <c r="E287" s="118"/>
      <c r="F287" s="118"/>
      <c r="G287" s="118"/>
    </row>
    <row r="288" spans="3:7" s="257" customFormat="1" ht="12.75">
      <c r="C288" s="357"/>
      <c r="D288" s="118"/>
      <c r="E288" s="118"/>
      <c r="F288" s="118"/>
      <c r="G288" s="118"/>
    </row>
    <row r="289" spans="3:7" s="257" customFormat="1" ht="12.75">
      <c r="C289" s="357"/>
      <c r="D289" s="118"/>
      <c r="E289" s="118"/>
      <c r="F289" s="118"/>
      <c r="G289" s="118"/>
    </row>
    <row r="290" spans="3:7" s="257" customFormat="1" ht="12.75">
      <c r="C290" s="357"/>
      <c r="D290" s="118"/>
      <c r="E290" s="118"/>
      <c r="F290" s="118"/>
      <c r="G290" s="118"/>
    </row>
    <row r="291" spans="3:7" s="257" customFormat="1" ht="12.75">
      <c r="C291" s="357"/>
      <c r="D291" s="118"/>
      <c r="E291" s="118"/>
      <c r="F291" s="118"/>
      <c r="G291" s="118"/>
    </row>
    <row r="292" spans="3:7" s="257" customFormat="1" ht="12.75">
      <c r="C292" s="357"/>
      <c r="D292" s="118"/>
      <c r="E292" s="118"/>
      <c r="F292" s="118"/>
      <c r="G292" s="118"/>
    </row>
    <row r="293" spans="3:7" s="257" customFormat="1" ht="12.75">
      <c r="C293" s="357"/>
      <c r="D293" s="118"/>
      <c r="E293" s="118"/>
      <c r="F293" s="118"/>
      <c r="G293" s="118"/>
    </row>
    <row r="294" spans="3:7" s="257" customFormat="1" ht="12.75">
      <c r="C294" s="357"/>
      <c r="D294" s="118"/>
      <c r="E294" s="118"/>
      <c r="F294" s="118"/>
      <c r="G294" s="118"/>
    </row>
    <row r="295" spans="3:7" s="257" customFormat="1" ht="12.75">
      <c r="C295" s="357"/>
      <c r="D295" s="118"/>
      <c r="E295" s="118"/>
      <c r="F295" s="118"/>
      <c r="G295" s="118"/>
    </row>
    <row r="296" spans="3:7" s="257" customFormat="1" ht="12.75">
      <c r="C296" s="357"/>
      <c r="D296" s="118"/>
      <c r="E296" s="118"/>
      <c r="F296" s="118"/>
      <c r="G296" s="118"/>
    </row>
    <row r="297" spans="3:7" s="257" customFormat="1" ht="12.75">
      <c r="C297" s="357"/>
      <c r="D297" s="118"/>
      <c r="E297" s="118"/>
      <c r="F297" s="118"/>
      <c r="G297" s="118"/>
    </row>
    <row r="298" spans="3:7" s="257" customFormat="1" ht="12.75">
      <c r="C298" s="357"/>
      <c r="D298" s="118"/>
      <c r="E298" s="118"/>
      <c r="F298" s="118"/>
      <c r="G298" s="118"/>
    </row>
    <row r="299" spans="3:7" s="257" customFormat="1" ht="12.75">
      <c r="C299" s="357"/>
      <c r="D299" s="118"/>
      <c r="E299" s="118"/>
      <c r="F299" s="118"/>
      <c r="G299" s="118"/>
    </row>
    <row r="300" spans="3:7" s="257" customFormat="1" ht="12.75">
      <c r="C300" s="357"/>
      <c r="D300" s="118"/>
      <c r="E300" s="118"/>
      <c r="F300" s="118"/>
      <c r="G300" s="118"/>
    </row>
    <row r="301" spans="3:7" s="257" customFormat="1" ht="12.75">
      <c r="C301" s="357"/>
      <c r="D301" s="118"/>
      <c r="E301" s="118"/>
      <c r="F301" s="118"/>
      <c r="G301" s="118"/>
    </row>
    <row r="302" spans="3:7" s="257" customFormat="1" ht="12.75">
      <c r="C302" s="357"/>
      <c r="D302" s="118"/>
      <c r="E302" s="118"/>
      <c r="F302" s="118"/>
      <c r="G302" s="118"/>
    </row>
    <row r="303" spans="3:7" s="257" customFormat="1" ht="12.75">
      <c r="C303" s="357"/>
      <c r="D303" s="118"/>
      <c r="E303" s="118"/>
      <c r="F303" s="118"/>
      <c r="G303" s="118"/>
    </row>
    <row r="304" spans="3:7" s="257" customFormat="1" ht="12.75">
      <c r="C304" s="357"/>
      <c r="D304" s="118"/>
      <c r="E304" s="118"/>
      <c r="F304" s="118"/>
      <c r="G304" s="118"/>
    </row>
    <row r="305" spans="3:7" s="257" customFormat="1" ht="12.75">
      <c r="C305" s="357"/>
      <c r="D305" s="118"/>
      <c r="E305" s="118"/>
      <c r="F305" s="118"/>
      <c r="G305" s="118"/>
    </row>
    <row r="306" spans="3:7" s="257" customFormat="1" ht="12.75">
      <c r="C306" s="357"/>
      <c r="D306" s="118"/>
      <c r="E306" s="118"/>
      <c r="F306" s="118"/>
      <c r="G306" s="118"/>
    </row>
    <row r="307" spans="3:7" s="257" customFormat="1" ht="12.75">
      <c r="C307" s="357"/>
      <c r="D307" s="118"/>
      <c r="E307" s="118"/>
      <c r="F307" s="118"/>
      <c r="G307" s="118"/>
    </row>
    <row r="308" spans="3:7" s="257" customFormat="1" ht="12.75">
      <c r="C308" s="357"/>
      <c r="D308" s="118"/>
      <c r="E308" s="118"/>
      <c r="F308" s="118"/>
      <c r="G308" s="118"/>
    </row>
    <row r="309" spans="3:7" s="257" customFormat="1" ht="12.75">
      <c r="C309" s="357"/>
      <c r="D309" s="118"/>
      <c r="E309" s="118"/>
      <c r="F309" s="118"/>
      <c r="G309" s="118"/>
    </row>
    <row r="310" spans="3:7" s="257" customFormat="1" ht="12.75">
      <c r="C310" s="357"/>
      <c r="D310" s="118"/>
      <c r="E310" s="118"/>
      <c r="F310" s="118"/>
      <c r="G310" s="118"/>
    </row>
    <row r="311" spans="3:7" s="257" customFormat="1" ht="12.75">
      <c r="C311" s="357"/>
      <c r="D311" s="118"/>
      <c r="E311" s="118"/>
      <c r="F311" s="118"/>
      <c r="G311" s="118"/>
    </row>
    <row r="312" spans="3:7" s="257" customFormat="1" ht="12.75">
      <c r="C312" s="357"/>
      <c r="D312" s="118"/>
      <c r="E312" s="118"/>
      <c r="F312" s="118"/>
      <c r="G312" s="118"/>
    </row>
    <row r="313" spans="3:7" s="257" customFormat="1" ht="12.75">
      <c r="C313" s="357"/>
      <c r="D313" s="118"/>
      <c r="E313" s="118"/>
      <c r="F313" s="118"/>
      <c r="G313" s="118"/>
    </row>
    <row r="314" spans="3:7" s="257" customFormat="1" ht="12.75">
      <c r="C314" s="357"/>
      <c r="D314" s="118"/>
      <c r="E314" s="118"/>
      <c r="F314" s="118"/>
      <c r="G314" s="118"/>
    </row>
    <row r="315" spans="3:7" s="257" customFormat="1" ht="12.75">
      <c r="C315" s="357"/>
      <c r="D315" s="118"/>
      <c r="E315" s="118"/>
      <c r="F315" s="118"/>
      <c r="G315" s="118"/>
    </row>
    <row r="316" spans="3:7" s="257" customFormat="1" ht="12.75">
      <c r="C316" s="357"/>
      <c r="D316" s="118"/>
      <c r="E316" s="118"/>
      <c r="F316" s="118"/>
      <c r="G316" s="118"/>
    </row>
    <row r="317" spans="3:7" s="257" customFormat="1" ht="12.75">
      <c r="C317" s="357"/>
      <c r="D317" s="118"/>
      <c r="E317" s="118"/>
      <c r="F317" s="118"/>
      <c r="G317" s="118"/>
    </row>
    <row r="318" spans="3:7" s="257" customFormat="1" ht="12.75">
      <c r="C318" s="357"/>
      <c r="D318" s="118"/>
      <c r="E318" s="118"/>
      <c r="F318" s="118"/>
      <c r="G318" s="118"/>
    </row>
    <row r="319" spans="3:7" s="257" customFormat="1" ht="12.75">
      <c r="C319" s="357"/>
      <c r="D319" s="118"/>
      <c r="E319" s="118"/>
      <c r="F319" s="118"/>
      <c r="G319" s="118"/>
    </row>
    <row r="320" spans="3:7" s="257" customFormat="1" ht="12.75">
      <c r="C320" s="357"/>
      <c r="D320" s="118"/>
      <c r="E320" s="118"/>
      <c r="F320" s="118"/>
      <c r="G320" s="118"/>
    </row>
    <row r="321" spans="3:7" s="257" customFormat="1" ht="12.75">
      <c r="C321" s="357"/>
      <c r="D321" s="118"/>
      <c r="E321" s="118"/>
      <c r="F321" s="118"/>
      <c r="G321" s="118"/>
    </row>
    <row r="322" spans="3:7" s="257" customFormat="1" ht="12.75">
      <c r="C322" s="357"/>
      <c r="D322" s="118"/>
      <c r="E322" s="118"/>
      <c r="F322" s="118"/>
      <c r="G322" s="118"/>
    </row>
    <row r="323" spans="3:7" s="257" customFormat="1" ht="12.75">
      <c r="C323" s="357"/>
      <c r="D323" s="118"/>
      <c r="E323" s="118"/>
      <c r="F323" s="118"/>
      <c r="G323" s="118"/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4.7109375" style="359" hidden="1" customWidth="1"/>
    <col min="2" max="2" width="2.7109375" style="375" customWidth="1"/>
    <col min="3" max="3" width="28.57421875" style="390" hidden="1" customWidth="1"/>
    <col min="4" max="4" width="45.7109375" style="390" customWidth="1"/>
    <col min="5" max="5" width="1.57421875" style="390" customWidth="1"/>
    <col min="6" max="6" width="15.140625" style="405" customWidth="1"/>
    <col min="7" max="7" width="16.00390625" style="392" customWidth="1"/>
    <col min="8" max="8" width="16.28125" style="393" customWidth="1"/>
    <col min="9" max="9" width="15.8515625" style="393" customWidth="1"/>
    <col min="10" max="11" width="16.140625" style="393" customWidth="1"/>
    <col min="12" max="12" width="17.140625" style="393" customWidth="1"/>
    <col min="13" max="13" width="11.57421875" style="359" hidden="1" customWidth="1"/>
    <col min="14" max="14" width="0" style="359" hidden="1" customWidth="1"/>
    <col min="15" max="15" width="9.140625" style="359" hidden="1" customWidth="1"/>
    <col min="16" max="16384" width="9.140625" style="359" customWidth="1"/>
  </cols>
  <sheetData>
    <row r="1" spans="1:12" ht="12.75" hidden="1">
      <c r="A1" s="359" t="s">
        <v>2841</v>
      </c>
      <c r="B1" s="360" t="s">
        <v>726</v>
      </c>
      <c r="C1" s="361" t="s">
        <v>727</v>
      </c>
      <c r="D1" s="361" t="s">
        <v>728</v>
      </c>
      <c r="E1" s="361"/>
      <c r="F1" s="362" t="s">
        <v>97</v>
      </c>
      <c r="G1" s="363" t="s">
        <v>98</v>
      </c>
      <c r="H1" s="364" t="s">
        <v>99</v>
      </c>
      <c r="I1" s="364" t="s">
        <v>100</v>
      </c>
      <c r="J1" s="364" t="s">
        <v>101</v>
      </c>
      <c r="K1" s="364" t="s">
        <v>132</v>
      </c>
      <c r="L1" s="364" t="s">
        <v>728</v>
      </c>
    </row>
    <row r="2" spans="1:15" s="374" customFormat="1" ht="15.75" customHeight="1">
      <c r="A2" s="365"/>
      <c r="B2" s="366" t="s">
        <v>729</v>
      </c>
      <c r="C2" s="367"/>
      <c r="D2" s="368"/>
      <c r="E2" s="267"/>
      <c r="F2" s="369"/>
      <c r="G2" s="369"/>
      <c r="H2" s="370" t="s">
        <v>726</v>
      </c>
      <c r="I2" s="369"/>
      <c r="J2" s="371"/>
      <c r="K2" s="369"/>
      <c r="L2" s="372"/>
      <c r="M2" s="373"/>
      <c r="N2" s="374" t="s">
        <v>3125</v>
      </c>
      <c r="O2" s="374" t="s">
        <v>2845</v>
      </c>
    </row>
    <row r="3" spans="1:15" ht="15.75" customHeight="1">
      <c r="A3" s="375"/>
      <c r="B3" s="178" t="s">
        <v>102</v>
      </c>
      <c r="C3" s="376"/>
      <c r="D3" s="377"/>
      <c r="E3" s="378"/>
      <c r="F3" s="310"/>
      <c r="G3" s="310"/>
      <c r="H3" s="311"/>
      <c r="I3" s="379"/>
      <c r="J3" s="310"/>
      <c r="K3" s="310"/>
      <c r="L3" s="380"/>
      <c r="M3" s="381"/>
      <c r="O3" s="359" t="s">
        <v>1086</v>
      </c>
    </row>
    <row r="4" spans="1:15" ht="15.75" customHeight="1">
      <c r="A4" s="375"/>
      <c r="B4" s="273" t="str">
        <f>"As of "&amp;TEXT(O4,"MMMM DD, YYYY")</f>
        <v>As of June 30, 2004</v>
      </c>
      <c r="C4" s="376"/>
      <c r="D4" s="377"/>
      <c r="E4" s="378"/>
      <c r="F4" s="310"/>
      <c r="G4" s="310"/>
      <c r="H4" s="310"/>
      <c r="I4" s="310"/>
      <c r="J4" s="310"/>
      <c r="K4" s="310"/>
      <c r="L4" s="382"/>
      <c r="M4" s="381"/>
      <c r="O4" s="359" t="s">
        <v>2976</v>
      </c>
    </row>
    <row r="5" spans="1:13" ht="12.75" customHeight="1">
      <c r="A5" s="375"/>
      <c r="B5" s="273"/>
      <c r="C5" s="376"/>
      <c r="D5" s="377"/>
      <c r="E5" s="378"/>
      <c r="F5" s="310"/>
      <c r="G5" s="310"/>
      <c r="H5" s="310"/>
      <c r="I5" s="310"/>
      <c r="J5" s="310"/>
      <c r="K5" s="310"/>
      <c r="L5" s="83"/>
      <c r="M5" s="383"/>
    </row>
    <row r="6" spans="2:12" s="384" customFormat="1" ht="27.75" customHeight="1">
      <c r="B6" s="385"/>
      <c r="C6" s="386"/>
      <c r="D6" s="386"/>
      <c r="E6" s="386"/>
      <c r="F6" s="387" t="s">
        <v>1087</v>
      </c>
      <c r="G6" s="285" t="s">
        <v>103</v>
      </c>
      <c r="H6" s="388" t="s">
        <v>104</v>
      </c>
      <c r="I6" s="388" t="s">
        <v>105</v>
      </c>
      <c r="J6" s="388" t="s">
        <v>106</v>
      </c>
      <c r="K6" s="388" t="s">
        <v>107</v>
      </c>
      <c r="L6" s="388" t="str">
        <f>"Balance
"&amp;TEXT(O4,"MMMM DD, YYYY")</f>
        <v>Balance
June 30, 2004</v>
      </c>
    </row>
    <row r="7" spans="1:6" ht="12.75">
      <c r="A7" s="359" t="s">
        <v>726</v>
      </c>
      <c r="B7" s="320" t="s">
        <v>108</v>
      </c>
      <c r="C7" s="389"/>
      <c r="D7" s="389"/>
      <c r="F7" s="391"/>
    </row>
    <row r="8" spans="1:12" ht="12.75" outlineLevel="1">
      <c r="A8" s="359" t="s">
        <v>109</v>
      </c>
      <c r="B8" s="360"/>
      <c r="C8" s="361" t="s">
        <v>110</v>
      </c>
      <c r="D8" s="361" t="str">
        <f aca="true" t="shared" si="0" ref="D8:D71">UPPER(C8)</f>
        <v>HPL-DENTAL</v>
      </c>
      <c r="E8" s="361"/>
      <c r="F8" s="394">
        <v>6916483.21</v>
      </c>
      <c r="G8" s="395">
        <v>0</v>
      </c>
      <c r="H8" s="396">
        <v>116305.04</v>
      </c>
      <c r="I8" s="396">
        <v>49913.04</v>
      </c>
      <c r="J8" s="396">
        <v>297.27</v>
      </c>
      <c r="K8" s="396">
        <v>0</v>
      </c>
      <c r="L8" s="396">
        <f aca="true" t="shared" si="1" ref="L8:L71">F8+G8+H8+I8-J8+K8</f>
        <v>7082404.0200000005</v>
      </c>
    </row>
    <row r="9" spans="1:12" ht="12.75" outlineLevel="1">
      <c r="A9" s="359" t="s">
        <v>111</v>
      </c>
      <c r="B9" s="360"/>
      <c r="C9" s="361" t="s">
        <v>112</v>
      </c>
      <c r="D9" s="361" t="str">
        <f t="shared" si="0"/>
        <v>H P L-MEDICINE</v>
      </c>
      <c r="E9" s="361"/>
      <c r="F9" s="397">
        <v>955308.25</v>
      </c>
      <c r="G9" s="398">
        <v>3087</v>
      </c>
      <c r="H9" s="399">
        <v>15380.34</v>
      </c>
      <c r="I9" s="399">
        <v>7549.23</v>
      </c>
      <c r="J9" s="399">
        <v>-3515.65</v>
      </c>
      <c r="K9" s="399">
        <v>343</v>
      </c>
      <c r="L9" s="399">
        <f t="shared" si="1"/>
        <v>985183.47</v>
      </c>
    </row>
    <row r="10" spans="1:12" ht="12.75" outlineLevel="1">
      <c r="A10" s="359" t="s">
        <v>2995</v>
      </c>
      <c r="B10" s="360"/>
      <c r="C10" s="361" t="s">
        <v>2996</v>
      </c>
      <c r="D10" s="361" t="str">
        <f t="shared" si="0"/>
        <v>H P L-PHARMACY</v>
      </c>
      <c r="E10" s="361"/>
      <c r="F10" s="397">
        <v>1515879.53</v>
      </c>
      <c r="G10" s="398">
        <v>0</v>
      </c>
      <c r="H10" s="399">
        <v>5259.85</v>
      </c>
      <c r="I10" s="399">
        <v>13589.98</v>
      </c>
      <c r="J10" s="399">
        <v>55.38</v>
      </c>
      <c r="K10" s="399">
        <v>0</v>
      </c>
      <c r="L10" s="399">
        <f t="shared" si="1"/>
        <v>1534673.9800000002</v>
      </c>
    </row>
    <row r="11" spans="1:12" ht="12.75" outlineLevel="1">
      <c r="A11" s="359" t="s">
        <v>2997</v>
      </c>
      <c r="B11" s="360"/>
      <c r="C11" s="361" t="s">
        <v>2998</v>
      </c>
      <c r="D11" s="361" t="str">
        <f t="shared" si="0"/>
        <v>NATIONAL DIRECT</v>
      </c>
      <c r="E11" s="361"/>
      <c r="F11" s="397">
        <v>8089279.29</v>
      </c>
      <c r="G11" s="398">
        <v>69912</v>
      </c>
      <c r="H11" s="399">
        <v>59170.15</v>
      </c>
      <c r="I11" s="399">
        <v>16289.89</v>
      </c>
      <c r="J11" s="399">
        <v>171143.72</v>
      </c>
      <c r="K11" s="399">
        <v>22185.62</v>
      </c>
      <c r="L11" s="399">
        <f t="shared" si="1"/>
        <v>8085693.23</v>
      </c>
    </row>
    <row r="12" spans="1:12" ht="12.75" outlineLevel="1">
      <c r="A12" s="359" t="s">
        <v>2999</v>
      </c>
      <c r="B12" s="360"/>
      <c r="C12" s="361" t="s">
        <v>3000</v>
      </c>
      <c r="D12" s="361" t="str">
        <f t="shared" si="0"/>
        <v>DHHS-LDS - PHARMACY</v>
      </c>
      <c r="E12" s="361"/>
      <c r="F12" s="397">
        <v>165540.82</v>
      </c>
      <c r="G12" s="398">
        <v>0</v>
      </c>
      <c r="H12" s="399">
        <v>2324.57</v>
      </c>
      <c r="I12" s="399">
        <v>2405.71</v>
      </c>
      <c r="J12" s="399">
        <v>1.21</v>
      </c>
      <c r="K12" s="399">
        <v>0</v>
      </c>
      <c r="L12" s="399">
        <f t="shared" si="1"/>
        <v>170269.89</v>
      </c>
    </row>
    <row r="13" spans="1:12" ht="12.75" outlineLevel="1">
      <c r="A13" s="359" t="s">
        <v>3001</v>
      </c>
      <c r="B13" s="360"/>
      <c r="C13" s="361" t="s">
        <v>3002</v>
      </c>
      <c r="D13" s="361" t="str">
        <f t="shared" si="0"/>
        <v>DHHS-LDS - DENTAL</v>
      </c>
      <c r="E13" s="361"/>
      <c r="F13" s="397">
        <v>197369.42</v>
      </c>
      <c r="G13" s="398">
        <v>0</v>
      </c>
      <c r="H13" s="399">
        <v>1897.58</v>
      </c>
      <c r="I13" s="399">
        <v>2258.44</v>
      </c>
      <c r="J13" s="399">
        <v>0</v>
      </c>
      <c r="K13" s="399">
        <v>0</v>
      </c>
      <c r="L13" s="399">
        <f t="shared" si="1"/>
        <v>201525.44</v>
      </c>
    </row>
    <row r="14" spans="1:12" ht="12.75" outlineLevel="1">
      <c r="A14" s="359" t="s">
        <v>3003</v>
      </c>
      <c r="B14" s="360"/>
      <c r="C14" s="361" t="s">
        <v>3004</v>
      </c>
      <c r="D14" s="361" t="str">
        <f t="shared" si="0"/>
        <v>DHHS-LDS - MEDICINE</v>
      </c>
      <c r="E14" s="361"/>
      <c r="F14" s="397">
        <v>271004.87</v>
      </c>
      <c r="G14" s="398">
        <v>0</v>
      </c>
      <c r="H14" s="399">
        <v>4664.34</v>
      </c>
      <c r="I14" s="399">
        <v>2578.49</v>
      </c>
      <c r="J14" s="399">
        <v>-1683.65</v>
      </c>
      <c r="K14" s="399">
        <v>0</v>
      </c>
      <c r="L14" s="399">
        <f t="shared" si="1"/>
        <v>279931.35000000003</v>
      </c>
    </row>
    <row r="15" spans="1:12" ht="12.75" outlineLevel="1">
      <c r="A15" s="359" t="s">
        <v>3005</v>
      </c>
      <c r="B15" s="360"/>
      <c r="C15" s="361" t="s">
        <v>3006</v>
      </c>
      <c r="D15" s="361" t="str">
        <f t="shared" si="0"/>
        <v>NURSING LOAN-GRAD</v>
      </c>
      <c r="E15" s="361"/>
      <c r="F15" s="397">
        <v>-1.07</v>
      </c>
      <c r="G15" s="398">
        <v>0</v>
      </c>
      <c r="H15" s="399">
        <v>0</v>
      </c>
      <c r="I15" s="399">
        <v>0</v>
      </c>
      <c r="J15" s="399">
        <v>0</v>
      </c>
      <c r="K15" s="399">
        <v>0</v>
      </c>
      <c r="L15" s="399">
        <f t="shared" si="1"/>
        <v>-1.07</v>
      </c>
    </row>
    <row r="16" spans="1:12" ht="12.75" outlineLevel="1">
      <c r="A16" s="359" t="s">
        <v>3007</v>
      </c>
      <c r="B16" s="360"/>
      <c r="C16" s="361" t="s">
        <v>3008</v>
      </c>
      <c r="D16" s="361" t="str">
        <f t="shared" si="0"/>
        <v>DOUBTFUL LOAN-FED</v>
      </c>
      <c r="E16" s="361"/>
      <c r="F16" s="397">
        <v>-1016100</v>
      </c>
      <c r="G16" s="398">
        <v>0</v>
      </c>
      <c r="H16" s="399">
        <v>0</v>
      </c>
      <c r="I16" s="399">
        <v>0</v>
      </c>
      <c r="J16" s="399">
        <v>44900</v>
      </c>
      <c r="K16" s="399">
        <v>0</v>
      </c>
      <c r="L16" s="399">
        <f t="shared" si="1"/>
        <v>-1061000</v>
      </c>
    </row>
    <row r="17" spans="1:12" ht="12.75" outlineLevel="1">
      <c r="A17" s="359" t="s">
        <v>3009</v>
      </c>
      <c r="B17" s="360"/>
      <c r="C17" s="361" t="s">
        <v>3010</v>
      </c>
      <c r="D17" s="361" t="str">
        <f t="shared" si="0"/>
        <v>ALQUIST STUDENT LOAN</v>
      </c>
      <c r="E17" s="361"/>
      <c r="F17" s="397">
        <v>5931.79</v>
      </c>
      <c r="G17" s="398">
        <v>0</v>
      </c>
      <c r="H17" s="399">
        <v>22.55</v>
      </c>
      <c r="I17" s="399">
        <v>115.68</v>
      </c>
      <c r="J17" s="399">
        <v>0</v>
      </c>
      <c r="K17" s="399">
        <v>0</v>
      </c>
      <c r="L17" s="399">
        <f t="shared" si="1"/>
        <v>6070.02</v>
      </c>
    </row>
    <row r="18" spans="1:12" ht="12.75" outlineLevel="1">
      <c r="A18" s="359" t="s">
        <v>3011</v>
      </c>
      <c r="B18" s="360"/>
      <c r="C18" s="361" t="s">
        <v>3012</v>
      </c>
      <c r="D18" s="361" t="str">
        <f t="shared" si="0"/>
        <v>AM DENT ASSN LOAN</v>
      </c>
      <c r="E18" s="361"/>
      <c r="F18" s="397">
        <v>18507.55</v>
      </c>
      <c r="G18" s="398">
        <v>0</v>
      </c>
      <c r="H18" s="399">
        <v>184.21</v>
      </c>
      <c r="I18" s="399">
        <v>110.29</v>
      </c>
      <c r="J18" s="399">
        <v>-47.01</v>
      </c>
      <c r="K18" s="399">
        <v>0</v>
      </c>
      <c r="L18" s="399">
        <f t="shared" si="1"/>
        <v>18849.059999999998</v>
      </c>
    </row>
    <row r="19" spans="1:12" ht="12.75" outlineLevel="1">
      <c r="A19" s="359" t="s">
        <v>3013</v>
      </c>
      <c r="B19" s="360"/>
      <c r="C19" s="361" t="s">
        <v>3014</v>
      </c>
      <c r="D19" s="361" t="str">
        <f t="shared" si="0"/>
        <v>AUDITED HPLP LOAN FD</v>
      </c>
      <c r="E19" s="361"/>
      <c r="F19" s="397">
        <v>-56237.05</v>
      </c>
      <c r="G19" s="398">
        <v>0</v>
      </c>
      <c r="H19" s="399">
        <v>0</v>
      </c>
      <c r="I19" s="399">
        <v>-2675.48</v>
      </c>
      <c r="J19" s="399">
        <v>0</v>
      </c>
      <c r="K19" s="399">
        <v>0</v>
      </c>
      <c r="L19" s="399">
        <f t="shared" si="1"/>
        <v>-58912.530000000006</v>
      </c>
    </row>
    <row r="20" spans="1:12" ht="12.75" outlineLevel="1">
      <c r="A20" s="359" t="s">
        <v>3015</v>
      </c>
      <c r="B20" s="360"/>
      <c r="C20" s="361" t="s">
        <v>3016</v>
      </c>
      <c r="D20" s="361" t="str">
        <f t="shared" si="0"/>
        <v>FRED BAXTER LOAN</v>
      </c>
      <c r="E20" s="361"/>
      <c r="F20" s="397">
        <v>9833.95</v>
      </c>
      <c r="G20" s="398">
        <v>0</v>
      </c>
      <c r="H20" s="399">
        <v>0</v>
      </c>
      <c r="I20" s="399">
        <v>339.91</v>
      </c>
      <c r="J20" s="399">
        <v>0</v>
      </c>
      <c r="K20" s="399">
        <v>0</v>
      </c>
      <c r="L20" s="399">
        <f t="shared" si="1"/>
        <v>10173.86</v>
      </c>
    </row>
    <row r="21" spans="1:12" ht="12.75" outlineLevel="1">
      <c r="A21" s="359" t="s">
        <v>3017</v>
      </c>
      <c r="B21" s="360"/>
      <c r="C21" s="361" t="s">
        <v>3018</v>
      </c>
      <c r="D21" s="361" t="str">
        <f t="shared" si="0"/>
        <v>EUNICE BEIMDIEK LN</v>
      </c>
      <c r="E21" s="361"/>
      <c r="F21" s="397">
        <v>-183.82</v>
      </c>
      <c r="G21" s="398">
        <v>0</v>
      </c>
      <c r="H21" s="399">
        <v>0</v>
      </c>
      <c r="I21" s="399">
        <v>-80.98</v>
      </c>
      <c r="J21" s="399">
        <v>0</v>
      </c>
      <c r="K21" s="399">
        <v>0</v>
      </c>
      <c r="L21" s="399">
        <f t="shared" si="1"/>
        <v>-264.8</v>
      </c>
    </row>
    <row r="22" spans="1:12" ht="12.75" outlineLevel="1">
      <c r="A22" s="359" t="s">
        <v>3019</v>
      </c>
      <c r="B22" s="360"/>
      <c r="C22" s="361" t="s">
        <v>3020</v>
      </c>
      <c r="D22" s="361" t="str">
        <f t="shared" si="0"/>
        <v>DR D J BLANFORD LOAN</v>
      </c>
      <c r="E22" s="361"/>
      <c r="F22" s="397">
        <v>3601.18</v>
      </c>
      <c r="G22" s="398">
        <v>0</v>
      </c>
      <c r="H22" s="399">
        <v>205.71</v>
      </c>
      <c r="I22" s="399">
        <v>55.55</v>
      </c>
      <c r="J22" s="399">
        <v>0</v>
      </c>
      <c r="K22" s="399">
        <v>0</v>
      </c>
      <c r="L22" s="399">
        <f t="shared" si="1"/>
        <v>3862.44</v>
      </c>
    </row>
    <row r="23" spans="1:12" ht="12.75" outlineLevel="1">
      <c r="A23" s="359" t="s">
        <v>3021</v>
      </c>
      <c r="B23" s="360"/>
      <c r="C23" s="361" t="s">
        <v>3022</v>
      </c>
      <c r="D23" s="361" t="str">
        <f t="shared" si="0"/>
        <v>MRS H J BONE LOAN</v>
      </c>
      <c r="E23" s="361"/>
      <c r="F23" s="397">
        <v>1483.44</v>
      </c>
      <c r="G23" s="398">
        <v>0</v>
      </c>
      <c r="H23" s="399">
        <v>0</v>
      </c>
      <c r="I23" s="399">
        <v>51.29</v>
      </c>
      <c r="J23" s="399">
        <v>0</v>
      </c>
      <c r="K23" s="399">
        <v>0</v>
      </c>
      <c r="L23" s="399">
        <f t="shared" si="1"/>
        <v>1534.73</v>
      </c>
    </row>
    <row r="24" spans="1:12" ht="12.75" outlineLevel="1">
      <c r="A24" s="359" t="s">
        <v>3023</v>
      </c>
      <c r="B24" s="360"/>
      <c r="C24" s="361" t="s">
        <v>3024</v>
      </c>
      <c r="D24" s="361" t="str">
        <f t="shared" si="0"/>
        <v>DR E L BRADDOCK LOAN</v>
      </c>
      <c r="E24" s="361"/>
      <c r="F24" s="397">
        <v>2835.93</v>
      </c>
      <c r="G24" s="398">
        <v>0</v>
      </c>
      <c r="H24" s="399">
        <v>0</v>
      </c>
      <c r="I24" s="399">
        <v>98.04</v>
      </c>
      <c r="J24" s="399">
        <v>0</v>
      </c>
      <c r="K24" s="399">
        <v>0</v>
      </c>
      <c r="L24" s="399">
        <f t="shared" si="1"/>
        <v>2933.97</v>
      </c>
    </row>
    <row r="25" spans="1:12" ht="12.75" outlineLevel="1">
      <c r="A25" s="359" t="s">
        <v>3025</v>
      </c>
      <c r="B25" s="360"/>
      <c r="C25" s="361" t="s">
        <v>3026</v>
      </c>
      <c r="D25" s="361" t="str">
        <f t="shared" si="0"/>
        <v>GRACIA BREMMER LN FD</v>
      </c>
      <c r="E25" s="361"/>
      <c r="F25" s="397">
        <v>51062.1</v>
      </c>
      <c r="G25" s="398">
        <v>0</v>
      </c>
      <c r="H25" s="399">
        <v>377.21</v>
      </c>
      <c r="I25" s="399">
        <v>608.05</v>
      </c>
      <c r="J25" s="399">
        <v>0</v>
      </c>
      <c r="K25" s="399">
        <v>0</v>
      </c>
      <c r="L25" s="399">
        <f t="shared" si="1"/>
        <v>52047.36</v>
      </c>
    </row>
    <row r="26" spans="1:12" ht="12.75" outlineLevel="1">
      <c r="A26" s="359" t="s">
        <v>3027</v>
      </c>
      <c r="B26" s="360"/>
      <c r="C26" s="361" t="s">
        <v>3028</v>
      </c>
      <c r="D26" s="361" t="str">
        <f t="shared" si="0"/>
        <v>R L BRIGGS MEM LN</v>
      </c>
      <c r="E26" s="361"/>
      <c r="F26" s="397">
        <v>7115.76</v>
      </c>
      <c r="G26" s="398">
        <v>0</v>
      </c>
      <c r="H26" s="399">
        <v>0</v>
      </c>
      <c r="I26" s="399">
        <v>233.85</v>
      </c>
      <c r="J26" s="399">
        <v>0</v>
      </c>
      <c r="K26" s="399">
        <v>0</v>
      </c>
      <c r="L26" s="399">
        <f t="shared" si="1"/>
        <v>7349.610000000001</v>
      </c>
    </row>
    <row r="27" spans="1:12" ht="12.75" outlineLevel="1">
      <c r="A27" s="359" t="s">
        <v>3029</v>
      </c>
      <c r="B27" s="360"/>
      <c r="C27" s="361" t="s">
        <v>3030</v>
      </c>
      <c r="D27" s="361" t="str">
        <f t="shared" si="0"/>
        <v>HUGH AND FLO BRYANT</v>
      </c>
      <c r="E27" s="361"/>
      <c r="F27" s="397">
        <v>371345.98</v>
      </c>
      <c r="G27" s="398">
        <v>0</v>
      </c>
      <c r="H27" s="399">
        <v>3024.55</v>
      </c>
      <c r="I27" s="399">
        <v>0</v>
      </c>
      <c r="J27" s="399">
        <v>33.69</v>
      </c>
      <c r="K27" s="399">
        <v>-2990.86</v>
      </c>
      <c r="L27" s="399">
        <f t="shared" si="1"/>
        <v>371345.98</v>
      </c>
    </row>
    <row r="28" spans="1:12" ht="12.75" outlineLevel="1">
      <c r="A28" s="359" t="s">
        <v>3031</v>
      </c>
      <c r="B28" s="360"/>
      <c r="C28" s="361" t="s">
        <v>3032</v>
      </c>
      <c r="D28" s="361" t="str">
        <f t="shared" si="0"/>
        <v>CENTRAL DISTRICT LN</v>
      </c>
      <c r="E28" s="361"/>
      <c r="F28" s="397">
        <v>7046.1</v>
      </c>
      <c r="G28" s="398">
        <v>0</v>
      </c>
      <c r="H28" s="399">
        <v>253.98</v>
      </c>
      <c r="I28" s="399">
        <v>50.65</v>
      </c>
      <c r="J28" s="399">
        <v>515.92</v>
      </c>
      <c r="K28" s="399">
        <v>0</v>
      </c>
      <c r="L28" s="399">
        <f t="shared" si="1"/>
        <v>6834.8099999999995</v>
      </c>
    </row>
    <row r="29" spans="1:12" ht="12.75" outlineLevel="1">
      <c r="A29" s="359" t="s">
        <v>3033</v>
      </c>
      <c r="B29" s="360"/>
      <c r="C29" s="361" t="s">
        <v>3034</v>
      </c>
      <c r="D29" s="361" t="str">
        <f t="shared" si="0"/>
        <v>DENTAL LOAN FUND</v>
      </c>
      <c r="E29" s="361"/>
      <c r="F29" s="397">
        <v>311343.87</v>
      </c>
      <c r="G29" s="398">
        <v>0</v>
      </c>
      <c r="H29" s="399">
        <v>11913.14</v>
      </c>
      <c r="I29" s="399">
        <v>2352.78</v>
      </c>
      <c r="J29" s="399">
        <v>394.42</v>
      </c>
      <c r="K29" s="399">
        <v>0</v>
      </c>
      <c r="L29" s="399">
        <f t="shared" si="1"/>
        <v>325215.37000000005</v>
      </c>
    </row>
    <row r="30" spans="1:12" ht="12.75" outlineLevel="1">
      <c r="A30" s="359" t="s">
        <v>3035</v>
      </c>
      <c r="B30" s="360"/>
      <c r="C30" s="361" t="s">
        <v>3036</v>
      </c>
      <c r="D30" s="361" t="str">
        <f t="shared" si="0"/>
        <v>DR E A DEVINS LOAN</v>
      </c>
      <c r="E30" s="361"/>
      <c r="F30" s="397">
        <v>39794.34</v>
      </c>
      <c r="G30" s="398">
        <v>0</v>
      </c>
      <c r="H30" s="399">
        <v>57.1</v>
      </c>
      <c r="I30" s="399">
        <v>1296.57</v>
      </c>
      <c r="J30" s="399">
        <v>0</v>
      </c>
      <c r="K30" s="399">
        <v>0</v>
      </c>
      <c r="L30" s="399">
        <f t="shared" si="1"/>
        <v>41148.009999999995</v>
      </c>
    </row>
    <row r="31" spans="1:12" ht="12.75" outlineLevel="1">
      <c r="A31" s="359" t="s">
        <v>3037</v>
      </c>
      <c r="B31" s="360"/>
      <c r="C31" s="361" t="s">
        <v>3038</v>
      </c>
      <c r="D31" s="361" t="str">
        <f t="shared" si="0"/>
        <v>RUSSELL ELLIOTT ED</v>
      </c>
      <c r="E31" s="361"/>
      <c r="F31" s="397">
        <v>281022.34</v>
      </c>
      <c r="G31" s="398">
        <v>0</v>
      </c>
      <c r="H31" s="399">
        <v>672.06</v>
      </c>
      <c r="I31" s="399">
        <v>6826.9</v>
      </c>
      <c r="J31" s="399">
        <v>3.42</v>
      </c>
      <c r="K31" s="399">
        <v>0</v>
      </c>
      <c r="L31" s="399">
        <f t="shared" si="1"/>
        <v>288517.88000000006</v>
      </c>
    </row>
    <row r="32" spans="1:12" ht="12.75" outlineLevel="1">
      <c r="A32" s="359" t="s">
        <v>3039</v>
      </c>
      <c r="B32" s="360"/>
      <c r="C32" s="361" t="s">
        <v>3040</v>
      </c>
      <c r="D32" s="361" t="str">
        <f t="shared" si="0"/>
        <v>EXCHANGE CLUB LOAN</v>
      </c>
      <c r="E32" s="361"/>
      <c r="F32" s="397">
        <v>4196.82</v>
      </c>
      <c r="G32" s="398">
        <v>0</v>
      </c>
      <c r="H32" s="399">
        <v>0</v>
      </c>
      <c r="I32" s="399">
        <v>145.06</v>
      </c>
      <c r="J32" s="399">
        <v>0</v>
      </c>
      <c r="K32" s="399">
        <v>0</v>
      </c>
      <c r="L32" s="399">
        <f t="shared" si="1"/>
        <v>4341.88</v>
      </c>
    </row>
    <row r="33" spans="1:12" ht="12.75" outlineLevel="1">
      <c r="A33" s="359" t="s">
        <v>3041</v>
      </c>
      <c r="B33" s="360"/>
      <c r="C33" s="361" t="s">
        <v>2504</v>
      </c>
      <c r="D33" s="361" t="str">
        <f t="shared" si="0"/>
        <v>FACULTY-STAFF LOAN</v>
      </c>
      <c r="E33" s="361"/>
      <c r="F33" s="397">
        <v>199842.05</v>
      </c>
      <c r="G33" s="398">
        <v>2724.5</v>
      </c>
      <c r="H33" s="399">
        <v>696.84</v>
      </c>
      <c r="I33" s="399">
        <v>6816.86</v>
      </c>
      <c r="J33" s="399">
        <v>-141.45</v>
      </c>
      <c r="K33" s="399">
        <v>2478.31</v>
      </c>
      <c r="L33" s="399">
        <f t="shared" si="1"/>
        <v>212700.00999999998</v>
      </c>
    </row>
    <row r="34" spans="1:12" ht="12.75" outlineLevel="1">
      <c r="A34" s="359" t="s">
        <v>2505</v>
      </c>
      <c r="B34" s="360"/>
      <c r="C34" s="361" t="s">
        <v>2506</v>
      </c>
      <c r="D34" s="361" t="str">
        <f t="shared" si="0"/>
        <v>FERGUSON LOAN FUND</v>
      </c>
      <c r="E34" s="361"/>
      <c r="F34" s="397">
        <v>174628.11</v>
      </c>
      <c r="G34" s="398">
        <v>0</v>
      </c>
      <c r="H34" s="399">
        <v>3354.84</v>
      </c>
      <c r="I34" s="399">
        <v>1267.44</v>
      </c>
      <c r="J34" s="399">
        <v>0</v>
      </c>
      <c r="K34" s="399">
        <v>0</v>
      </c>
      <c r="L34" s="399">
        <f t="shared" si="1"/>
        <v>179250.38999999998</v>
      </c>
    </row>
    <row r="35" spans="1:12" ht="12.75" outlineLevel="1">
      <c r="A35" s="359" t="s">
        <v>2507</v>
      </c>
      <c r="B35" s="360"/>
      <c r="C35" s="361" t="s">
        <v>2508</v>
      </c>
      <c r="D35" s="361" t="str">
        <f t="shared" si="0"/>
        <v>GENERAL STUDENT LOAN</v>
      </c>
      <c r="E35" s="361"/>
      <c r="F35" s="397">
        <v>45631.12</v>
      </c>
      <c r="G35" s="398">
        <v>0</v>
      </c>
      <c r="H35" s="399">
        <v>432.57</v>
      </c>
      <c r="I35" s="399">
        <v>1494.79</v>
      </c>
      <c r="J35" s="399">
        <v>-103.33</v>
      </c>
      <c r="K35" s="399">
        <v>0</v>
      </c>
      <c r="L35" s="399">
        <f t="shared" si="1"/>
        <v>47661.810000000005</v>
      </c>
    </row>
    <row r="36" spans="1:12" ht="12.75" outlineLevel="1">
      <c r="A36" s="359" t="s">
        <v>2509</v>
      </c>
      <c r="B36" s="360"/>
      <c r="C36" s="361" t="s">
        <v>2510</v>
      </c>
      <c r="D36" s="361" t="str">
        <f t="shared" si="0"/>
        <v>JOE GILBERT LOAN</v>
      </c>
      <c r="E36" s="361"/>
      <c r="F36" s="397">
        <v>19594.06</v>
      </c>
      <c r="G36" s="398">
        <v>0</v>
      </c>
      <c r="H36" s="399">
        <v>0</v>
      </c>
      <c r="I36" s="399">
        <v>677.29</v>
      </c>
      <c r="J36" s="399">
        <v>0</v>
      </c>
      <c r="K36" s="399">
        <v>0</v>
      </c>
      <c r="L36" s="399">
        <f t="shared" si="1"/>
        <v>20271.350000000002</v>
      </c>
    </row>
    <row r="37" spans="1:12" ht="12.75" outlineLevel="1">
      <c r="A37" s="359" t="s">
        <v>2511</v>
      </c>
      <c r="B37" s="360"/>
      <c r="C37" s="361" t="s">
        <v>2512</v>
      </c>
      <c r="D37" s="361" t="str">
        <f t="shared" si="0"/>
        <v>TED GILMORE FUND</v>
      </c>
      <c r="E37" s="361"/>
      <c r="F37" s="397">
        <v>362.91</v>
      </c>
      <c r="G37" s="398">
        <v>0</v>
      </c>
      <c r="H37" s="399">
        <v>0</v>
      </c>
      <c r="I37" s="399">
        <v>12.56</v>
      </c>
      <c r="J37" s="399">
        <v>0</v>
      </c>
      <c r="K37" s="399">
        <v>0</v>
      </c>
      <c r="L37" s="399">
        <f t="shared" si="1"/>
        <v>375.47</v>
      </c>
    </row>
    <row r="38" spans="1:12" ht="12.75" outlineLevel="1">
      <c r="A38" s="359" t="s">
        <v>2513</v>
      </c>
      <c r="B38" s="360"/>
      <c r="C38" s="361" t="s">
        <v>2514</v>
      </c>
      <c r="D38" s="361" t="str">
        <f t="shared" si="0"/>
        <v>GR PLAINS DENTAL LN</v>
      </c>
      <c r="E38" s="361"/>
      <c r="F38" s="397">
        <v>3088.37</v>
      </c>
      <c r="G38" s="398">
        <v>0</v>
      </c>
      <c r="H38" s="399">
        <v>90.28</v>
      </c>
      <c r="I38" s="399">
        <v>-9.34</v>
      </c>
      <c r="J38" s="399">
        <v>0</v>
      </c>
      <c r="K38" s="399">
        <v>0</v>
      </c>
      <c r="L38" s="399">
        <f t="shared" si="1"/>
        <v>3169.31</v>
      </c>
    </row>
    <row r="39" spans="1:12" ht="12.75" outlineLevel="1">
      <c r="A39" s="359" t="s">
        <v>2515</v>
      </c>
      <c r="B39" s="360"/>
      <c r="C39" s="361" t="s">
        <v>2516</v>
      </c>
      <c r="D39" s="361" t="str">
        <f t="shared" si="0"/>
        <v>HARGRAVE LOAN FD</v>
      </c>
      <c r="E39" s="361"/>
      <c r="F39" s="397">
        <v>470648.57</v>
      </c>
      <c r="G39" s="398">
        <v>0</v>
      </c>
      <c r="H39" s="399">
        <v>5328.97</v>
      </c>
      <c r="I39" s="399">
        <v>39158.75</v>
      </c>
      <c r="J39" s="399">
        <v>18.37</v>
      </c>
      <c r="K39" s="399">
        <v>0</v>
      </c>
      <c r="L39" s="399">
        <f t="shared" si="1"/>
        <v>515117.92</v>
      </c>
    </row>
    <row r="40" spans="1:12" ht="12.75" outlineLevel="1">
      <c r="A40" s="359" t="s">
        <v>2517</v>
      </c>
      <c r="B40" s="360"/>
      <c r="C40" s="361" t="s">
        <v>2518</v>
      </c>
      <c r="D40" s="361" t="str">
        <f t="shared" si="0"/>
        <v>HARTVIGENSEN LOAN FD</v>
      </c>
      <c r="E40" s="361"/>
      <c r="F40" s="397">
        <v>206383.94</v>
      </c>
      <c r="G40" s="398">
        <v>0</v>
      </c>
      <c r="H40" s="399">
        <v>729.53</v>
      </c>
      <c r="I40" s="399">
        <v>4402.77</v>
      </c>
      <c r="J40" s="399">
        <v>0</v>
      </c>
      <c r="K40" s="399">
        <v>-5132.3</v>
      </c>
      <c r="L40" s="399">
        <f t="shared" si="1"/>
        <v>206383.94</v>
      </c>
    </row>
    <row r="41" spans="1:12" ht="12.75" outlineLevel="1">
      <c r="A41" s="359" t="s">
        <v>2519</v>
      </c>
      <c r="B41" s="360"/>
      <c r="C41" s="361" t="s">
        <v>2520</v>
      </c>
      <c r="D41" s="361" t="str">
        <f t="shared" si="0"/>
        <v>HAWKINS LOAN FUND</v>
      </c>
      <c r="E41" s="361"/>
      <c r="F41" s="397">
        <v>4508.25</v>
      </c>
      <c r="G41" s="398">
        <v>0</v>
      </c>
      <c r="H41" s="399">
        <v>0</v>
      </c>
      <c r="I41" s="399">
        <v>3.76</v>
      </c>
      <c r="J41" s="399">
        <v>0</v>
      </c>
      <c r="K41" s="399">
        <v>0</v>
      </c>
      <c r="L41" s="399">
        <f t="shared" si="1"/>
        <v>4512.01</v>
      </c>
    </row>
    <row r="42" spans="1:12" ht="12.75" outlineLevel="1">
      <c r="A42" s="359" t="s">
        <v>2521</v>
      </c>
      <c r="B42" s="360"/>
      <c r="C42" s="361" t="s">
        <v>2522</v>
      </c>
      <c r="D42" s="361" t="str">
        <f t="shared" si="0"/>
        <v>INDIAN STU CLB LOAN</v>
      </c>
      <c r="E42" s="361"/>
      <c r="F42" s="397">
        <v>10597.34</v>
      </c>
      <c r="G42" s="398">
        <v>0</v>
      </c>
      <c r="H42" s="399">
        <v>0</v>
      </c>
      <c r="I42" s="399">
        <v>334.22</v>
      </c>
      <c r="J42" s="399">
        <v>80</v>
      </c>
      <c r="K42" s="399">
        <v>0</v>
      </c>
      <c r="L42" s="399">
        <f t="shared" si="1"/>
        <v>10851.56</v>
      </c>
    </row>
    <row r="43" spans="1:12" ht="12.75" outlineLevel="1">
      <c r="A43" s="359" t="s">
        <v>2523</v>
      </c>
      <c r="B43" s="360"/>
      <c r="C43" s="361" t="s">
        <v>2524</v>
      </c>
      <c r="D43" s="361" t="str">
        <f t="shared" si="0"/>
        <v>INTL COLL DENTIST LN</v>
      </c>
      <c r="E43" s="361"/>
      <c r="F43" s="397">
        <v>6401.94</v>
      </c>
      <c r="G43" s="398">
        <v>0</v>
      </c>
      <c r="H43" s="399">
        <v>100.25</v>
      </c>
      <c r="I43" s="399">
        <v>60.51</v>
      </c>
      <c r="J43" s="399">
        <v>0</v>
      </c>
      <c r="K43" s="399">
        <v>0</v>
      </c>
      <c r="L43" s="399">
        <f t="shared" si="1"/>
        <v>6562.7</v>
      </c>
    </row>
    <row r="44" spans="1:12" ht="12.75" outlineLevel="1">
      <c r="A44" s="359" t="s">
        <v>116</v>
      </c>
      <c r="B44" s="360"/>
      <c r="C44" s="361" t="s">
        <v>117</v>
      </c>
      <c r="D44" s="361" t="str">
        <f t="shared" si="0"/>
        <v>WM R JACQUES FUND</v>
      </c>
      <c r="E44" s="361"/>
      <c r="F44" s="397">
        <v>0</v>
      </c>
      <c r="G44" s="398">
        <v>0</v>
      </c>
      <c r="H44" s="399">
        <v>0</v>
      </c>
      <c r="I44" s="399">
        <v>0</v>
      </c>
      <c r="J44" s="399">
        <v>33.08</v>
      </c>
      <c r="K44" s="399">
        <v>0</v>
      </c>
      <c r="L44" s="399">
        <f t="shared" si="1"/>
        <v>-33.08</v>
      </c>
    </row>
    <row r="45" spans="1:12" ht="12.75" outlineLevel="1">
      <c r="A45" s="359" t="s">
        <v>2525</v>
      </c>
      <c r="B45" s="360"/>
      <c r="C45" s="361" t="s">
        <v>2526</v>
      </c>
      <c r="D45" s="361" t="str">
        <f t="shared" si="0"/>
        <v>JAPAN-AMER EMER LOAN</v>
      </c>
      <c r="E45" s="361"/>
      <c r="F45" s="397">
        <v>1993.93</v>
      </c>
      <c r="G45" s="398">
        <v>0</v>
      </c>
      <c r="H45" s="399">
        <v>0</v>
      </c>
      <c r="I45" s="399">
        <v>68.91</v>
      </c>
      <c r="J45" s="399">
        <v>0</v>
      </c>
      <c r="K45" s="399">
        <v>0</v>
      </c>
      <c r="L45" s="399">
        <f t="shared" si="1"/>
        <v>2062.84</v>
      </c>
    </row>
    <row r="46" spans="1:12" ht="12.75" outlineLevel="1">
      <c r="A46" s="359" t="s">
        <v>2527</v>
      </c>
      <c r="B46" s="360"/>
      <c r="C46" s="361" t="s">
        <v>2528</v>
      </c>
      <c r="D46" s="361" t="str">
        <f t="shared" si="0"/>
        <v>R W JOHNSON FDN-DENT</v>
      </c>
      <c r="E46" s="361"/>
      <c r="F46" s="397">
        <v>113720.11</v>
      </c>
      <c r="G46" s="398">
        <v>0</v>
      </c>
      <c r="H46" s="399">
        <v>1867.07</v>
      </c>
      <c r="I46" s="399">
        <v>289.26</v>
      </c>
      <c r="J46" s="399">
        <v>12.01</v>
      </c>
      <c r="K46" s="399">
        <v>0</v>
      </c>
      <c r="L46" s="399">
        <f t="shared" si="1"/>
        <v>115864.43000000001</v>
      </c>
    </row>
    <row r="47" spans="1:12" ht="12.75" outlineLevel="1">
      <c r="A47" s="359" t="s">
        <v>2529</v>
      </c>
      <c r="B47" s="360"/>
      <c r="C47" s="361" t="s">
        <v>2530</v>
      </c>
      <c r="D47" s="361" t="str">
        <f t="shared" si="0"/>
        <v>R W JOHNSON FDN</v>
      </c>
      <c r="E47" s="361"/>
      <c r="F47" s="397">
        <v>42676.68</v>
      </c>
      <c r="G47" s="398">
        <v>0</v>
      </c>
      <c r="H47" s="399">
        <v>508.31</v>
      </c>
      <c r="I47" s="399">
        <v>349.7</v>
      </c>
      <c r="J47" s="399">
        <v>0</v>
      </c>
      <c r="K47" s="399">
        <v>0</v>
      </c>
      <c r="L47" s="399">
        <f t="shared" si="1"/>
        <v>43534.689999999995</v>
      </c>
    </row>
    <row r="48" spans="1:12" ht="12.75" outlineLevel="1">
      <c r="A48" s="359" t="s">
        <v>2531</v>
      </c>
      <c r="B48" s="360"/>
      <c r="C48" s="361" t="s">
        <v>2532</v>
      </c>
      <c r="D48" s="361" t="str">
        <f t="shared" si="0"/>
        <v>KANSAS DENTAL AUX LN</v>
      </c>
      <c r="E48" s="361"/>
      <c r="F48" s="397">
        <v>339442.16</v>
      </c>
      <c r="G48" s="398">
        <v>0</v>
      </c>
      <c r="H48" s="399">
        <v>8363.18</v>
      </c>
      <c r="I48" s="399">
        <v>2955</v>
      </c>
      <c r="J48" s="399">
        <v>0</v>
      </c>
      <c r="K48" s="399">
        <v>0</v>
      </c>
      <c r="L48" s="399">
        <f t="shared" si="1"/>
        <v>350760.33999999997</v>
      </c>
    </row>
    <row r="49" spans="1:12" ht="12.75" outlineLevel="1">
      <c r="A49" s="359" t="s">
        <v>2533</v>
      </c>
      <c r="B49" s="360"/>
      <c r="C49" s="361" t="s">
        <v>2534</v>
      </c>
      <c r="D49" s="361" t="str">
        <f t="shared" si="0"/>
        <v>KELLOGG STUDENT LOAN</v>
      </c>
      <c r="E49" s="361"/>
      <c r="F49" s="397">
        <v>47158.37</v>
      </c>
      <c r="G49" s="398">
        <v>0</v>
      </c>
      <c r="H49" s="399">
        <v>740.57</v>
      </c>
      <c r="I49" s="399">
        <v>362.23</v>
      </c>
      <c r="J49" s="399">
        <v>0</v>
      </c>
      <c r="K49" s="399">
        <v>0</v>
      </c>
      <c r="L49" s="399">
        <f t="shared" si="1"/>
        <v>48261.170000000006</v>
      </c>
    </row>
    <row r="50" spans="1:12" ht="12.75" outlineLevel="1">
      <c r="A50" s="359" t="s">
        <v>2535</v>
      </c>
      <c r="B50" s="360"/>
      <c r="C50" s="361" t="s">
        <v>2536</v>
      </c>
      <c r="D50" s="361" t="str">
        <f t="shared" si="0"/>
        <v>MAX LEUPOLD SCHP LN</v>
      </c>
      <c r="E50" s="361"/>
      <c r="F50" s="397">
        <v>100278.15</v>
      </c>
      <c r="G50" s="398">
        <v>0</v>
      </c>
      <c r="H50" s="399">
        <v>0</v>
      </c>
      <c r="I50" s="399">
        <v>3466.16</v>
      </c>
      <c r="J50" s="399">
        <v>0</v>
      </c>
      <c r="K50" s="399">
        <v>-3466.16</v>
      </c>
      <c r="L50" s="399">
        <f t="shared" si="1"/>
        <v>100278.15</v>
      </c>
    </row>
    <row r="51" spans="1:12" ht="12.75" outlineLevel="1">
      <c r="A51" s="359" t="s">
        <v>2537</v>
      </c>
      <c r="B51" s="360"/>
      <c r="C51" s="361" t="s">
        <v>2538</v>
      </c>
      <c r="D51" s="361" t="str">
        <f t="shared" si="0"/>
        <v>LOGAN STUDY CLUD FD</v>
      </c>
      <c r="E51" s="361"/>
      <c r="F51" s="397">
        <v>1533.25</v>
      </c>
      <c r="G51" s="398">
        <v>0</v>
      </c>
      <c r="H51" s="399">
        <v>0</v>
      </c>
      <c r="I51" s="399">
        <v>53.01</v>
      </c>
      <c r="J51" s="399">
        <v>0</v>
      </c>
      <c r="K51" s="399">
        <v>0</v>
      </c>
      <c r="L51" s="399">
        <f t="shared" si="1"/>
        <v>1586.26</v>
      </c>
    </row>
    <row r="52" spans="1:12" ht="12.75" outlineLevel="1">
      <c r="A52" s="359" t="s">
        <v>2539</v>
      </c>
      <c r="B52" s="360"/>
      <c r="C52" s="361" t="s">
        <v>2540</v>
      </c>
      <c r="D52" s="361" t="str">
        <f t="shared" si="0"/>
        <v>H E &amp; D D LOUGH LOAN</v>
      </c>
      <c r="E52" s="361"/>
      <c r="F52" s="397">
        <v>358.15</v>
      </c>
      <c r="G52" s="398">
        <v>0</v>
      </c>
      <c r="H52" s="399">
        <v>389.29</v>
      </c>
      <c r="I52" s="399">
        <v>749.84</v>
      </c>
      <c r="J52" s="399">
        <v>-14.86</v>
      </c>
      <c r="K52" s="399">
        <v>0</v>
      </c>
      <c r="L52" s="399">
        <f t="shared" si="1"/>
        <v>1512.14</v>
      </c>
    </row>
    <row r="53" spans="1:12" ht="12.75" outlineLevel="1">
      <c r="A53" s="359" t="s">
        <v>2541</v>
      </c>
      <c r="B53" s="360"/>
      <c r="C53" s="361" t="s">
        <v>2542</v>
      </c>
      <c r="D53" s="361" t="str">
        <f t="shared" si="0"/>
        <v>NADINE C LOUGH LOAN</v>
      </c>
      <c r="E53" s="361"/>
      <c r="F53" s="397">
        <v>-401.78</v>
      </c>
      <c r="G53" s="398">
        <v>0</v>
      </c>
      <c r="H53" s="399">
        <v>291.9</v>
      </c>
      <c r="I53" s="399">
        <v>-495.94</v>
      </c>
      <c r="J53" s="399">
        <v>-6.14</v>
      </c>
      <c r="K53" s="399">
        <v>0</v>
      </c>
      <c r="L53" s="399">
        <f t="shared" si="1"/>
        <v>-599.68</v>
      </c>
    </row>
    <row r="54" spans="1:12" ht="12.75" outlineLevel="1">
      <c r="A54" s="359" t="s">
        <v>2543</v>
      </c>
      <c r="C54" s="390" t="s">
        <v>2544</v>
      </c>
      <c r="D54" s="390" t="str">
        <f t="shared" si="0"/>
        <v>A D MARTIN MEMORIAL</v>
      </c>
      <c r="F54" s="400">
        <v>815.2</v>
      </c>
      <c r="G54" s="401">
        <v>0</v>
      </c>
      <c r="H54" s="402">
        <v>0</v>
      </c>
      <c r="I54" s="402">
        <v>28.18</v>
      </c>
      <c r="J54" s="402">
        <v>0</v>
      </c>
      <c r="K54" s="402">
        <v>0</v>
      </c>
      <c r="L54" s="402">
        <f t="shared" si="1"/>
        <v>843.38</v>
      </c>
    </row>
    <row r="55" spans="1:12" ht="12.75" outlineLevel="1">
      <c r="A55" s="359" t="s">
        <v>2545</v>
      </c>
      <c r="B55" s="360"/>
      <c r="C55" s="361" t="s">
        <v>2546</v>
      </c>
      <c r="D55" s="361" t="str">
        <f t="shared" si="0"/>
        <v>MCCREIGHT LOAN FUND</v>
      </c>
      <c r="E55" s="361"/>
      <c r="F55" s="397">
        <v>474746.96</v>
      </c>
      <c r="G55" s="398">
        <v>0</v>
      </c>
      <c r="H55" s="399">
        <v>12824.42</v>
      </c>
      <c r="I55" s="399">
        <v>3559.41</v>
      </c>
      <c r="J55" s="399">
        <v>38</v>
      </c>
      <c r="K55" s="399">
        <v>0</v>
      </c>
      <c r="L55" s="399">
        <f t="shared" si="1"/>
        <v>491092.79</v>
      </c>
    </row>
    <row r="56" spans="1:12" ht="12.75" outlineLevel="1">
      <c r="A56" s="359" t="s">
        <v>2547</v>
      </c>
      <c r="B56" s="360"/>
      <c r="C56" s="361" t="s">
        <v>2548</v>
      </c>
      <c r="D56" s="361" t="str">
        <f t="shared" si="0"/>
        <v>MEDICAL STUDENT LOAN</v>
      </c>
      <c r="E56" s="361"/>
      <c r="F56" s="397">
        <v>164334.56</v>
      </c>
      <c r="G56" s="398">
        <v>0</v>
      </c>
      <c r="H56" s="399">
        <v>5985.86</v>
      </c>
      <c r="I56" s="399">
        <v>746.99</v>
      </c>
      <c r="J56" s="399">
        <v>-474.27</v>
      </c>
      <c r="K56" s="399">
        <v>0</v>
      </c>
      <c r="L56" s="399">
        <f t="shared" si="1"/>
        <v>171541.67999999996</v>
      </c>
    </row>
    <row r="57" spans="1:12" ht="12.75" outlineLevel="1">
      <c r="A57" s="359" t="s">
        <v>2549</v>
      </c>
      <c r="B57" s="360"/>
      <c r="C57" s="361" t="s">
        <v>2550</v>
      </c>
      <c r="D57" s="361" t="str">
        <f t="shared" si="0"/>
        <v>MEDLINK LOAN FUND</v>
      </c>
      <c r="E57" s="361"/>
      <c r="F57" s="397">
        <v>61609.92</v>
      </c>
      <c r="G57" s="398">
        <v>0</v>
      </c>
      <c r="H57" s="399">
        <v>388.01</v>
      </c>
      <c r="I57" s="399">
        <v>849.28</v>
      </c>
      <c r="J57" s="399">
        <v>-31</v>
      </c>
      <c r="K57" s="399">
        <v>0</v>
      </c>
      <c r="L57" s="399">
        <f t="shared" si="1"/>
        <v>62878.21</v>
      </c>
    </row>
    <row r="58" spans="1:12" ht="12.75" outlineLevel="1">
      <c r="A58" s="359" t="s">
        <v>2551</v>
      </c>
      <c r="B58" s="360"/>
      <c r="C58" s="361" t="s">
        <v>2552</v>
      </c>
      <c r="D58" s="361" t="str">
        <f t="shared" si="0"/>
        <v>MID-CENT DENT LOAN</v>
      </c>
      <c r="E58" s="361"/>
      <c r="F58" s="397">
        <v>3249.26</v>
      </c>
      <c r="G58" s="398">
        <v>0</v>
      </c>
      <c r="H58" s="399">
        <v>82.87</v>
      </c>
      <c r="I58" s="399">
        <v>15.4</v>
      </c>
      <c r="J58" s="399">
        <v>0</v>
      </c>
      <c r="K58" s="399">
        <v>0</v>
      </c>
      <c r="L58" s="399">
        <f t="shared" si="1"/>
        <v>3347.53</v>
      </c>
    </row>
    <row r="59" spans="1:12" ht="12.75" outlineLevel="1">
      <c r="A59" s="359" t="s">
        <v>2553</v>
      </c>
      <c r="B59" s="360"/>
      <c r="C59" s="361" t="s">
        <v>2554</v>
      </c>
      <c r="D59" s="361" t="str">
        <f t="shared" si="0"/>
        <v>MO REPERTORY LOAN</v>
      </c>
      <c r="E59" s="361"/>
      <c r="F59" s="397">
        <v>6787.08</v>
      </c>
      <c r="G59" s="398">
        <v>0</v>
      </c>
      <c r="H59" s="399">
        <v>0</v>
      </c>
      <c r="I59" s="399">
        <v>199.34</v>
      </c>
      <c r="J59" s="399">
        <v>324.4</v>
      </c>
      <c r="K59" s="399">
        <v>0</v>
      </c>
      <c r="L59" s="399">
        <f t="shared" si="1"/>
        <v>6662.02</v>
      </c>
    </row>
    <row r="60" spans="1:12" ht="12.75" outlineLevel="1">
      <c r="A60" s="359" t="s">
        <v>2555</v>
      </c>
      <c r="B60" s="360"/>
      <c r="C60" s="361" t="s">
        <v>2556</v>
      </c>
      <c r="D60" s="361" t="str">
        <f t="shared" si="0"/>
        <v>MO REXALLITE LOAN</v>
      </c>
      <c r="E60" s="361"/>
      <c r="F60" s="397">
        <v>6616.47</v>
      </c>
      <c r="G60" s="398">
        <v>0</v>
      </c>
      <c r="H60" s="399">
        <v>60.77</v>
      </c>
      <c r="I60" s="399">
        <v>48.38</v>
      </c>
      <c r="J60" s="399">
        <v>0</v>
      </c>
      <c r="K60" s="399">
        <v>0</v>
      </c>
      <c r="L60" s="399">
        <f t="shared" si="1"/>
        <v>6725.620000000001</v>
      </c>
    </row>
    <row r="61" spans="1:12" ht="12.75" outlineLevel="1">
      <c r="A61" s="359" t="s">
        <v>2557</v>
      </c>
      <c r="B61" s="360"/>
      <c r="C61" s="361" t="s">
        <v>2558</v>
      </c>
      <c r="D61" s="361" t="str">
        <f t="shared" si="0"/>
        <v>DR G ROTH DENT ST LN</v>
      </c>
      <c r="E61" s="361"/>
      <c r="F61" s="397">
        <v>20117.85</v>
      </c>
      <c r="G61" s="398">
        <v>0</v>
      </c>
      <c r="H61" s="399">
        <v>192.14</v>
      </c>
      <c r="I61" s="399">
        <v>190.11</v>
      </c>
      <c r="J61" s="399">
        <v>0</v>
      </c>
      <c r="K61" s="399">
        <v>0</v>
      </c>
      <c r="L61" s="399">
        <f t="shared" si="1"/>
        <v>20500.1</v>
      </c>
    </row>
    <row r="62" spans="1:12" ht="12.75" outlineLevel="1">
      <c r="A62" s="359" t="s">
        <v>2559</v>
      </c>
      <c r="B62" s="360"/>
      <c r="C62" s="361" t="s">
        <v>2560</v>
      </c>
      <c r="D62" s="361" t="str">
        <f t="shared" si="0"/>
        <v>J R SWARTZ MEMORIAL</v>
      </c>
      <c r="E62" s="361"/>
      <c r="F62" s="397">
        <v>2560.43</v>
      </c>
      <c r="G62" s="398">
        <v>0</v>
      </c>
      <c r="H62" s="399">
        <v>0</v>
      </c>
      <c r="I62" s="399">
        <v>71.22</v>
      </c>
      <c r="J62" s="399">
        <v>0</v>
      </c>
      <c r="K62" s="399">
        <v>0</v>
      </c>
      <c r="L62" s="399">
        <f t="shared" si="1"/>
        <v>2631.6499999999996</v>
      </c>
    </row>
    <row r="63" spans="1:12" ht="12.75" outlineLevel="1">
      <c r="A63" s="359" t="s">
        <v>2561</v>
      </c>
      <c r="B63" s="360"/>
      <c r="C63" s="361" t="s">
        <v>2562</v>
      </c>
      <c r="D63" s="361" t="str">
        <f t="shared" si="0"/>
        <v>MURRAY STUDENT LOAN</v>
      </c>
      <c r="E63" s="361"/>
      <c r="F63" s="397">
        <v>276248.81</v>
      </c>
      <c r="G63" s="398">
        <v>0</v>
      </c>
      <c r="H63" s="399">
        <v>4136.59</v>
      </c>
      <c r="I63" s="399">
        <v>14610.41</v>
      </c>
      <c r="J63" s="399">
        <v>-2.06</v>
      </c>
      <c r="K63" s="399">
        <v>0</v>
      </c>
      <c r="L63" s="399">
        <f t="shared" si="1"/>
        <v>294997.87</v>
      </c>
    </row>
    <row r="64" spans="1:12" ht="12.75" outlineLevel="1">
      <c r="A64" s="359" t="s">
        <v>2563</v>
      </c>
      <c r="B64" s="360"/>
      <c r="C64" s="361" t="s">
        <v>2564</v>
      </c>
      <c r="D64" s="361" t="str">
        <f t="shared" si="0"/>
        <v>ARTHUR NELSON LOAN</v>
      </c>
      <c r="E64" s="361"/>
      <c r="F64" s="397">
        <v>1150</v>
      </c>
      <c r="G64" s="398">
        <v>0</v>
      </c>
      <c r="H64" s="399">
        <v>0</v>
      </c>
      <c r="I64" s="399">
        <v>0</v>
      </c>
      <c r="J64" s="399">
        <v>0</v>
      </c>
      <c r="K64" s="399">
        <v>0</v>
      </c>
      <c r="L64" s="399">
        <f t="shared" si="1"/>
        <v>1150</v>
      </c>
    </row>
    <row r="65" spans="1:12" ht="12.75" outlineLevel="1">
      <c r="A65" s="359" t="s">
        <v>2565</v>
      </c>
      <c r="B65" s="360"/>
      <c r="C65" s="361" t="s">
        <v>2566</v>
      </c>
      <c r="D65" s="361" t="str">
        <f t="shared" si="0"/>
        <v>O'DELL DENTAL LOAN</v>
      </c>
      <c r="E65" s="361"/>
      <c r="F65" s="397">
        <v>54048.95</v>
      </c>
      <c r="G65" s="398">
        <v>0</v>
      </c>
      <c r="H65" s="399">
        <v>979.88</v>
      </c>
      <c r="I65" s="399">
        <v>475.37</v>
      </c>
      <c r="J65" s="399">
        <v>0</v>
      </c>
      <c r="K65" s="399">
        <v>0</v>
      </c>
      <c r="L65" s="399">
        <f t="shared" si="1"/>
        <v>55504.2</v>
      </c>
    </row>
    <row r="66" spans="1:12" ht="12.75" outlineLevel="1">
      <c r="A66" s="359" t="s">
        <v>2567</v>
      </c>
      <c r="B66" s="360"/>
      <c r="C66" s="361" t="s">
        <v>2568</v>
      </c>
      <c r="D66" s="361" t="str">
        <f t="shared" si="0"/>
        <v>ORTHO STUDENT LOAN</v>
      </c>
      <c r="E66" s="361"/>
      <c r="F66" s="397">
        <v>2270.7</v>
      </c>
      <c r="G66" s="398">
        <v>0</v>
      </c>
      <c r="H66" s="399">
        <v>0</v>
      </c>
      <c r="I66" s="399">
        <v>78.48</v>
      </c>
      <c r="J66" s="399">
        <v>0</v>
      </c>
      <c r="K66" s="399">
        <v>0</v>
      </c>
      <c r="L66" s="399">
        <f t="shared" si="1"/>
        <v>2349.18</v>
      </c>
    </row>
    <row r="67" spans="1:12" ht="12.75" outlineLevel="1">
      <c r="A67" s="359" t="s">
        <v>2569</v>
      </c>
      <c r="B67" s="360"/>
      <c r="C67" s="361" t="s">
        <v>2570</v>
      </c>
      <c r="D67" s="361" t="str">
        <f t="shared" si="0"/>
        <v>RODDY OSBORNE FUND</v>
      </c>
      <c r="E67" s="361"/>
      <c r="F67" s="397">
        <v>3563.03</v>
      </c>
      <c r="G67" s="398">
        <v>0</v>
      </c>
      <c r="H67" s="399">
        <v>0</v>
      </c>
      <c r="I67" s="399">
        <v>123.16</v>
      </c>
      <c r="J67" s="399">
        <v>0</v>
      </c>
      <c r="K67" s="399">
        <v>0</v>
      </c>
      <c r="L67" s="399">
        <f t="shared" si="1"/>
        <v>3686.19</v>
      </c>
    </row>
    <row r="68" spans="1:12" ht="12.75" outlineLevel="1">
      <c r="A68" s="359" t="s">
        <v>2571</v>
      </c>
      <c r="B68" s="360"/>
      <c r="C68" s="361" t="s">
        <v>2572</v>
      </c>
      <c r="D68" s="361" t="str">
        <f t="shared" si="0"/>
        <v>PARROTT FDN LOAN</v>
      </c>
      <c r="E68" s="361"/>
      <c r="F68" s="397">
        <v>167509.05</v>
      </c>
      <c r="G68" s="398">
        <v>0</v>
      </c>
      <c r="H68" s="399">
        <v>864.65</v>
      </c>
      <c r="I68" s="399">
        <v>5032.23</v>
      </c>
      <c r="J68" s="399">
        <v>-262.44</v>
      </c>
      <c r="K68" s="399">
        <v>0</v>
      </c>
      <c r="L68" s="399">
        <f t="shared" si="1"/>
        <v>173668.37</v>
      </c>
    </row>
    <row r="69" spans="1:12" ht="12.75" outlineLevel="1">
      <c r="A69" s="359" t="s">
        <v>2573</v>
      </c>
      <c r="B69" s="360"/>
      <c r="C69" s="361" t="s">
        <v>2574</v>
      </c>
      <c r="D69" s="361" t="str">
        <f t="shared" si="0"/>
        <v>J C PENTICUFF MEMOR</v>
      </c>
      <c r="E69" s="361"/>
      <c r="F69" s="397">
        <v>12045.29</v>
      </c>
      <c r="G69" s="398">
        <v>0</v>
      </c>
      <c r="H69" s="399">
        <v>378.74</v>
      </c>
      <c r="I69" s="399">
        <v>105.92</v>
      </c>
      <c r="J69" s="399">
        <v>0</v>
      </c>
      <c r="K69" s="399">
        <v>0</v>
      </c>
      <c r="L69" s="399">
        <f t="shared" si="1"/>
        <v>12529.95</v>
      </c>
    </row>
    <row r="70" spans="1:12" ht="12.75" outlineLevel="1">
      <c r="A70" s="359" t="s">
        <v>2575</v>
      </c>
      <c r="B70" s="360"/>
      <c r="C70" s="361" t="s">
        <v>2576</v>
      </c>
      <c r="D70" s="361" t="str">
        <f t="shared" si="0"/>
        <v>PHARMACY ALUMNI LOAN</v>
      </c>
      <c r="E70" s="361"/>
      <c r="F70" s="397">
        <v>7491.04</v>
      </c>
      <c r="G70" s="398">
        <v>0</v>
      </c>
      <c r="H70" s="399">
        <v>24.1</v>
      </c>
      <c r="I70" s="399">
        <v>114.76</v>
      </c>
      <c r="J70" s="399">
        <v>9</v>
      </c>
      <c r="K70" s="399">
        <v>0</v>
      </c>
      <c r="L70" s="399">
        <f t="shared" si="1"/>
        <v>7620.900000000001</v>
      </c>
    </row>
    <row r="71" spans="1:12" ht="12.75" outlineLevel="1">
      <c r="A71" s="359" t="s">
        <v>2577</v>
      </c>
      <c r="B71" s="360"/>
      <c r="C71" s="361" t="s">
        <v>2578</v>
      </c>
      <c r="D71" s="361" t="str">
        <f t="shared" si="0"/>
        <v>PHARM-CHEM ALLIED CO</v>
      </c>
      <c r="E71" s="361"/>
      <c r="F71" s="397">
        <v>3376.45</v>
      </c>
      <c r="G71" s="398">
        <v>0</v>
      </c>
      <c r="H71" s="399">
        <v>8.18</v>
      </c>
      <c r="I71" s="399">
        <v>2.71</v>
      </c>
      <c r="J71" s="399">
        <v>-1.16</v>
      </c>
      <c r="K71" s="399">
        <v>0</v>
      </c>
      <c r="L71" s="399">
        <f t="shared" si="1"/>
        <v>3388.4999999999995</v>
      </c>
    </row>
    <row r="72" spans="1:12" ht="12.75" outlineLevel="1">
      <c r="A72" s="359" t="s">
        <v>2579</v>
      </c>
      <c r="B72" s="360"/>
      <c r="C72" s="361" t="s">
        <v>2580</v>
      </c>
      <c r="D72" s="361" t="str">
        <f aca="true" t="shared" si="2" ref="D72:D101">UPPER(C72)</f>
        <v>PHARMACY-I KATZ MEM</v>
      </c>
      <c r="E72" s="361"/>
      <c r="F72" s="397">
        <v>3728.2</v>
      </c>
      <c r="G72" s="398">
        <v>0</v>
      </c>
      <c r="H72" s="399">
        <v>30.99</v>
      </c>
      <c r="I72" s="399">
        <v>120.63</v>
      </c>
      <c r="J72" s="399">
        <v>0</v>
      </c>
      <c r="K72" s="399">
        <v>0</v>
      </c>
      <c r="L72" s="399">
        <f aca="true" t="shared" si="3" ref="L72:L101">F72+G72+H72+I72-J72+K72</f>
        <v>3879.8199999999997</v>
      </c>
    </row>
    <row r="73" spans="1:12" ht="12.75" outlineLevel="1">
      <c r="A73" s="359" t="s">
        <v>2581</v>
      </c>
      <c r="B73" s="360"/>
      <c r="C73" s="361" t="s">
        <v>2582</v>
      </c>
      <c r="D73" s="361" t="str">
        <f t="shared" si="2"/>
        <v>PHARM-J S WATKINS LN</v>
      </c>
      <c r="E73" s="361"/>
      <c r="F73" s="397">
        <v>2037.26</v>
      </c>
      <c r="G73" s="398">
        <v>0</v>
      </c>
      <c r="H73" s="399">
        <v>0</v>
      </c>
      <c r="I73" s="399">
        <v>45.35</v>
      </c>
      <c r="J73" s="399">
        <v>0</v>
      </c>
      <c r="K73" s="399">
        <v>0</v>
      </c>
      <c r="L73" s="399">
        <f t="shared" si="3"/>
        <v>2082.61</v>
      </c>
    </row>
    <row r="74" spans="1:12" ht="12.75" outlineLevel="1">
      <c r="A74" s="359" t="s">
        <v>2583</v>
      </c>
      <c r="B74" s="360"/>
      <c r="C74" s="361" t="s">
        <v>2584</v>
      </c>
      <c r="D74" s="361" t="str">
        <f t="shared" si="2"/>
        <v>PETER POTTER LOAN</v>
      </c>
      <c r="E74" s="361"/>
      <c r="F74" s="397">
        <v>-69.87</v>
      </c>
      <c r="G74" s="398">
        <v>0</v>
      </c>
      <c r="H74" s="399">
        <v>0</v>
      </c>
      <c r="I74" s="399">
        <v>-28.33</v>
      </c>
      <c r="J74" s="399">
        <v>0</v>
      </c>
      <c r="K74" s="399">
        <v>0</v>
      </c>
      <c r="L74" s="399">
        <f t="shared" si="3"/>
        <v>-98.2</v>
      </c>
    </row>
    <row r="75" spans="1:12" ht="12.75" outlineLevel="1">
      <c r="A75" s="359" t="s">
        <v>2585</v>
      </c>
      <c r="B75" s="360"/>
      <c r="C75" s="361" t="s">
        <v>2586</v>
      </c>
      <c r="D75" s="361" t="str">
        <f t="shared" si="2"/>
        <v>POWELL REVOLVING LN</v>
      </c>
      <c r="E75" s="361"/>
      <c r="F75" s="397">
        <v>1930.29</v>
      </c>
      <c r="G75" s="398">
        <v>0</v>
      </c>
      <c r="H75" s="399">
        <v>0</v>
      </c>
      <c r="I75" s="399">
        <v>66.74</v>
      </c>
      <c r="J75" s="399">
        <v>0</v>
      </c>
      <c r="K75" s="399">
        <v>0</v>
      </c>
      <c r="L75" s="399">
        <f t="shared" si="3"/>
        <v>1997.03</v>
      </c>
    </row>
    <row r="76" spans="1:12" ht="12.75" outlineLevel="1">
      <c r="A76" s="359" t="s">
        <v>2587</v>
      </c>
      <c r="B76" s="360"/>
      <c r="C76" s="361" t="s">
        <v>2588</v>
      </c>
      <c r="D76" s="361" t="str">
        <f t="shared" si="2"/>
        <v>RUEBEN RHODES MEM</v>
      </c>
      <c r="E76" s="361"/>
      <c r="F76" s="397">
        <v>9864.63</v>
      </c>
      <c r="G76" s="398">
        <v>0</v>
      </c>
      <c r="H76" s="399">
        <v>138.14</v>
      </c>
      <c r="I76" s="399">
        <v>149.06</v>
      </c>
      <c r="J76" s="399">
        <v>0</v>
      </c>
      <c r="K76" s="399">
        <v>0</v>
      </c>
      <c r="L76" s="399">
        <f t="shared" si="3"/>
        <v>10151.829999999998</v>
      </c>
    </row>
    <row r="77" spans="1:12" ht="12.75" outlineLevel="1">
      <c r="A77" s="359" t="s">
        <v>2589</v>
      </c>
      <c r="B77" s="360"/>
      <c r="C77" s="361" t="s">
        <v>2590</v>
      </c>
      <c r="D77" s="361" t="str">
        <f t="shared" si="2"/>
        <v>SCHOOL OF PHARMACY</v>
      </c>
      <c r="E77" s="361"/>
      <c r="F77" s="397">
        <v>16990.52</v>
      </c>
      <c r="G77" s="398">
        <v>0</v>
      </c>
      <c r="H77" s="399">
        <v>414.2</v>
      </c>
      <c r="I77" s="399">
        <v>112.81</v>
      </c>
      <c r="J77" s="399">
        <v>0</v>
      </c>
      <c r="K77" s="399">
        <v>0</v>
      </c>
      <c r="L77" s="399">
        <f t="shared" si="3"/>
        <v>17517.530000000002</v>
      </c>
    </row>
    <row r="78" spans="1:12" ht="12.75" outlineLevel="1">
      <c r="A78" s="359" t="s">
        <v>2591</v>
      </c>
      <c r="B78" s="360"/>
      <c r="C78" s="361" t="s">
        <v>2592</v>
      </c>
      <c r="D78" s="361" t="str">
        <f t="shared" si="2"/>
        <v>O M SCOTT LOAN FUND</v>
      </c>
      <c r="E78" s="361"/>
      <c r="F78" s="397">
        <v>36228.02</v>
      </c>
      <c r="G78" s="398">
        <v>0</v>
      </c>
      <c r="H78" s="399">
        <v>737.05</v>
      </c>
      <c r="I78" s="399">
        <v>595.74</v>
      </c>
      <c r="J78" s="399">
        <v>0</v>
      </c>
      <c r="K78" s="399">
        <v>-1332.79</v>
      </c>
      <c r="L78" s="399">
        <f t="shared" si="3"/>
        <v>36228.02</v>
      </c>
    </row>
    <row r="79" spans="1:12" ht="12.75" outlineLevel="1">
      <c r="A79" s="359" t="s">
        <v>2593</v>
      </c>
      <c r="B79" s="360"/>
      <c r="C79" s="361" t="s">
        <v>2594</v>
      </c>
      <c r="D79" s="361" t="str">
        <f t="shared" si="2"/>
        <v>SECOND PRESB INTL LN</v>
      </c>
      <c r="E79" s="361"/>
      <c r="F79" s="397">
        <v>6578.12</v>
      </c>
      <c r="G79" s="398">
        <v>0</v>
      </c>
      <c r="H79" s="399">
        <v>93.14</v>
      </c>
      <c r="I79" s="399">
        <v>47.12</v>
      </c>
      <c r="J79" s="399">
        <v>0</v>
      </c>
      <c r="K79" s="399">
        <v>0</v>
      </c>
      <c r="L79" s="399">
        <f t="shared" si="3"/>
        <v>6718.38</v>
      </c>
    </row>
    <row r="80" spans="1:12" ht="12.75" outlineLevel="1">
      <c r="A80" s="359" t="s">
        <v>2595</v>
      </c>
      <c r="B80" s="360"/>
      <c r="C80" s="361" t="s">
        <v>2596</v>
      </c>
      <c r="D80" s="361" t="str">
        <f t="shared" si="2"/>
        <v>R A SHANNON LOAN</v>
      </c>
      <c r="E80" s="361"/>
      <c r="F80" s="397">
        <v>10994.49</v>
      </c>
      <c r="G80" s="398">
        <v>0</v>
      </c>
      <c r="H80" s="399">
        <v>151.74</v>
      </c>
      <c r="I80" s="399">
        <v>254.7</v>
      </c>
      <c r="J80" s="399">
        <v>0</v>
      </c>
      <c r="K80" s="399">
        <v>0</v>
      </c>
      <c r="L80" s="399">
        <f t="shared" si="3"/>
        <v>11400.93</v>
      </c>
    </row>
    <row r="81" spans="1:12" ht="12.75" outlineLevel="1">
      <c r="A81" s="359" t="s">
        <v>2597</v>
      </c>
      <c r="B81" s="360"/>
      <c r="C81" s="361" t="s">
        <v>2598</v>
      </c>
      <c r="D81" s="361" t="str">
        <f t="shared" si="2"/>
        <v>SMALL LOAN EMERG FD</v>
      </c>
      <c r="E81" s="361"/>
      <c r="F81" s="397">
        <v>10312.23</v>
      </c>
      <c r="G81" s="398">
        <v>120</v>
      </c>
      <c r="H81" s="399">
        <v>0</v>
      </c>
      <c r="I81" s="399">
        <v>-657.24</v>
      </c>
      <c r="J81" s="399">
        <v>-130.5</v>
      </c>
      <c r="K81" s="399">
        <v>0</v>
      </c>
      <c r="L81" s="399">
        <f t="shared" si="3"/>
        <v>9905.49</v>
      </c>
    </row>
    <row r="82" spans="1:12" ht="12.75" outlineLevel="1">
      <c r="A82" s="359" t="s">
        <v>2599</v>
      </c>
      <c r="B82" s="360"/>
      <c r="C82" s="361" t="s">
        <v>2600</v>
      </c>
      <c r="D82" s="361" t="str">
        <f t="shared" si="2"/>
        <v>R &amp; H SMITH LOAN</v>
      </c>
      <c r="E82" s="361"/>
      <c r="F82" s="397">
        <v>1438.01</v>
      </c>
      <c r="G82" s="398">
        <v>0</v>
      </c>
      <c r="H82" s="399">
        <v>0</v>
      </c>
      <c r="I82" s="399">
        <v>49.68</v>
      </c>
      <c r="J82" s="399">
        <v>0</v>
      </c>
      <c r="K82" s="399">
        <v>0</v>
      </c>
      <c r="L82" s="399">
        <f t="shared" si="3"/>
        <v>1487.69</v>
      </c>
    </row>
    <row r="83" spans="1:12" ht="12.75" outlineLevel="1">
      <c r="A83" s="359" t="s">
        <v>2601</v>
      </c>
      <c r="B83" s="360"/>
      <c r="C83" s="361" t="s">
        <v>2602</v>
      </c>
      <c r="D83" s="361" t="str">
        <f t="shared" si="2"/>
        <v>SOC OF NEW ENG WOMEN</v>
      </c>
      <c r="E83" s="361"/>
      <c r="F83" s="397">
        <v>2474.74</v>
      </c>
      <c r="G83" s="398">
        <v>0</v>
      </c>
      <c r="H83" s="399">
        <v>0</v>
      </c>
      <c r="I83" s="399">
        <v>85.53</v>
      </c>
      <c r="J83" s="399">
        <v>0</v>
      </c>
      <c r="K83" s="399">
        <v>0</v>
      </c>
      <c r="L83" s="399">
        <f t="shared" si="3"/>
        <v>2560.27</v>
      </c>
    </row>
    <row r="84" spans="1:12" ht="12.75" outlineLevel="1">
      <c r="A84" s="359" t="s">
        <v>2603</v>
      </c>
      <c r="B84" s="360"/>
      <c r="C84" s="361" t="s">
        <v>2604</v>
      </c>
      <c r="D84" s="361" t="str">
        <f t="shared" si="2"/>
        <v>SW DIST DENT STU LN</v>
      </c>
      <c r="E84" s="361"/>
      <c r="F84" s="397">
        <v>2703.33</v>
      </c>
      <c r="G84" s="398">
        <v>0</v>
      </c>
      <c r="H84" s="399">
        <v>50.81</v>
      </c>
      <c r="I84" s="399">
        <v>50.38</v>
      </c>
      <c r="J84" s="399">
        <v>0</v>
      </c>
      <c r="K84" s="399">
        <v>0</v>
      </c>
      <c r="L84" s="399">
        <f t="shared" si="3"/>
        <v>2804.52</v>
      </c>
    </row>
    <row r="85" spans="1:12" ht="12.75" outlineLevel="1">
      <c r="A85" s="359" t="s">
        <v>2605</v>
      </c>
      <c r="B85" s="360"/>
      <c r="C85" s="361" t="s">
        <v>2606</v>
      </c>
      <c r="D85" s="361" t="str">
        <f t="shared" si="2"/>
        <v>T DUFF STEWARD MEM</v>
      </c>
      <c r="E85" s="361"/>
      <c r="F85" s="397">
        <v>8162.72</v>
      </c>
      <c r="G85" s="398">
        <v>0</v>
      </c>
      <c r="H85" s="399">
        <v>0</v>
      </c>
      <c r="I85" s="399">
        <v>259.68</v>
      </c>
      <c r="J85" s="399">
        <v>0</v>
      </c>
      <c r="K85" s="399">
        <v>0</v>
      </c>
      <c r="L85" s="399">
        <f t="shared" si="3"/>
        <v>8422.4</v>
      </c>
    </row>
    <row r="86" spans="1:12" ht="12.75" outlineLevel="1">
      <c r="A86" s="359" t="s">
        <v>2607</v>
      </c>
      <c r="B86" s="360"/>
      <c r="C86" s="361" t="s">
        <v>2608</v>
      </c>
      <c r="D86" s="361" t="str">
        <f t="shared" si="2"/>
        <v>FRIENDS MEDICAL LOAN</v>
      </c>
      <c r="E86" s="361"/>
      <c r="F86" s="397">
        <v>3482.66</v>
      </c>
      <c r="G86" s="398">
        <v>0</v>
      </c>
      <c r="H86" s="399">
        <v>0</v>
      </c>
      <c r="I86" s="399">
        <v>120.38</v>
      </c>
      <c r="J86" s="399">
        <v>0</v>
      </c>
      <c r="K86" s="399">
        <v>0</v>
      </c>
      <c r="L86" s="399">
        <f t="shared" si="3"/>
        <v>3603.04</v>
      </c>
    </row>
    <row r="87" spans="1:12" ht="12.75" outlineLevel="1">
      <c r="A87" s="359" t="s">
        <v>2609</v>
      </c>
      <c r="B87" s="360"/>
      <c r="C87" s="361" t="s">
        <v>2610</v>
      </c>
      <c r="D87" s="361" t="str">
        <f t="shared" si="2"/>
        <v>STUDENT AID FUND</v>
      </c>
      <c r="E87" s="361"/>
      <c r="F87" s="397">
        <v>14288.42</v>
      </c>
      <c r="G87" s="398">
        <v>0</v>
      </c>
      <c r="H87" s="399">
        <v>175.47</v>
      </c>
      <c r="I87" s="399">
        <v>418.34</v>
      </c>
      <c r="J87" s="399">
        <v>200.37</v>
      </c>
      <c r="K87" s="399">
        <v>0</v>
      </c>
      <c r="L87" s="399">
        <f t="shared" si="3"/>
        <v>14681.859999999999</v>
      </c>
    </row>
    <row r="88" spans="1:12" ht="12.75" outlineLevel="1">
      <c r="A88" s="359" t="s">
        <v>2611</v>
      </c>
      <c r="B88" s="360"/>
      <c r="C88" s="361" t="s">
        <v>2612</v>
      </c>
      <c r="D88" s="361" t="str">
        <f t="shared" si="2"/>
        <v>TOPEKA DENT AUX LN</v>
      </c>
      <c r="E88" s="361"/>
      <c r="F88" s="397">
        <v>7223.35</v>
      </c>
      <c r="G88" s="398">
        <v>0</v>
      </c>
      <c r="H88" s="399">
        <v>74</v>
      </c>
      <c r="I88" s="399">
        <v>114.24</v>
      </c>
      <c r="J88" s="399">
        <v>0</v>
      </c>
      <c r="K88" s="399">
        <v>0</v>
      </c>
      <c r="L88" s="399">
        <f t="shared" si="3"/>
        <v>7411.59</v>
      </c>
    </row>
    <row r="89" spans="1:12" ht="12.75" outlineLevel="1">
      <c r="A89" s="359" t="s">
        <v>2613</v>
      </c>
      <c r="B89" s="360"/>
      <c r="C89" s="361" t="s">
        <v>2614</v>
      </c>
      <c r="D89" s="361" t="str">
        <f t="shared" si="2"/>
        <v>UNITED STUDENT AID</v>
      </c>
      <c r="E89" s="361"/>
      <c r="F89" s="397">
        <v>39499.4</v>
      </c>
      <c r="G89" s="398">
        <v>0</v>
      </c>
      <c r="H89" s="399">
        <v>0</v>
      </c>
      <c r="I89" s="399">
        <v>0</v>
      </c>
      <c r="J89" s="399">
        <v>0</v>
      </c>
      <c r="K89" s="399">
        <v>0</v>
      </c>
      <c r="L89" s="399">
        <f t="shared" si="3"/>
        <v>39499.4</v>
      </c>
    </row>
    <row r="90" spans="1:12" ht="12.75" outlineLevel="1">
      <c r="A90" s="359" t="s">
        <v>2615</v>
      </c>
      <c r="B90" s="360"/>
      <c r="C90" s="361" t="s">
        <v>2616</v>
      </c>
      <c r="D90" s="361" t="str">
        <f t="shared" si="2"/>
        <v>UMKC ALUMNI EMERG LN</v>
      </c>
      <c r="E90" s="361"/>
      <c r="F90" s="397">
        <v>5864.96</v>
      </c>
      <c r="G90" s="398">
        <v>0</v>
      </c>
      <c r="H90" s="399">
        <v>29.21</v>
      </c>
      <c r="I90" s="399">
        <v>172.57</v>
      </c>
      <c r="J90" s="399">
        <v>0</v>
      </c>
      <c r="K90" s="399">
        <v>0</v>
      </c>
      <c r="L90" s="399">
        <f t="shared" si="3"/>
        <v>6066.74</v>
      </c>
    </row>
    <row r="91" spans="1:12" ht="12.75" outlineLevel="1">
      <c r="A91" s="359" t="s">
        <v>2617</v>
      </c>
      <c r="B91" s="360"/>
      <c r="C91" s="361" t="s">
        <v>2618</v>
      </c>
      <c r="D91" s="361" t="str">
        <f t="shared" si="2"/>
        <v>C E VIRDEN MED STULN</v>
      </c>
      <c r="E91" s="361"/>
      <c r="F91" s="397">
        <v>17120.61</v>
      </c>
      <c r="G91" s="398">
        <v>0</v>
      </c>
      <c r="H91" s="399">
        <v>14.33</v>
      </c>
      <c r="I91" s="399">
        <v>454.18</v>
      </c>
      <c r="J91" s="399">
        <v>0</v>
      </c>
      <c r="K91" s="399">
        <v>0</v>
      </c>
      <c r="L91" s="399">
        <f t="shared" si="3"/>
        <v>17589.120000000003</v>
      </c>
    </row>
    <row r="92" spans="1:12" ht="12.75" outlineLevel="1">
      <c r="A92" s="359" t="s">
        <v>2619</v>
      </c>
      <c r="B92" s="360"/>
      <c r="C92" s="361" t="s">
        <v>2620</v>
      </c>
      <c r="D92" s="361" t="str">
        <f t="shared" si="2"/>
        <v>W CENT RET DRUG ASSN</v>
      </c>
      <c r="E92" s="361"/>
      <c r="F92" s="397">
        <v>1840.92</v>
      </c>
      <c r="G92" s="398">
        <v>0</v>
      </c>
      <c r="H92" s="399">
        <v>14.66</v>
      </c>
      <c r="I92" s="399">
        <v>49.14</v>
      </c>
      <c r="J92" s="399">
        <v>0</v>
      </c>
      <c r="K92" s="399">
        <v>0</v>
      </c>
      <c r="L92" s="399">
        <f t="shared" si="3"/>
        <v>1904.7200000000003</v>
      </c>
    </row>
    <row r="93" spans="1:12" ht="12.75" outlineLevel="1">
      <c r="A93" s="359" t="s">
        <v>2621</v>
      </c>
      <c r="B93" s="360"/>
      <c r="C93" s="361" t="s">
        <v>2622</v>
      </c>
      <c r="D93" s="361" t="str">
        <f t="shared" si="2"/>
        <v>WEST MO FRIEND EM LN</v>
      </c>
      <c r="E93" s="361"/>
      <c r="F93" s="397">
        <v>1881.96</v>
      </c>
      <c r="G93" s="398">
        <v>0</v>
      </c>
      <c r="H93" s="399">
        <v>0</v>
      </c>
      <c r="I93" s="399">
        <v>49.46</v>
      </c>
      <c r="J93" s="399">
        <v>0</v>
      </c>
      <c r="K93" s="399">
        <v>0</v>
      </c>
      <c r="L93" s="399">
        <f t="shared" si="3"/>
        <v>1931.42</v>
      </c>
    </row>
    <row r="94" spans="1:12" ht="12.75" outlineLevel="1">
      <c r="A94" s="359" t="s">
        <v>2623</v>
      </c>
      <c r="B94" s="360"/>
      <c r="C94" s="361" t="s">
        <v>2624</v>
      </c>
      <c r="D94" s="361" t="str">
        <f t="shared" si="2"/>
        <v>R W WORTS MEM ST LN</v>
      </c>
      <c r="E94" s="361"/>
      <c r="F94" s="397">
        <v>3339.29</v>
      </c>
      <c r="G94" s="398">
        <v>0</v>
      </c>
      <c r="H94" s="399">
        <v>0</v>
      </c>
      <c r="I94" s="399">
        <v>8.27</v>
      </c>
      <c r="J94" s="399">
        <v>0</v>
      </c>
      <c r="K94" s="399">
        <v>0</v>
      </c>
      <c r="L94" s="399">
        <f t="shared" si="3"/>
        <v>3347.56</v>
      </c>
    </row>
    <row r="95" spans="1:12" ht="12.75" outlineLevel="1">
      <c r="A95" s="359" t="s">
        <v>2625</v>
      </c>
      <c r="B95" s="360"/>
      <c r="C95" s="361" t="s">
        <v>2626</v>
      </c>
      <c r="D95" s="361" t="str">
        <f t="shared" si="2"/>
        <v>WYANDOTTE CO DENT SO</v>
      </c>
      <c r="E95" s="361"/>
      <c r="F95" s="397">
        <v>2521.12</v>
      </c>
      <c r="G95" s="398">
        <v>0</v>
      </c>
      <c r="H95" s="399">
        <v>10.32</v>
      </c>
      <c r="I95" s="399">
        <v>36.59</v>
      </c>
      <c r="J95" s="399">
        <v>0</v>
      </c>
      <c r="K95" s="399">
        <v>0</v>
      </c>
      <c r="L95" s="399">
        <f t="shared" si="3"/>
        <v>2568.03</v>
      </c>
    </row>
    <row r="96" spans="1:12" ht="12.75" outlineLevel="1">
      <c r="A96" s="359" t="s">
        <v>2627</v>
      </c>
      <c r="B96" s="360"/>
      <c r="C96" s="361" t="s">
        <v>2628</v>
      </c>
      <c r="D96" s="361" t="str">
        <f t="shared" si="2"/>
        <v>ALLOW DTFL NOTE-NF-U</v>
      </c>
      <c r="E96" s="361"/>
      <c r="F96" s="397">
        <v>-4200</v>
      </c>
      <c r="G96" s="398">
        <v>0</v>
      </c>
      <c r="H96" s="399">
        <v>0</v>
      </c>
      <c r="I96" s="399">
        <v>0</v>
      </c>
      <c r="J96" s="399">
        <v>-4200</v>
      </c>
      <c r="K96" s="399">
        <v>0</v>
      </c>
      <c r="L96" s="399">
        <f t="shared" si="3"/>
        <v>0</v>
      </c>
    </row>
    <row r="97" spans="1:12" ht="12.75" outlineLevel="1">
      <c r="A97" s="359" t="s">
        <v>2629</v>
      </c>
      <c r="B97" s="360"/>
      <c r="C97" s="361" t="s">
        <v>2630</v>
      </c>
      <c r="D97" s="361" t="str">
        <f t="shared" si="2"/>
        <v>STUDENT LOAN SUSPENS</v>
      </c>
      <c r="E97" s="361"/>
      <c r="F97" s="397">
        <v>-1346.9</v>
      </c>
      <c r="G97" s="398">
        <v>0</v>
      </c>
      <c r="H97" s="399">
        <v>0</v>
      </c>
      <c r="I97" s="399">
        <v>-692.3</v>
      </c>
      <c r="J97" s="399">
        <v>0</v>
      </c>
      <c r="K97" s="399">
        <v>0</v>
      </c>
      <c r="L97" s="399">
        <f t="shared" si="3"/>
        <v>-2039.2</v>
      </c>
    </row>
    <row r="98" spans="1:12" ht="12.75" outlineLevel="1">
      <c r="A98" s="359" t="s">
        <v>2631</v>
      </c>
      <c r="B98" s="360"/>
      <c r="C98" s="361" t="s">
        <v>2632</v>
      </c>
      <c r="D98" s="361" t="str">
        <f t="shared" si="2"/>
        <v>ALW-DBFL LN N-FD RE</v>
      </c>
      <c r="E98" s="361"/>
      <c r="F98" s="397">
        <v>-249015.62</v>
      </c>
      <c r="G98" s="398">
        <v>0</v>
      </c>
      <c r="H98" s="399">
        <v>0</v>
      </c>
      <c r="I98" s="399">
        <v>-0.55</v>
      </c>
      <c r="J98" s="399">
        <v>-50000</v>
      </c>
      <c r="K98" s="399">
        <v>0</v>
      </c>
      <c r="L98" s="399">
        <f t="shared" si="3"/>
        <v>-199016.16999999998</v>
      </c>
    </row>
    <row r="99" spans="1:12" ht="12.75" outlineLevel="1">
      <c r="A99" s="359" t="s">
        <v>2633</v>
      </c>
      <c r="B99" s="360"/>
      <c r="C99" s="361" t="s">
        <v>2634</v>
      </c>
      <c r="D99" s="361" t="str">
        <f t="shared" si="2"/>
        <v>UMKC ALUM ASSN LOAN</v>
      </c>
      <c r="E99" s="361"/>
      <c r="F99" s="397">
        <v>31.71</v>
      </c>
      <c r="G99" s="398">
        <v>0</v>
      </c>
      <c r="H99" s="399">
        <v>0</v>
      </c>
      <c r="I99" s="399">
        <v>1.1</v>
      </c>
      <c r="J99" s="399">
        <v>0</v>
      </c>
      <c r="K99" s="399">
        <v>0</v>
      </c>
      <c r="L99" s="399">
        <f t="shared" si="3"/>
        <v>32.81</v>
      </c>
    </row>
    <row r="100" spans="1:12" ht="12.75" outlineLevel="1">
      <c r="A100" s="359" t="s">
        <v>2635</v>
      </c>
      <c r="B100" s="360"/>
      <c r="C100" s="361" t="s">
        <v>2636</v>
      </c>
      <c r="D100" s="361" t="str">
        <f t="shared" si="2"/>
        <v>IVA E BASORE LOAN</v>
      </c>
      <c r="E100" s="361"/>
      <c r="F100" s="397">
        <v>16146.97</v>
      </c>
      <c r="G100" s="398">
        <v>0</v>
      </c>
      <c r="H100" s="399">
        <v>66.34</v>
      </c>
      <c r="I100" s="399">
        <v>260.59</v>
      </c>
      <c r="J100" s="399">
        <v>0</v>
      </c>
      <c r="K100" s="399">
        <v>10000</v>
      </c>
      <c r="L100" s="399">
        <f t="shared" si="3"/>
        <v>26473.899999999998</v>
      </c>
    </row>
    <row r="101" spans="1:12" ht="12.75" outlineLevel="1">
      <c r="A101" s="359" t="s">
        <v>2637</v>
      </c>
      <c r="B101" s="360"/>
      <c r="C101" s="361" t="s">
        <v>113</v>
      </c>
      <c r="D101" s="361" t="str">
        <f t="shared" si="2"/>
        <v>CHRISTIAN LOAN FUND</v>
      </c>
      <c r="E101" s="361"/>
      <c r="F101" s="397">
        <v>5080.93</v>
      </c>
      <c r="G101" s="398">
        <v>0</v>
      </c>
      <c r="H101" s="399">
        <v>0</v>
      </c>
      <c r="I101" s="399">
        <v>7.12</v>
      </c>
      <c r="J101" s="399">
        <v>0</v>
      </c>
      <c r="K101" s="399">
        <v>0</v>
      </c>
      <c r="L101" s="399">
        <f t="shared" si="3"/>
        <v>5088.05</v>
      </c>
    </row>
    <row r="102" spans="1:12" s="288" customFormat="1" ht="12" customHeight="1">
      <c r="A102" s="288" t="s">
        <v>1088</v>
      </c>
      <c r="B102" s="320"/>
      <c r="C102" s="403" t="s">
        <v>114</v>
      </c>
      <c r="D102" s="403" t="str">
        <f>UPPER(C102)</f>
        <v>TOTAL RESTRICTED</v>
      </c>
      <c r="E102" s="389"/>
      <c r="F102" s="404">
        <v>21187583.800000004</v>
      </c>
      <c r="G102" s="301">
        <v>75843.5</v>
      </c>
      <c r="H102" s="300">
        <v>272532.59</v>
      </c>
      <c r="I102" s="300">
        <v>194532.92</v>
      </c>
      <c r="J102" s="300">
        <v>157446.74</v>
      </c>
      <c r="K102" s="300">
        <v>22084.82</v>
      </c>
      <c r="L102" s="300">
        <f>F102+G102+H102+I102-J102+K102</f>
        <v>21595130.890000008</v>
      </c>
    </row>
    <row r="103" spans="6:12" ht="12" customHeight="1">
      <c r="F103" s="400"/>
      <c r="G103" s="401"/>
      <c r="H103" s="402"/>
      <c r="I103" s="402"/>
      <c r="J103" s="402"/>
      <c r="K103" s="402"/>
      <c r="L103" s="402"/>
    </row>
    <row r="104" spans="2:12" ht="12.75">
      <c r="B104" s="320" t="s">
        <v>115</v>
      </c>
      <c r="C104" s="389"/>
      <c r="D104" s="389"/>
      <c r="F104" s="400"/>
      <c r="G104" s="401"/>
      <c r="H104" s="402"/>
      <c r="I104" s="402"/>
      <c r="J104" s="402"/>
      <c r="K104" s="402"/>
      <c r="L104" s="402"/>
    </row>
    <row r="105" spans="1:12" ht="12.75" outlineLevel="1">
      <c r="A105" s="359" t="s">
        <v>116</v>
      </c>
      <c r="B105" s="360"/>
      <c r="C105" s="361" t="s">
        <v>117</v>
      </c>
      <c r="D105" s="361" t="str">
        <f aca="true" t="shared" si="4" ref="D105:D110">UPPER(C105)</f>
        <v>WM R JACQUES FUND</v>
      </c>
      <c r="E105" s="361"/>
      <c r="F105" s="397">
        <v>138998.51</v>
      </c>
      <c r="G105" s="398">
        <v>0</v>
      </c>
      <c r="H105" s="399">
        <v>3984.33</v>
      </c>
      <c r="I105" s="399">
        <v>640.02</v>
      </c>
      <c r="J105" s="399">
        <v>-66.16</v>
      </c>
      <c r="K105" s="399">
        <v>0</v>
      </c>
      <c r="L105" s="399">
        <f aca="true" t="shared" si="5" ref="L105:L110">F105+G105+H105+I105-J105+K105</f>
        <v>143689.02</v>
      </c>
    </row>
    <row r="106" spans="1:12" ht="12.75" outlineLevel="1">
      <c r="A106" s="359" t="s">
        <v>118</v>
      </c>
      <c r="B106" s="360"/>
      <c r="C106" s="361" t="s">
        <v>119</v>
      </c>
      <c r="D106" s="361" t="str">
        <f t="shared" si="4"/>
        <v>UMKC S-T LOANS</v>
      </c>
      <c r="E106" s="361"/>
      <c r="F106" s="397">
        <v>242210.07</v>
      </c>
      <c r="G106" s="398">
        <v>0</v>
      </c>
      <c r="H106" s="399">
        <v>3424.58</v>
      </c>
      <c r="I106" s="399">
        <v>4619.57</v>
      </c>
      <c r="J106" s="399">
        <v>-45.12</v>
      </c>
      <c r="K106" s="399">
        <v>0</v>
      </c>
      <c r="L106" s="399">
        <f t="shared" si="5"/>
        <v>250299.34</v>
      </c>
    </row>
    <row r="107" spans="1:12" ht="12.75" outlineLevel="1">
      <c r="A107" s="359" t="s">
        <v>120</v>
      </c>
      <c r="B107" s="360"/>
      <c r="C107" s="361" t="s">
        <v>121</v>
      </c>
      <c r="D107" s="361" t="str">
        <f t="shared" si="4"/>
        <v>W WILLIAMS LOAN FUND</v>
      </c>
      <c r="E107" s="361"/>
      <c r="F107" s="397">
        <v>130978.94</v>
      </c>
      <c r="G107" s="398">
        <v>0</v>
      </c>
      <c r="H107" s="399">
        <v>4277.93</v>
      </c>
      <c r="I107" s="399">
        <v>552.65</v>
      </c>
      <c r="J107" s="399">
        <v>-5.3</v>
      </c>
      <c r="K107" s="399">
        <v>0</v>
      </c>
      <c r="L107" s="399">
        <f t="shared" si="5"/>
        <v>135814.81999999998</v>
      </c>
    </row>
    <row r="108" spans="1:12" ht="12.75" outlineLevel="1">
      <c r="A108" s="359" t="s">
        <v>122</v>
      </c>
      <c r="B108" s="360"/>
      <c r="C108" s="361" t="s">
        <v>123</v>
      </c>
      <c r="D108" s="361" t="str">
        <f t="shared" si="4"/>
        <v>M WOODSON MEM STU LN</v>
      </c>
      <c r="E108" s="361"/>
      <c r="F108" s="397">
        <v>14077.3</v>
      </c>
      <c r="G108" s="398">
        <v>0</v>
      </c>
      <c r="H108" s="399">
        <v>0</v>
      </c>
      <c r="I108" s="399">
        <v>486.58</v>
      </c>
      <c r="J108" s="399">
        <v>0</v>
      </c>
      <c r="K108" s="399">
        <v>0</v>
      </c>
      <c r="L108" s="399">
        <f t="shared" si="5"/>
        <v>14563.88</v>
      </c>
    </row>
    <row r="109" spans="1:12" ht="12.75" outlineLevel="1">
      <c r="A109" s="359" t="s">
        <v>2627</v>
      </c>
      <c r="B109" s="360"/>
      <c r="C109" s="361" t="s">
        <v>2628</v>
      </c>
      <c r="D109" s="361" t="str">
        <f t="shared" si="4"/>
        <v>ALLOW DTFL NOTE-NF-U</v>
      </c>
      <c r="E109" s="361"/>
      <c r="F109" s="397">
        <v>-59000</v>
      </c>
      <c r="G109" s="398">
        <v>0</v>
      </c>
      <c r="H109" s="399">
        <v>0</v>
      </c>
      <c r="I109" s="399">
        <v>0</v>
      </c>
      <c r="J109" s="399">
        <v>1000</v>
      </c>
      <c r="K109" s="399">
        <v>0</v>
      </c>
      <c r="L109" s="399">
        <f t="shared" si="5"/>
        <v>-60000</v>
      </c>
    </row>
    <row r="110" spans="1:12" s="288" customFormat="1" ht="12.75">
      <c r="A110" s="288" t="s">
        <v>124</v>
      </c>
      <c r="B110" s="320"/>
      <c r="C110" s="403" t="s">
        <v>125</v>
      </c>
      <c r="D110" s="403" t="str">
        <f t="shared" si="4"/>
        <v>TOTAL UNRESTRICTED</v>
      </c>
      <c r="E110" s="389"/>
      <c r="F110" s="404">
        <v>467264.82</v>
      </c>
      <c r="G110" s="301">
        <v>0</v>
      </c>
      <c r="H110" s="300">
        <v>11686.84</v>
      </c>
      <c r="I110" s="300">
        <v>6298.82</v>
      </c>
      <c r="J110" s="300">
        <v>883.42</v>
      </c>
      <c r="K110" s="300">
        <v>0</v>
      </c>
      <c r="L110" s="300">
        <f t="shared" si="5"/>
        <v>484367.06000000006</v>
      </c>
    </row>
    <row r="112" spans="2:12" s="288" customFormat="1" ht="12.75">
      <c r="B112" s="320"/>
      <c r="C112" s="389" t="s">
        <v>126</v>
      </c>
      <c r="D112" s="389" t="s">
        <v>127</v>
      </c>
      <c r="E112" s="389"/>
      <c r="F112" s="406">
        <f aca="true" t="shared" si="6" ref="F112:L112">F102+F110</f>
        <v>21654848.620000005</v>
      </c>
      <c r="G112" s="302">
        <f t="shared" si="6"/>
        <v>75843.5</v>
      </c>
      <c r="H112" s="407">
        <f t="shared" si="6"/>
        <v>284219.43000000005</v>
      </c>
      <c r="I112" s="407">
        <f t="shared" si="6"/>
        <v>200831.74000000002</v>
      </c>
      <c r="J112" s="407">
        <f t="shared" si="6"/>
        <v>158330.16</v>
      </c>
      <c r="K112" s="407">
        <f t="shared" si="6"/>
        <v>22084.82</v>
      </c>
      <c r="L112" s="407">
        <f t="shared" si="6"/>
        <v>22079497.950000007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2" manualBreakCount="2">
    <brk id="54" max="255" man="1"/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3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59" hidden="1" customWidth="1"/>
    <col min="2" max="2" width="2.7109375" style="375" customWidth="1"/>
    <col min="3" max="3" width="2.7109375" style="390" customWidth="1"/>
    <col min="4" max="4" width="43.28125" style="390" hidden="1" customWidth="1"/>
    <col min="5" max="5" width="60.7109375" style="381" customWidth="1"/>
    <col min="6" max="6" width="14.7109375" style="392" customWidth="1"/>
    <col min="7" max="12" width="14.7109375" style="393" customWidth="1"/>
    <col min="13" max="13" width="11.57421875" style="408" hidden="1" customWidth="1"/>
    <col min="14" max="14" width="0" style="381" hidden="1" customWidth="1"/>
    <col min="15" max="16" width="9.140625" style="359" customWidth="1"/>
    <col min="17" max="17" width="9.140625" style="359" hidden="1" customWidth="1"/>
    <col min="18" max="16384" width="9.140625" style="359" customWidth="1"/>
  </cols>
  <sheetData>
    <row r="1" spans="1:12" ht="12.75" hidden="1">
      <c r="A1" s="359" t="s">
        <v>2841</v>
      </c>
      <c r="B1" s="375" t="s">
        <v>726</v>
      </c>
      <c r="C1" s="411"/>
      <c r="D1" s="390" t="s">
        <v>727</v>
      </c>
      <c r="E1" s="412" t="s">
        <v>728</v>
      </c>
      <c r="F1" s="363" t="s">
        <v>97</v>
      </c>
      <c r="G1" s="393" t="s">
        <v>128</v>
      </c>
      <c r="H1" s="393" t="s">
        <v>129</v>
      </c>
      <c r="I1" s="393" t="s">
        <v>130</v>
      </c>
      <c r="J1" s="393" t="s">
        <v>131</v>
      </c>
      <c r="K1" s="393" t="s">
        <v>132</v>
      </c>
      <c r="L1" s="393" t="s">
        <v>728</v>
      </c>
    </row>
    <row r="2" spans="2:17" s="413" customFormat="1" ht="15.75" customHeight="1">
      <c r="B2" s="366" t="s">
        <v>729</v>
      </c>
      <c r="C2" s="414"/>
      <c r="D2" s="415"/>
      <c r="E2" s="123"/>
      <c r="F2" s="416"/>
      <c r="G2" s="417"/>
      <c r="H2" s="418"/>
      <c r="I2" s="417"/>
      <c r="J2" s="419"/>
      <c r="K2" s="417"/>
      <c r="L2" s="420"/>
      <c r="M2" s="421"/>
      <c r="N2" s="422" t="s">
        <v>3125</v>
      </c>
      <c r="Q2" s="413" t="s">
        <v>2845</v>
      </c>
    </row>
    <row r="3" spans="2:17" s="374" customFormat="1" ht="15.75" customHeight="1">
      <c r="B3" s="178" t="s">
        <v>133</v>
      </c>
      <c r="C3" s="423"/>
      <c r="D3" s="424"/>
      <c r="E3" s="127"/>
      <c r="F3" s="425"/>
      <c r="G3" s="270"/>
      <c r="H3" s="271"/>
      <c r="I3" s="426"/>
      <c r="J3" s="270"/>
      <c r="K3" s="270"/>
      <c r="L3" s="427"/>
      <c r="M3" s="409"/>
      <c r="N3" s="373"/>
      <c r="Q3" s="374" t="s">
        <v>1089</v>
      </c>
    </row>
    <row r="4" spans="2:17" ht="15.75" customHeight="1">
      <c r="B4" s="273" t="str">
        <f>"As of "&amp;TEXT(Q4,"MMMM DD, YYYY")</f>
        <v>As of June 30, 2004</v>
      </c>
      <c r="C4" s="377"/>
      <c r="D4" s="378"/>
      <c r="E4" s="133"/>
      <c r="F4" s="428"/>
      <c r="G4" s="310"/>
      <c r="H4" s="310"/>
      <c r="I4" s="310"/>
      <c r="J4" s="310"/>
      <c r="K4" s="310"/>
      <c r="L4" s="382"/>
      <c r="Q4" s="359" t="s">
        <v>2976</v>
      </c>
    </row>
    <row r="5" spans="2:13" ht="12.75" customHeight="1">
      <c r="B5" s="278"/>
      <c r="C5" s="312"/>
      <c r="D5" s="341"/>
      <c r="E5" s="138"/>
      <c r="F5" s="429"/>
      <c r="G5" s="313"/>
      <c r="H5" s="313"/>
      <c r="I5" s="313"/>
      <c r="J5" s="313"/>
      <c r="K5" s="313"/>
      <c r="L5" s="430"/>
      <c r="M5" s="431"/>
    </row>
    <row r="6" spans="2:14" s="384" customFormat="1" ht="39" customHeight="1">
      <c r="B6" s="385"/>
      <c r="C6" s="386"/>
      <c r="D6" s="386"/>
      <c r="E6" s="432"/>
      <c r="F6" s="285" t="s">
        <v>1087</v>
      </c>
      <c r="G6" s="388" t="s">
        <v>134</v>
      </c>
      <c r="H6" s="388" t="s">
        <v>135</v>
      </c>
      <c r="I6" s="388" t="s">
        <v>136</v>
      </c>
      <c r="J6" s="388" t="s">
        <v>106</v>
      </c>
      <c r="K6" s="388" t="s">
        <v>107</v>
      </c>
      <c r="L6" s="388" t="str">
        <f>"    Balance    "&amp;TEXT(Q4,"MMMM DD, YYYY")</f>
        <v>    Balance    June 30, 2004</v>
      </c>
      <c r="M6" s="410"/>
      <c r="N6" s="432"/>
    </row>
    <row r="7" ht="12.75" customHeight="1">
      <c r="F7" s="437"/>
    </row>
    <row r="8" spans="2:14" s="433" customFormat="1" ht="12.75" customHeight="1">
      <c r="B8" s="346" t="s">
        <v>137</v>
      </c>
      <c r="C8" s="434"/>
      <c r="D8" s="435"/>
      <c r="E8" s="436"/>
      <c r="F8" s="437"/>
      <c r="G8" s="438"/>
      <c r="H8" s="438"/>
      <c r="I8" s="438"/>
      <c r="J8" s="438"/>
      <c r="K8" s="438"/>
      <c r="L8" s="438"/>
      <c r="M8" s="439"/>
      <c r="N8" s="436"/>
    </row>
    <row r="9" ht="12.75" customHeight="1">
      <c r="C9" s="389" t="s">
        <v>138</v>
      </c>
    </row>
    <row r="10" spans="1:12" ht="12.75" outlineLevel="1">
      <c r="A10" s="359" t="s">
        <v>139</v>
      </c>
      <c r="C10" s="411"/>
      <c r="D10" s="390" t="s">
        <v>140</v>
      </c>
      <c r="E10" s="412" t="str">
        <f aca="true" t="shared" si="0" ref="E10:E73">UPPER(D10)</f>
        <v>HENRY ESS SCHOLARSHP</v>
      </c>
      <c r="F10" s="395">
        <v>-12.44</v>
      </c>
      <c r="G10" s="440">
        <v>0</v>
      </c>
      <c r="H10" s="440">
        <v>0</v>
      </c>
      <c r="I10" s="440">
        <v>0</v>
      </c>
      <c r="J10" s="440">
        <v>0</v>
      </c>
      <c r="K10" s="440">
        <v>12.44</v>
      </c>
      <c r="L10" s="440">
        <f aca="true" t="shared" si="1" ref="L10:L73">F10+G10+H10+I10-J10+K10</f>
        <v>0</v>
      </c>
    </row>
    <row r="11" spans="1:12" ht="12.75" outlineLevel="1">
      <c r="A11" s="359" t="s">
        <v>141</v>
      </c>
      <c r="C11" s="411"/>
      <c r="D11" s="390" t="s">
        <v>142</v>
      </c>
      <c r="E11" s="412" t="str">
        <f t="shared" si="0"/>
        <v>GREEN SCH IN ADMIN</v>
      </c>
      <c r="F11" s="398">
        <v>-53.79</v>
      </c>
      <c r="G11" s="402">
        <v>0</v>
      </c>
      <c r="H11" s="402">
        <v>0</v>
      </c>
      <c r="I11" s="402">
        <v>0</v>
      </c>
      <c r="J11" s="402">
        <v>0</v>
      </c>
      <c r="K11" s="402">
        <v>53.79</v>
      </c>
      <c r="L11" s="402">
        <f t="shared" si="1"/>
        <v>0</v>
      </c>
    </row>
    <row r="12" spans="1:12" ht="12.75" outlineLevel="1">
      <c r="A12" s="359" t="s">
        <v>143</v>
      </c>
      <c r="C12" s="411"/>
      <c r="D12" s="390" t="s">
        <v>144</v>
      </c>
      <c r="E12" s="412" t="str">
        <f t="shared" si="0"/>
        <v>A&amp;S FAMILY FD SCHP</v>
      </c>
      <c r="F12" s="398">
        <v>29871.6</v>
      </c>
      <c r="G12" s="402">
        <v>1638</v>
      </c>
      <c r="H12" s="402">
        <v>-803.82</v>
      </c>
      <c r="I12" s="402">
        <v>4618.82</v>
      </c>
      <c r="J12" s="402">
        <v>0</v>
      </c>
      <c r="K12" s="402">
        <v>0</v>
      </c>
      <c r="L12" s="402">
        <f t="shared" si="1"/>
        <v>35324.6</v>
      </c>
    </row>
    <row r="13" spans="1:12" ht="12.75" outlineLevel="1">
      <c r="A13" s="359" t="s">
        <v>145</v>
      </c>
      <c r="C13" s="411"/>
      <c r="D13" s="390" t="s">
        <v>146</v>
      </c>
      <c r="E13" s="412" t="str">
        <f t="shared" si="0"/>
        <v>ADV ART GUILD GRANT</v>
      </c>
      <c r="F13" s="398">
        <v>7845.27</v>
      </c>
      <c r="G13" s="402">
        <v>0</v>
      </c>
      <c r="H13" s="402">
        <v>-233.91</v>
      </c>
      <c r="I13" s="402">
        <v>1182.5</v>
      </c>
      <c r="J13" s="402">
        <v>0</v>
      </c>
      <c r="K13" s="402">
        <v>0</v>
      </c>
      <c r="L13" s="402">
        <f t="shared" si="1"/>
        <v>8793.86</v>
      </c>
    </row>
    <row r="14" spans="1:12" ht="12.75" outlineLevel="1">
      <c r="A14" s="359" t="s">
        <v>147</v>
      </c>
      <c r="C14" s="411"/>
      <c r="D14" s="390" t="s">
        <v>148</v>
      </c>
      <c r="E14" s="412" t="str">
        <f t="shared" si="0"/>
        <v>C C ALLEN SCHP</v>
      </c>
      <c r="F14" s="398">
        <v>11261.46</v>
      </c>
      <c r="G14" s="402">
        <v>0</v>
      </c>
      <c r="H14" s="402">
        <v>-335.79</v>
      </c>
      <c r="I14" s="402">
        <v>1697.41</v>
      </c>
      <c r="J14" s="402">
        <v>0</v>
      </c>
      <c r="K14" s="402">
        <v>0</v>
      </c>
      <c r="L14" s="402">
        <f t="shared" si="1"/>
        <v>12623.079999999998</v>
      </c>
    </row>
    <row r="15" spans="1:12" ht="12.75" outlineLevel="1">
      <c r="A15" s="359" t="s">
        <v>149</v>
      </c>
      <c r="C15" s="411"/>
      <c r="D15" s="390" t="s">
        <v>150</v>
      </c>
      <c r="E15" s="412" t="str">
        <f t="shared" si="0"/>
        <v>AZIMA SCHP</v>
      </c>
      <c r="F15" s="398">
        <v>41274.48</v>
      </c>
      <c r="G15" s="402">
        <v>0</v>
      </c>
      <c r="H15" s="402">
        <v>-169.33</v>
      </c>
      <c r="I15" s="402">
        <v>-2260.1</v>
      </c>
      <c r="J15" s="402">
        <v>0</v>
      </c>
      <c r="K15" s="402">
        <v>0</v>
      </c>
      <c r="L15" s="402">
        <f t="shared" si="1"/>
        <v>38845.05</v>
      </c>
    </row>
    <row r="16" spans="1:12" ht="12.75" outlineLevel="1">
      <c r="A16" s="359" t="s">
        <v>151</v>
      </c>
      <c r="C16" s="411"/>
      <c r="D16" s="390" t="s">
        <v>152</v>
      </c>
      <c r="E16" s="412" t="str">
        <f t="shared" si="0"/>
        <v>J &amp; P ANDERSON SCHP</v>
      </c>
      <c r="F16" s="398">
        <v>27019.85</v>
      </c>
      <c r="G16" s="402">
        <v>1000</v>
      </c>
      <c r="H16" s="402">
        <v>-759.9</v>
      </c>
      <c r="I16" s="402">
        <v>4134.42</v>
      </c>
      <c r="J16" s="402">
        <v>0</v>
      </c>
      <c r="K16" s="402">
        <v>0</v>
      </c>
      <c r="L16" s="402">
        <f t="shared" si="1"/>
        <v>31394.369999999995</v>
      </c>
    </row>
    <row r="17" spans="1:12" ht="12.75" outlineLevel="1">
      <c r="A17" s="359" t="s">
        <v>153</v>
      </c>
      <c r="C17" s="411"/>
      <c r="D17" s="390" t="s">
        <v>154</v>
      </c>
      <c r="E17" s="412" t="str">
        <f t="shared" si="0"/>
        <v>W J BALDUS SCHP</v>
      </c>
      <c r="F17" s="398">
        <v>6168.81</v>
      </c>
      <c r="G17" s="402">
        <v>0</v>
      </c>
      <c r="H17" s="402">
        <v>-25.31</v>
      </c>
      <c r="I17" s="402">
        <v>-337.81</v>
      </c>
      <c r="J17" s="402">
        <v>0</v>
      </c>
      <c r="K17" s="402">
        <v>0</v>
      </c>
      <c r="L17" s="402">
        <f t="shared" si="1"/>
        <v>5805.69</v>
      </c>
    </row>
    <row r="18" spans="1:12" ht="12.75" outlineLevel="1">
      <c r="A18" s="359" t="s">
        <v>155</v>
      </c>
      <c r="C18" s="411"/>
      <c r="D18" s="390" t="s">
        <v>156</v>
      </c>
      <c r="E18" s="412" t="str">
        <f t="shared" si="0"/>
        <v>BIOLOGICAL SCI ENDOW</v>
      </c>
      <c r="F18" s="398">
        <v>349885.53</v>
      </c>
      <c r="G18" s="402">
        <v>0</v>
      </c>
      <c r="H18" s="402">
        <v>-10432.8</v>
      </c>
      <c r="I18" s="402">
        <v>52737.07</v>
      </c>
      <c r="J18" s="402">
        <v>0</v>
      </c>
      <c r="K18" s="402">
        <v>0</v>
      </c>
      <c r="L18" s="402">
        <f t="shared" si="1"/>
        <v>392189.80000000005</v>
      </c>
    </row>
    <row r="19" spans="1:12" ht="12.75" outlineLevel="1">
      <c r="A19" s="359" t="s">
        <v>157</v>
      </c>
      <c r="C19" s="411"/>
      <c r="D19" s="390" t="s">
        <v>158</v>
      </c>
      <c r="E19" s="412" t="str">
        <f t="shared" si="0"/>
        <v>BARGAR SCHOLARSHIP</v>
      </c>
      <c r="F19" s="398">
        <v>61961.27</v>
      </c>
      <c r="G19" s="402">
        <v>0</v>
      </c>
      <c r="H19" s="402">
        <v>958.62</v>
      </c>
      <c r="I19" s="402">
        <v>-1675.39</v>
      </c>
      <c r="J19" s="402">
        <v>0</v>
      </c>
      <c r="K19" s="402">
        <v>0</v>
      </c>
      <c r="L19" s="402">
        <f t="shared" si="1"/>
        <v>61244.5</v>
      </c>
    </row>
    <row r="20" spans="1:12" ht="12.75" outlineLevel="1">
      <c r="A20" s="359" t="s">
        <v>159</v>
      </c>
      <c r="C20" s="411"/>
      <c r="D20" s="390" t="s">
        <v>160</v>
      </c>
      <c r="E20" s="412" t="str">
        <f t="shared" si="0"/>
        <v>BALDUS SCHOLARS FUND</v>
      </c>
      <c r="F20" s="398">
        <v>19792.44</v>
      </c>
      <c r="G20" s="402">
        <v>0</v>
      </c>
      <c r="H20" s="402">
        <v>-590.17</v>
      </c>
      <c r="I20" s="402">
        <v>2983.27</v>
      </c>
      <c r="J20" s="402">
        <v>0</v>
      </c>
      <c r="K20" s="402">
        <v>0</v>
      </c>
      <c r="L20" s="402">
        <f t="shared" si="1"/>
        <v>22185.54</v>
      </c>
    </row>
    <row r="21" spans="1:12" ht="12.75" outlineLevel="1">
      <c r="A21" s="359" t="s">
        <v>161</v>
      </c>
      <c r="C21" s="411"/>
      <c r="D21" s="390" t="s">
        <v>162</v>
      </c>
      <c r="E21" s="412" t="str">
        <f t="shared" si="0"/>
        <v>GERALDINE BARROWS SC</v>
      </c>
      <c r="F21" s="398">
        <v>35942.6</v>
      </c>
      <c r="G21" s="402">
        <v>0</v>
      </c>
      <c r="H21" s="402">
        <v>-147.46</v>
      </c>
      <c r="I21" s="402">
        <v>-1968.15</v>
      </c>
      <c r="J21" s="402">
        <v>0</v>
      </c>
      <c r="K21" s="402">
        <v>0</v>
      </c>
      <c r="L21" s="402">
        <f t="shared" si="1"/>
        <v>33826.99</v>
      </c>
    </row>
    <row r="22" spans="1:12" ht="12.75" outlineLevel="1">
      <c r="A22" s="359" t="s">
        <v>163</v>
      </c>
      <c r="C22" s="411"/>
      <c r="D22" s="390" t="s">
        <v>164</v>
      </c>
      <c r="E22" s="412" t="str">
        <f t="shared" si="0"/>
        <v>WHEADON BLOCH SCHP</v>
      </c>
      <c r="F22" s="398">
        <v>13543.26</v>
      </c>
      <c r="G22" s="402">
        <v>0</v>
      </c>
      <c r="H22" s="402">
        <v>-55.57</v>
      </c>
      <c r="I22" s="402">
        <v>-741.6</v>
      </c>
      <c r="J22" s="402">
        <v>0</v>
      </c>
      <c r="K22" s="402">
        <v>0</v>
      </c>
      <c r="L22" s="402">
        <f t="shared" si="1"/>
        <v>12746.09</v>
      </c>
    </row>
    <row r="23" spans="1:12" ht="12.75" outlineLevel="1">
      <c r="A23" s="359" t="s">
        <v>165</v>
      </c>
      <c r="C23" s="411"/>
      <c r="D23" s="390" t="s">
        <v>166</v>
      </c>
      <c r="E23" s="412" t="str">
        <f t="shared" si="0"/>
        <v>BRENNER TRANS SCHP</v>
      </c>
      <c r="F23" s="398">
        <v>3893.02</v>
      </c>
      <c r="G23" s="402">
        <v>0</v>
      </c>
      <c r="H23" s="402">
        <v>-15.96</v>
      </c>
      <c r="I23" s="402">
        <v>-213.17</v>
      </c>
      <c r="J23" s="402">
        <v>0</v>
      </c>
      <c r="K23" s="402">
        <v>0</v>
      </c>
      <c r="L23" s="402">
        <f t="shared" si="1"/>
        <v>3663.89</v>
      </c>
    </row>
    <row r="24" spans="1:12" ht="12.75" outlineLevel="1">
      <c r="A24" s="359" t="s">
        <v>167</v>
      </c>
      <c r="C24" s="411"/>
      <c r="D24" s="390" t="s">
        <v>168</v>
      </c>
      <c r="E24" s="412" t="str">
        <f t="shared" si="0"/>
        <v>J E BROWN AWARD</v>
      </c>
      <c r="F24" s="398">
        <v>29862.3</v>
      </c>
      <c r="G24" s="402">
        <v>0</v>
      </c>
      <c r="H24" s="402">
        <v>-890.42</v>
      </c>
      <c r="I24" s="402">
        <v>4501.06</v>
      </c>
      <c r="J24" s="402">
        <v>0</v>
      </c>
      <c r="K24" s="402">
        <v>0</v>
      </c>
      <c r="L24" s="402">
        <f t="shared" si="1"/>
        <v>33472.94</v>
      </c>
    </row>
    <row r="25" spans="1:12" ht="12.75" outlineLevel="1">
      <c r="A25" s="359" t="s">
        <v>169</v>
      </c>
      <c r="C25" s="411"/>
      <c r="D25" s="390" t="s">
        <v>170</v>
      </c>
      <c r="E25" s="412" t="str">
        <f t="shared" si="0"/>
        <v>R M BROWN MEM SCHP</v>
      </c>
      <c r="F25" s="398">
        <v>12990.44</v>
      </c>
      <c r="G25" s="402">
        <v>0</v>
      </c>
      <c r="H25" s="402">
        <v>-387.37</v>
      </c>
      <c r="I25" s="402">
        <v>1958.01</v>
      </c>
      <c r="J25" s="402">
        <v>0</v>
      </c>
      <c r="K25" s="402">
        <v>0</v>
      </c>
      <c r="L25" s="402">
        <f t="shared" si="1"/>
        <v>14561.08</v>
      </c>
    </row>
    <row r="26" spans="1:12" ht="12.75" outlineLevel="1">
      <c r="A26" s="359" t="s">
        <v>171</v>
      </c>
      <c r="C26" s="411"/>
      <c r="D26" s="390" t="s">
        <v>172</v>
      </c>
      <c r="E26" s="412" t="str">
        <f t="shared" si="0"/>
        <v>BURKHOLDER MEM SCHP</v>
      </c>
      <c r="F26" s="398">
        <v>5389.98</v>
      </c>
      <c r="G26" s="402">
        <v>0</v>
      </c>
      <c r="H26" s="402">
        <v>-160.73</v>
      </c>
      <c r="I26" s="402">
        <v>812.43</v>
      </c>
      <c r="J26" s="402">
        <v>0</v>
      </c>
      <c r="K26" s="402">
        <v>0</v>
      </c>
      <c r="L26" s="402">
        <f t="shared" si="1"/>
        <v>6041.68</v>
      </c>
    </row>
    <row r="27" spans="1:12" ht="12.75" outlineLevel="1">
      <c r="A27" s="359" t="s">
        <v>173</v>
      </c>
      <c r="C27" s="411"/>
      <c r="D27" s="390" t="s">
        <v>174</v>
      </c>
      <c r="E27" s="412" t="str">
        <f t="shared" si="0"/>
        <v>CAIRNS SCHP IN BUS</v>
      </c>
      <c r="F27" s="398">
        <v>10815.94</v>
      </c>
      <c r="G27" s="402">
        <v>0</v>
      </c>
      <c r="H27" s="402">
        <v>-322.52</v>
      </c>
      <c r="I27" s="402">
        <v>1630.26</v>
      </c>
      <c r="J27" s="402">
        <v>0</v>
      </c>
      <c r="K27" s="402">
        <v>0</v>
      </c>
      <c r="L27" s="402">
        <f t="shared" si="1"/>
        <v>12123.68</v>
      </c>
    </row>
    <row r="28" spans="1:12" ht="12.75" outlineLevel="1">
      <c r="A28" s="359" t="s">
        <v>175</v>
      </c>
      <c r="C28" s="411"/>
      <c r="D28" s="390" t="s">
        <v>176</v>
      </c>
      <c r="E28" s="412" t="str">
        <f t="shared" si="0"/>
        <v>CAVANAUGH SCHP</v>
      </c>
      <c r="F28" s="398">
        <v>521803.84</v>
      </c>
      <c r="G28" s="402">
        <v>0</v>
      </c>
      <c r="H28" s="402">
        <v>-15559.04</v>
      </c>
      <c r="I28" s="402">
        <v>78649.73</v>
      </c>
      <c r="J28" s="402">
        <v>0</v>
      </c>
      <c r="K28" s="402">
        <v>0</v>
      </c>
      <c r="L28" s="402">
        <f t="shared" si="1"/>
        <v>584894.53</v>
      </c>
    </row>
    <row r="29" spans="1:12" ht="12.75" outlineLevel="1">
      <c r="A29" s="359" t="s">
        <v>177</v>
      </c>
      <c r="C29" s="411"/>
      <c r="D29" s="390" t="s">
        <v>178</v>
      </c>
      <c r="E29" s="412" t="str">
        <f t="shared" si="0"/>
        <v>CIVIC ORCHESTRA FUND</v>
      </c>
      <c r="F29" s="398">
        <v>10687.16</v>
      </c>
      <c r="G29" s="402">
        <v>0</v>
      </c>
      <c r="H29" s="402">
        <v>-318.67</v>
      </c>
      <c r="I29" s="402">
        <v>1610.86</v>
      </c>
      <c r="J29" s="402">
        <v>0</v>
      </c>
      <c r="K29" s="402">
        <v>0</v>
      </c>
      <c r="L29" s="402">
        <f t="shared" si="1"/>
        <v>11979.35</v>
      </c>
    </row>
    <row r="30" spans="1:12" ht="12.75" outlineLevel="1">
      <c r="A30" s="359" t="s">
        <v>179</v>
      </c>
      <c r="C30" s="411"/>
      <c r="D30" s="390" t="s">
        <v>180</v>
      </c>
      <c r="E30" s="412" t="str">
        <f t="shared" si="0"/>
        <v>P K COCKEFAIR SCHP</v>
      </c>
      <c r="F30" s="398">
        <v>20224.14</v>
      </c>
      <c r="G30" s="402">
        <v>0</v>
      </c>
      <c r="H30" s="402">
        <v>-82.98</v>
      </c>
      <c r="I30" s="402">
        <v>-1107.43</v>
      </c>
      <c r="J30" s="402">
        <v>0</v>
      </c>
      <c r="K30" s="402">
        <v>0</v>
      </c>
      <c r="L30" s="402">
        <f t="shared" si="1"/>
        <v>19033.73</v>
      </c>
    </row>
    <row r="31" spans="1:12" ht="12.75" outlineLevel="1">
      <c r="A31" s="359" t="s">
        <v>181</v>
      </c>
      <c r="C31" s="411"/>
      <c r="D31" s="390" t="s">
        <v>182</v>
      </c>
      <c r="E31" s="412" t="str">
        <f t="shared" si="0"/>
        <v>A &amp; J COLEMAN SCHP</v>
      </c>
      <c r="F31" s="398">
        <v>102530.19</v>
      </c>
      <c r="G31" s="402">
        <v>0</v>
      </c>
      <c r="H31" s="402">
        <v>-2709.98</v>
      </c>
      <c r="I31" s="402">
        <v>15617.6</v>
      </c>
      <c r="J31" s="402">
        <v>0</v>
      </c>
      <c r="K31" s="402">
        <v>0</v>
      </c>
      <c r="L31" s="402">
        <f t="shared" si="1"/>
        <v>115437.81000000001</v>
      </c>
    </row>
    <row r="32" spans="1:12" ht="12.75" outlineLevel="1">
      <c r="A32" s="359" t="s">
        <v>183</v>
      </c>
      <c r="C32" s="411"/>
      <c r="D32" s="390" t="s">
        <v>184</v>
      </c>
      <c r="E32" s="412" t="str">
        <f t="shared" si="0"/>
        <v>CALMES MEM SCHP FD</v>
      </c>
      <c r="F32" s="398">
        <v>5956.72</v>
      </c>
      <c r="G32" s="402">
        <v>0</v>
      </c>
      <c r="H32" s="402">
        <v>-177.63</v>
      </c>
      <c r="I32" s="402">
        <v>897.84</v>
      </c>
      <c r="J32" s="402">
        <v>0</v>
      </c>
      <c r="K32" s="402">
        <v>0</v>
      </c>
      <c r="L32" s="402">
        <f t="shared" si="1"/>
        <v>6676.93</v>
      </c>
    </row>
    <row r="33" spans="1:12" ht="12.75" outlineLevel="1">
      <c r="A33" s="359" t="s">
        <v>185</v>
      </c>
      <c r="C33" s="411"/>
      <c r="D33" s="390" t="s">
        <v>186</v>
      </c>
      <c r="E33" s="412" t="str">
        <f t="shared" si="0"/>
        <v>FONG WU CHENG SCHP</v>
      </c>
      <c r="F33" s="398">
        <v>33548.07</v>
      </c>
      <c r="G33" s="402">
        <v>0</v>
      </c>
      <c r="H33" s="402">
        <v>-989.91</v>
      </c>
      <c r="I33" s="402">
        <v>5056.62</v>
      </c>
      <c r="J33" s="402">
        <v>0</v>
      </c>
      <c r="K33" s="402">
        <v>3000</v>
      </c>
      <c r="L33" s="402">
        <f t="shared" si="1"/>
        <v>40614.78</v>
      </c>
    </row>
    <row r="34" spans="1:12" ht="12.75" outlineLevel="1">
      <c r="A34" s="359" t="s">
        <v>187</v>
      </c>
      <c r="C34" s="411"/>
      <c r="D34" s="390" t="s">
        <v>188</v>
      </c>
      <c r="E34" s="412" t="str">
        <f t="shared" si="0"/>
        <v>COLLEGE CLUB TEAGUE</v>
      </c>
      <c r="F34" s="398">
        <v>79047.52</v>
      </c>
      <c r="G34" s="402">
        <v>0</v>
      </c>
      <c r="H34" s="402">
        <v>-324.3</v>
      </c>
      <c r="I34" s="402">
        <v>-4328.51</v>
      </c>
      <c r="J34" s="402">
        <v>0</v>
      </c>
      <c r="K34" s="402">
        <v>0</v>
      </c>
      <c r="L34" s="402">
        <f t="shared" si="1"/>
        <v>74394.71</v>
      </c>
    </row>
    <row r="35" spans="1:12" ht="12.75" outlineLevel="1">
      <c r="A35" s="359" t="s">
        <v>189</v>
      </c>
      <c r="C35" s="411"/>
      <c r="D35" s="390" t="s">
        <v>190</v>
      </c>
      <c r="E35" s="412" t="str">
        <f t="shared" si="0"/>
        <v>W COOK PIANO SCHP</v>
      </c>
      <c r="F35" s="398">
        <v>12408.93</v>
      </c>
      <c r="G35" s="402">
        <v>0</v>
      </c>
      <c r="H35" s="402">
        <v>-51.32</v>
      </c>
      <c r="I35" s="402">
        <v>-683.03</v>
      </c>
      <c r="J35" s="402">
        <v>0</v>
      </c>
      <c r="K35" s="402">
        <v>0</v>
      </c>
      <c r="L35" s="402">
        <f t="shared" si="1"/>
        <v>11674.58</v>
      </c>
    </row>
    <row r="36" spans="1:12" ht="12.75" outlineLevel="1">
      <c r="A36" s="359" t="s">
        <v>191</v>
      </c>
      <c r="C36" s="411"/>
      <c r="D36" s="390" t="s">
        <v>192</v>
      </c>
      <c r="E36" s="412" t="str">
        <f t="shared" si="0"/>
        <v>H W COOKINGHAM SCHP</v>
      </c>
      <c r="F36" s="398">
        <v>61468.49</v>
      </c>
      <c r="G36" s="402">
        <v>0</v>
      </c>
      <c r="H36" s="402">
        <v>-252.18</v>
      </c>
      <c r="I36" s="402">
        <v>-3365.9</v>
      </c>
      <c r="J36" s="402">
        <v>0</v>
      </c>
      <c r="K36" s="402">
        <v>0</v>
      </c>
      <c r="L36" s="402">
        <f t="shared" si="1"/>
        <v>57850.409999999996</v>
      </c>
    </row>
    <row r="37" spans="1:12" ht="12.75" outlineLevel="1">
      <c r="A37" s="359" t="s">
        <v>193</v>
      </c>
      <c r="C37" s="411"/>
      <c r="D37" s="390" t="s">
        <v>194</v>
      </c>
      <c r="E37" s="412" t="str">
        <f t="shared" si="0"/>
        <v>E &amp; H DARBY SCHP</v>
      </c>
      <c r="F37" s="398">
        <v>48020.5</v>
      </c>
      <c r="G37" s="402">
        <v>0</v>
      </c>
      <c r="H37" s="402">
        <v>-197.01</v>
      </c>
      <c r="I37" s="402">
        <v>-2629.53</v>
      </c>
      <c r="J37" s="402">
        <v>0</v>
      </c>
      <c r="K37" s="402">
        <v>0</v>
      </c>
      <c r="L37" s="402">
        <f t="shared" si="1"/>
        <v>45193.96</v>
      </c>
    </row>
    <row r="38" spans="1:12" ht="12.75" outlineLevel="1">
      <c r="A38" s="359" t="s">
        <v>195</v>
      </c>
      <c r="C38" s="411"/>
      <c r="D38" s="390" t="s">
        <v>196</v>
      </c>
      <c r="E38" s="412" t="str">
        <f t="shared" si="0"/>
        <v>DE CLERCK PHARMACY</v>
      </c>
      <c r="F38" s="398">
        <v>6357.05</v>
      </c>
      <c r="G38" s="402">
        <v>0</v>
      </c>
      <c r="H38" s="402">
        <v>-26.09</v>
      </c>
      <c r="I38" s="402">
        <v>-348.09</v>
      </c>
      <c r="J38" s="402">
        <v>0</v>
      </c>
      <c r="K38" s="402">
        <v>0</v>
      </c>
      <c r="L38" s="402">
        <f t="shared" si="1"/>
        <v>5982.87</v>
      </c>
    </row>
    <row r="39" spans="1:12" ht="12.75" outlineLevel="1">
      <c r="A39" s="359" t="s">
        <v>197</v>
      </c>
      <c r="C39" s="411"/>
      <c r="D39" s="390" t="s">
        <v>198</v>
      </c>
      <c r="E39" s="412" t="str">
        <f t="shared" si="0"/>
        <v>DELTA CHI SCHP</v>
      </c>
      <c r="F39" s="398">
        <v>80432.68</v>
      </c>
      <c r="G39" s="402">
        <v>0</v>
      </c>
      <c r="H39" s="402">
        <v>-2398.33</v>
      </c>
      <c r="I39" s="402">
        <v>12123.38</v>
      </c>
      <c r="J39" s="402">
        <v>0</v>
      </c>
      <c r="K39" s="402">
        <v>0</v>
      </c>
      <c r="L39" s="402">
        <f t="shared" si="1"/>
        <v>90157.73</v>
      </c>
    </row>
    <row r="40" spans="1:12" ht="12.75" outlineLevel="1">
      <c r="A40" s="359" t="s">
        <v>199</v>
      </c>
      <c r="C40" s="411"/>
      <c r="D40" s="390" t="s">
        <v>200</v>
      </c>
      <c r="E40" s="412" t="str">
        <f t="shared" si="0"/>
        <v>L L DEXTER SCHP</v>
      </c>
      <c r="F40" s="398">
        <v>25158.27</v>
      </c>
      <c r="G40" s="402">
        <v>1780</v>
      </c>
      <c r="H40" s="402">
        <v>-604.15</v>
      </c>
      <c r="I40" s="402">
        <v>4062.85</v>
      </c>
      <c r="J40" s="402">
        <v>0</v>
      </c>
      <c r="K40" s="402">
        <v>0</v>
      </c>
      <c r="L40" s="402">
        <f t="shared" si="1"/>
        <v>30396.969999999998</v>
      </c>
    </row>
    <row r="41" spans="1:12" ht="12.75" outlineLevel="1">
      <c r="A41" s="359" t="s">
        <v>201</v>
      </c>
      <c r="C41" s="411"/>
      <c r="D41" s="390" t="s">
        <v>202</v>
      </c>
      <c r="E41" s="412" t="str">
        <f t="shared" si="0"/>
        <v>DIGGS SCHOLARSHIP</v>
      </c>
      <c r="F41" s="398">
        <v>14215.51</v>
      </c>
      <c r="G41" s="402">
        <v>0</v>
      </c>
      <c r="H41" s="402">
        <v>-423.89</v>
      </c>
      <c r="I41" s="402">
        <v>2142.66</v>
      </c>
      <c r="J41" s="402">
        <v>0</v>
      </c>
      <c r="K41" s="402">
        <v>0</v>
      </c>
      <c r="L41" s="402">
        <f t="shared" si="1"/>
        <v>15934.28</v>
      </c>
    </row>
    <row r="42" spans="1:12" ht="12.75" outlineLevel="1">
      <c r="A42" s="359" t="s">
        <v>203</v>
      </c>
      <c r="C42" s="411"/>
      <c r="D42" s="390" t="s">
        <v>204</v>
      </c>
      <c r="E42" s="412" t="str">
        <f t="shared" si="0"/>
        <v>EVA R DONNELL SCHOLR</v>
      </c>
      <c r="F42" s="398">
        <v>11868.84</v>
      </c>
      <c r="G42" s="402">
        <v>0</v>
      </c>
      <c r="H42" s="402">
        <v>-353.91</v>
      </c>
      <c r="I42" s="402">
        <v>1788.94</v>
      </c>
      <c r="J42" s="402">
        <v>0</v>
      </c>
      <c r="K42" s="402">
        <v>0</v>
      </c>
      <c r="L42" s="402">
        <f t="shared" si="1"/>
        <v>13303.87</v>
      </c>
    </row>
    <row r="43" spans="1:12" ht="12.75" outlineLevel="1">
      <c r="A43" s="359" t="s">
        <v>205</v>
      </c>
      <c r="C43" s="411"/>
      <c r="D43" s="390" t="s">
        <v>206</v>
      </c>
      <c r="E43" s="412" t="str">
        <f t="shared" si="0"/>
        <v>EDUCATION ALUMNI SCH</v>
      </c>
      <c r="F43" s="398">
        <v>11840.38</v>
      </c>
      <c r="G43" s="402">
        <v>0</v>
      </c>
      <c r="H43" s="402">
        <v>-349.28</v>
      </c>
      <c r="I43" s="402">
        <v>1825.31</v>
      </c>
      <c r="J43" s="402">
        <v>0</v>
      </c>
      <c r="K43" s="402">
        <v>0</v>
      </c>
      <c r="L43" s="402">
        <f t="shared" si="1"/>
        <v>13316.409999999998</v>
      </c>
    </row>
    <row r="44" spans="1:12" ht="12.75" outlineLevel="1">
      <c r="A44" s="359" t="s">
        <v>207</v>
      </c>
      <c r="C44" s="411"/>
      <c r="D44" s="390" t="s">
        <v>208</v>
      </c>
      <c r="E44" s="412" t="str">
        <f t="shared" si="0"/>
        <v>ESTERLY SCHOLARSHIP</v>
      </c>
      <c r="F44" s="398">
        <v>565518.07</v>
      </c>
      <c r="G44" s="402">
        <v>0</v>
      </c>
      <c r="H44" s="402">
        <v>-16862.46</v>
      </c>
      <c r="I44" s="402">
        <v>85238.62</v>
      </c>
      <c r="J44" s="402">
        <v>0</v>
      </c>
      <c r="K44" s="402">
        <v>0</v>
      </c>
      <c r="L44" s="402">
        <f t="shared" si="1"/>
        <v>633894.23</v>
      </c>
    </row>
    <row r="45" spans="1:12" ht="12.75" outlineLevel="1">
      <c r="A45" s="359" t="s">
        <v>209</v>
      </c>
      <c r="C45" s="411"/>
      <c r="D45" s="390" t="s">
        <v>210</v>
      </c>
      <c r="E45" s="412" t="str">
        <f t="shared" si="0"/>
        <v>FIELD WRITING SCHP</v>
      </c>
      <c r="F45" s="398">
        <v>12835.74</v>
      </c>
      <c r="G45" s="402">
        <v>1908</v>
      </c>
      <c r="H45" s="402">
        <v>-12.83</v>
      </c>
      <c r="I45" s="402">
        <v>-727.28</v>
      </c>
      <c r="J45" s="402">
        <v>0</v>
      </c>
      <c r="K45" s="402">
        <v>6500</v>
      </c>
      <c r="L45" s="402">
        <f t="shared" si="1"/>
        <v>20503.629999999997</v>
      </c>
    </row>
    <row r="46" spans="1:12" ht="12.75" outlineLevel="1">
      <c r="A46" s="359" t="s">
        <v>211</v>
      </c>
      <c r="C46" s="411"/>
      <c r="D46" s="390" t="s">
        <v>212</v>
      </c>
      <c r="E46" s="412" t="str">
        <f t="shared" si="0"/>
        <v>FINTER SCHOL COSTUME</v>
      </c>
      <c r="F46" s="398">
        <v>6791.6</v>
      </c>
      <c r="G46" s="402">
        <v>0</v>
      </c>
      <c r="H46" s="402">
        <v>-27.87</v>
      </c>
      <c r="I46" s="402">
        <v>-371.89</v>
      </c>
      <c r="J46" s="402">
        <v>0</v>
      </c>
      <c r="K46" s="402">
        <v>0</v>
      </c>
      <c r="L46" s="402">
        <f t="shared" si="1"/>
        <v>6391.84</v>
      </c>
    </row>
    <row r="47" spans="1:12" ht="12.75" outlineLevel="1">
      <c r="A47" s="359" t="s">
        <v>213</v>
      </c>
      <c r="C47" s="411"/>
      <c r="D47" s="390" t="s">
        <v>214</v>
      </c>
      <c r="E47" s="412" t="str">
        <f t="shared" si="0"/>
        <v>FLAKE SCHOLARSHIP</v>
      </c>
      <c r="F47" s="398">
        <v>157946.45</v>
      </c>
      <c r="G47" s="402">
        <v>0</v>
      </c>
      <c r="H47" s="402">
        <v>-4709.61</v>
      </c>
      <c r="I47" s="402">
        <v>23806.74</v>
      </c>
      <c r="J47" s="402">
        <v>0</v>
      </c>
      <c r="K47" s="402">
        <v>0</v>
      </c>
      <c r="L47" s="402">
        <f t="shared" si="1"/>
        <v>177043.58000000002</v>
      </c>
    </row>
    <row r="48" spans="1:12" ht="12.75" outlineLevel="1">
      <c r="A48" s="359" t="s">
        <v>215</v>
      </c>
      <c r="C48" s="411"/>
      <c r="D48" s="390" t="s">
        <v>216</v>
      </c>
      <c r="E48" s="412" t="str">
        <f t="shared" si="0"/>
        <v>FLARSHEIM SCHP</v>
      </c>
      <c r="F48" s="398">
        <v>1226804.45</v>
      </c>
      <c r="G48" s="402">
        <v>0</v>
      </c>
      <c r="H48" s="402">
        <v>-36580.55</v>
      </c>
      <c r="I48" s="402">
        <v>184912.1</v>
      </c>
      <c r="J48" s="402">
        <v>0</v>
      </c>
      <c r="K48" s="402">
        <v>0</v>
      </c>
      <c r="L48" s="402">
        <f t="shared" si="1"/>
        <v>1375136</v>
      </c>
    </row>
    <row r="49" spans="1:12" ht="12.75" outlineLevel="1">
      <c r="A49" s="359" t="s">
        <v>217</v>
      </c>
      <c r="C49" s="411"/>
      <c r="D49" s="390" t="s">
        <v>218</v>
      </c>
      <c r="E49" s="412" t="str">
        <f t="shared" si="0"/>
        <v>FD DEAN FOUNDERS AWD</v>
      </c>
      <c r="F49" s="398">
        <v>-1.6</v>
      </c>
      <c r="G49" s="402">
        <v>0</v>
      </c>
      <c r="H49" s="402">
        <v>0</v>
      </c>
      <c r="I49" s="402">
        <v>0</v>
      </c>
      <c r="J49" s="402">
        <v>0</v>
      </c>
      <c r="K49" s="402">
        <v>0</v>
      </c>
      <c r="L49" s="402">
        <f t="shared" si="1"/>
        <v>-1.6</v>
      </c>
    </row>
    <row r="50" spans="1:12" ht="12.75" outlineLevel="1">
      <c r="A50" s="359" t="s">
        <v>219</v>
      </c>
      <c r="C50" s="411"/>
      <c r="D50" s="390" t="s">
        <v>220</v>
      </c>
      <c r="E50" s="412" t="str">
        <f t="shared" si="0"/>
        <v>MARY E FOWLER FD</v>
      </c>
      <c r="F50" s="398">
        <v>46254.82</v>
      </c>
      <c r="G50" s="402">
        <v>0</v>
      </c>
      <c r="H50" s="402">
        <v>-189.78</v>
      </c>
      <c r="I50" s="402">
        <v>-2532.83</v>
      </c>
      <c r="J50" s="402">
        <v>0</v>
      </c>
      <c r="K50" s="402">
        <v>0</v>
      </c>
      <c r="L50" s="402">
        <f t="shared" si="1"/>
        <v>43532.21</v>
      </c>
    </row>
    <row r="51" spans="1:12" ht="12.75" outlineLevel="1">
      <c r="A51" s="359" t="s">
        <v>221</v>
      </c>
      <c r="C51" s="411"/>
      <c r="D51" s="390" t="s">
        <v>222</v>
      </c>
      <c r="E51" s="412" t="str">
        <f t="shared" si="0"/>
        <v>FRIENDS OF TRUMAN CA</v>
      </c>
      <c r="F51" s="398">
        <v>74060.14</v>
      </c>
      <c r="G51" s="402">
        <v>0</v>
      </c>
      <c r="H51" s="402">
        <v>-2208.32</v>
      </c>
      <c r="I51" s="402">
        <v>11162.84</v>
      </c>
      <c r="J51" s="402">
        <v>0</v>
      </c>
      <c r="K51" s="402">
        <v>0</v>
      </c>
      <c r="L51" s="402">
        <f t="shared" si="1"/>
        <v>83014.65999999999</v>
      </c>
    </row>
    <row r="52" spans="1:12" ht="12.75" outlineLevel="1">
      <c r="A52" s="359" t="s">
        <v>223</v>
      </c>
      <c r="C52" s="411"/>
      <c r="D52" s="390" t="s">
        <v>224</v>
      </c>
      <c r="E52" s="412" t="str">
        <f t="shared" si="0"/>
        <v>GEORGE &amp; GRACE FOX</v>
      </c>
      <c r="F52" s="398">
        <v>199141.12</v>
      </c>
      <c r="G52" s="402">
        <v>0</v>
      </c>
      <c r="H52" s="402">
        <v>-817</v>
      </c>
      <c r="I52" s="402">
        <v>-10904.62</v>
      </c>
      <c r="J52" s="402">
        <v>0</v>
      </c>
      <c r="K52" s="402">
        <v>0</v>
      </c>
      <c r="L52" s="402">
        <f t="shared" si="1"/>
        <v>187419.5</v>
      </c>
    </row>
    <row r="53" spans="1:13" ht="12.75" outlineLevel="1">
      <c r="A53" s="359" t="s">
        <v>225</v>
      </c>
      <c r="C53" s="411"/>
      <c r="D53" s="390" t="s">
        <v>226</v>
      </c>
      <c r="E53" s="381" t="str">
        <f t="shared" si="0"/>
        <v>RYAN GREENBERG SCHP</v>
      </c>
      <c r="F53" s="401">
        <v>14295</v>
      </c>
      <c r="G53" s="402">
        <v>1580</v>
      </c>
      <c r="H53" s="402">
        <v>-370.79</v>
      </c>
      <c r="I53" s="402">
        <v>2241.42</v>
      </c>
      <c r="J53" s="402">
        <v>0</v>
      </c>
      <c r="K53" s="402">
        <v>0</v>
      </c>
      <c r="L53" s="402">
        <f t="shared" si="1"/>
        <v>17745.629999999997</v>
      </c>
      <c r="M53" s="411"/>
    </row>
    <row r="54" spans="1:14" s="441" customFormat="1" ht="12.75" outlineLevel="1">
      <c r="A54" s="441" t="s">
        <v>227</v>
      </c>
      <c r="B54" s="442"/>
      <c r="C54" s="411"/>
      <c r="D54" s="411" t="s">
        <v>228</v>
      </c>
      <c r="E54" s="443" t="str">
        <f t="shared" si="0"/>
        <v>FULLERTON SCHP</v>
      </c>
      <c r="F54" s="444">
        <v>65825.82</v>
      </c>
      <c r="G54" s="445">
        <v>0</v>
      </c>
      <c r="H54" s="445">
        <v>-270.07</v>
      </c>
      <c r="I54" s="445">
        <v>-3604.49</v>
      </c>
      <c r="J54" s="445">
        <v>0</v>
      </c>
      <c r="K54" s="445">
        <v>0</v>
      </c>
      <c r="L54" s="445">
        <f t="shared" si="1"/>
        <v>61951.26</v>
      </c>
      <c r="M54" s="408"/>
      <c r="N54" s="446"/>
    </row>
    <row r="55" spans="1:12" ht="12.75" outlineLevel="1">
      <c r="A55" s="359" t="s">
        <v>229</v>
      </c>
      <c r="C55" s="411"/>
      <c r="D55" s="390" t="s">
        <v>230</v>
      </c>
      <c r="E55" s="412" t="str">
        <f t="shared" si="0"/>
        <v>RUTH GANT MEM SCHP</v>
      </c>
      <c r="F55" s="398">
        <v>18004.4</v>
      </c>
      <c r="G55" s="402">
        <v>0</v>
      </c>
      <c r="H55" s="402">
        <v>-536.85</v>
      </c>
      <c r="I55" s="402">
        <v>2713.76</v>
      </c>
      <c r="J55" s="402">
        <v>0</v>
      </c>
      <c r="K55" s="402">
        <v>0</v>
      </c>
      <c r="L55" s="402">
        <f t="shared" si="1"/>
        <v>20181.310000000005</v>
      </c>
    </row>
    <row r="56" spans="1:12" ht="12.75" outlineLevel="1">
      <c r="A56" s="359" t="s">
        <v>231</v>
      </c>
      <c r="C56" s="411"/>
      <c r="D56" s="390" t="s">
        <v>232</v>
      </c>
      <c r="E56" s="412" t="str">
        <f t="shared" si="0"/>
        <v>OTIS GENTRY SCHP</v>
      </c>
      <c r="F56" s="398">
        <v>117869.34</v>
      </c>
      <c r="G56" s="402">
        <v>0</v>
      </c>
      <c r="H56" s="402">
        <v>-483.58</v>
      </c>
      <c r="I56" s="402">
        <v>-6454.32</v>
      </c>
      <c r="J56" s="402">
        <v>0</v>
      </c>
      <c r="K56" s="402">
        <v>0</v>
      </c>
      <c r="L56" s="402">
        <f t="shared" si="1"/>
        <v>110931.44</v>
      </c>
    </row>
    <row r="57" spans="1:13" ht="12.75" outlineLevel="1">
      <c r="A57" s="359" t="s">
        <v>233</v>
      </c>
      <c r="C57" s="411"/>
      <c r="D57" s="390" t="s">
        <v>234</v>
      </c>
      <c r="E57" s="381" t="str">
        <f t="shared" si="0"/>
        <v>GOLD STAR MOTHERS KC</v>
      </c>
      <c r="F57" s="401">
        <v>11877.04</v>
      </c>
      <c r="G57" s="402">
        <v>0</v>
      </c>
      <c r="H57" s="402">
        <v>-354.15</v>
      </c>
      <c r="I57" s="402">
        <v>1790.18</v>
      </c>
      <c r="J57" s="402">
        <v>0</v>
      </c>
      <c r="K57" s="402">
        <v>0</v>
      </c>
      <c r="L57" s="402">
        <f t="shared" si="1"/>
        <v>13313.070000000002</v>
      </c>
      <c r="M57" s="411"/>
    </row>
    <row r="58" spans="1:14" s="441" customFormat="1" ht="12.75" outlineLevel="1">
      <c r="A58" s="441" t="s">
        <v>235</v>
      </c>
      <c r="B58" s="442"/>
      <c r="C58" s="411"/>
      <c r="D58" s="411" t="s">
        <v>236</v>
      </c>
      <c r="E58" s="443" t="str">
        <f t="shared" si="0"/>
        <v>ESTATE PLANNING SOC</v>
      </c>
      <c r="F58" s="444">
        <v>34981.57</v>
      </c>
      <c r="G58" s="445">
        <v>0</v>
      </c>
      <c r="H58" s="445">
        <v>-578.13</v>
      </c>
      <c r="I58" s="445">
        <v>5279.63</v>
      </c>
      <c r="J58" s="445">
        <v>0</v>
      </c>
      <c r="K58" s="445">
        <v>0</v>
      </c>
      <c r="L58" s="445">
        <f t="shared" si="1"/>
        <v>39683.07</v>
      </c>
      <c r="M58" s="408"/>
      <c r="N58" s="446"/>
    </row>
    <row r="59" spans="1:12" ht="12.75" outlineLevel="1">
      <c r="A59" s="359" t="s">
        <v>237</v>
      </c>
      <c r="C59" s="411"/>
      <c r="D59" s="390" t="s">
        <v>238</v>
      </c>
      <c r="E59" s="412" t="str">
        <f t="shared" si="0"/>
        <v>M W &amp; W S GORDON FD</v>
      </c>
      <c r="F59" s="398">
        <v>15035.03</v>
      </c>
      <c r="G59" s="402">
        <v>0</v>
      </c>
      <c r="H59" s="402">
        <v>-448.31</v>
      </c>
      <c r="I59" s="402">
        <v>2266.16</v>
      </c>
      <c r="J59" s="402">
        <v>0</v>
      </c>
      <c r="K59" s="402">
        <v>0</v>
      </c>
      <c r="L59" s="402">
        <f t="shared" si="1"/>
        <v>16852.88</v>
      </c>
    </row>
    <row r="60" spans="1:12" ht="12.75" outlineLevel="1">
      <c r="A60" s="359" t="s">
        <v>239</v>
      </c>
      <c r="C60" s="411"/>
      <c r="D60" s="390" t="s">
        <v>240</v>
      </c>
      <c r="E60" s="412" t="str">
        <f t="shared" si="0"/>
        <v>FG HALL-WS GORDON FD</v>
      </c>
      <c r="F60" s="398">
        <v>14971.15</v>
      </c>
      <c r="G60" s="402">
        <v>0</v>
      </c>
      <c r="H60" s="402">
        <v>-446.41</v>
      </c>
      <c r="I60" s="402">
        <v>2256.53</v>
      </c>
      <c r="J60" s="402">
        <v>0</v>
      </c>
      <c r="K60" s="402">
        <v>0</v>
      </c>
      <c r="L60" s="402">
        <f t="shared" si="1"/>
        <v>16781.27</v>
      </c>
    </row>
    <row r="61" spans="1:12" ht="12.75" outlineLevel="1">
      <c r="A61" s="359" t="s">
        <v>241</v>
      </c>
      <c r="C61" s="411"/>
      <c r="D61" s="390" t="s">
        <v>242</v>
      </c>
      <c r="E61" s="412" t="str">
        <f t="shared" si="0"/>
        <v>S H HARE LIBRARY FD</v>
      </c>
      <c r="F61" s="398">
        <v>59172.93</v>
      </c>
      <c r="G61" s="402">
        <v>0</v>
      </c>
      <c r="H61" s="402">
        <v>-1764.42</v>
      </c>
      <c r="I61" s="402">
        <v>8918.93</v>
      </c>
      <c r="J61" s="402">
        <v>0</v>
      </c>
      <c r="K61" s="402">
        <v>0</v>
      </c>
      <c r="L61" s="402">
        <f t="shared" si="1"/>
        <v>66327.44</v>
      </c>
    </row>
    <row r="62" spans="1:12" ht="12.75" outlineLevel="1">
      <c r="A62" s="359" t="s">
        <v>243</v>
      </c>
      <c r="C62" s="411"/>
      <c r="D62" s="390" t="s">
        <v>244</v>
      </c>
      <c r="E62" s="412" t="str">
        <f t="shared" si="0"/>
        <v>HARMON SCHOLARS FUND</v>
      </c>
      <c r="F62" s="398">
        <v>201935.28</v>
      </c>
      <c r="G62" s="402">
        <v>0</v>
      </c>
      <c r="H62" s="402">
        <v>-6021.26</v>
      </c>
      <c r="I62" s="402">
        <v>30437.02</v>
      </c>
      <c r="J62" s="402">
        <v>0</v>
      </c>
      <c r="K62" s="402">
        <v>0</v>
      </c>
      <c r="L62" s="402">
        <f t="shared" si="1"/>
        <v>226351.03999999998</v>
      </c>
    </row>
    <row r="63" spans="1:12" ht="12.75" outlineLevel="1">
      <c r="A63" s="359" t="s">
        <v>245</v>
      </c>
      <c r="C63" s="411"/>
      <c r="D63" s="390" t="s">
        <v>246</v>
      </c>
      <c r="E63" s="412" t="str">
        <f t="shared" si="0"/>
        <v>MIKE GREENE MEMORIAL</v>
      </c>
      <c r="F63" s="398">
        <v>3243.07</v>
      </c>
      <c r="G63" s="402">
        <v>100</v>
      </c>
      <c r="H63" s="402">
        <v>-13.07</v>
      </c>
      <c r="I63" s="402">
        <v>-184.48</v>
      </c>
      <c r="J63" s="402">
        <v>0</v>
      </c>
      <c r="K63" s="402">
        <v>0</v>
      </c>
      <c r="L63" s="402">
        <f t="shared" si="1"/>
        <v>3145.52</v>
      </c>
    </row>
    <row r="64" spans="1:12" ht="12.75" outlineLevel="1">
      <c r="A64" s="359" t="s">
        <v>247</v>
      </c>
      <c r="C64" s="411"/>
      <c r="D64" s="390" t="s">
        <v>248</v>
      </c>
      <c r="E64" s="412" t="str">
        <f t="shared" si="0"/>
        <v>HALLEY SCHP FUND</v>
      </c>
      <c r="F64" s="398">
        <v>37019.63</v>
      </c>
      <c r="G64" s="402">
        <v>0</v>
      </c>
      <c r="H64" s="402">
        <v>-151.88</v>
      </c>
      <c r="I64" s="402">
        <v>-2027.11</v>
      </c>
      <c r="J64" s="402">
        <v>0</v>
      </c>
      <c r="K64" s="402">
        <v>0</v>
      </c>
      <c r="L64" s="402">
        <f t="shared" si="1"/>
        <v>34840.64</v>
      </c>
    </row>
    <row r="65" spans="1:12" ht="12.75" outlineLevel="1">
      <c r="A65" s="359" t="s">
        <v>249</v>
      </c>
      <c r="C65" s="411"/>
      <c r="D65" s="390" t="s">
        <v>250</v>
      </c>
      <c r="E65" s="412" t="str">
        <f t="shared" si="0"/>
        <v>DR DAN HEDGE SCHP</v>
      </c>
      <c r="F65" s="398">
        <v>17004.78</v>
      </c>
      <c r="G65" s="402">
        <v>0</v>
      </c>
      <c r="H65" s="402">
        <v>-507.05</v>
      </c>
      <c r="I65" s="402">
        <v>2563.07</v>
      </c>
      <c r="J65" s="402">
        <v>0</v>
      </c>
      <c r="K65" s="402">
        <v>0</v>
      </c>
      <c r="L65" s="402">
        <f t="shared" si="1"/>
        <v>19060.8</v>
      </c>
    </row>
    <row r="66" spans="1:12" ht="12.75" outlineLevel="1">
      <c r="A66" s="359" t="s">
        <v>251</v>
      </c>
      <c r="C66" s="411"/>
      <c r="D66" s="390" t="s">
        <v>252</v>
      </c>
      <c r="E66" s="412" t="str">
        <f t="shared" si="0"/>
        <v>GUERRON LEACH SCHP</v>
      </c>
      <c r="F66" s="398">
        <v>14651.8</v>
      </c>
      <c r="G66" s="402">
        <v>0</v>
      </c>
      <c r="H66" s="402">
        <v>-436.88</v>
      </c>
      <c r="I66" s="402">
        <v>2208.43</v>
      </c>
      <c r="J66" s="402">
        <v>0</v>
      </c>
      <c r="K66" s="402">
        <v>0</v>
      </c>
      <c r="L66" s="402">
        <f t="shared" si="1"/>
        <v>16423.35</v>
      </c>
    </row>
    <row r="67" spans="1:12" ht="12.75" outlineLevel="1">
      <c r="A67" s="359" t="s">
        <v>253</v>
      </c>
      <c r="C67" s="411"/>
      <c r="D67" s="390" t="s">
        <v>254</v>
      </c>
      <c r="E67" s="412" t="str">
        <f t="shared" si="0"/>
        <v>E B HODGES MEM</v>
      </c>
      <c r="F67" s="398">
        <v>10619.88</v>
      </c>
      <c r="G67" s="402">
        <v>0</v>
      </c>
      <c r="H67" s="402">
        <v>-43.57</v>
      </c>
      <c r="I67" s="402">
        <v>-581.51</v>
      </c>
      <c r="J67" s="402">
        <v>0</v>
      </c>
      <c r="K67" s="402">
        <v>0</v>
      </c>
      <c r="L67" s="402">
        <f t="shared" si="1"/>
        <v>9994.8</v>
      </c>
    </row>
    <row r="68" spans="1:12" ht="12.75" outlineLevel="1">
      <c r="A68" s="359" t="s">
        <v>255</v>
      </c>
      <c r="C68" s="411"/>
      <c r="D68" s="390" t="s">
        <v>256</v>
      </c>
      <c r="E68" s="412" t="str">
        <f t="shared" si="0"/>
        <v>HOWARD E HUSELTON SC</v>
      </c>
      <c r="F68" s="398">
        <v>11148.03</v>
      </c>
      <c r="G68" s="402">
        <v>0</v>
      </c>
      <c r="H68" s="402">
        <v>-332.42</v>
      </c>
      <c r="I68" s="402">
        <v>1680.33</v>
      </c>
      <c r="J68" s="402">
        <v>0</v>
      </c>
      <c r="K68" s="402">
        <v>0</v>
      </c>
      <c r="L68" s="402">
        <f t="shared" si="1"/>
        <v>12495.94</v>
      </c>
    </row>
    <row r="69" spans="1:12" ht="12.75" outlineLevel="1">
      <c r="A69" s="359" t="s">
        <v>257</v>
      </c>
      <c r="C69" s="411"/>
      <c r="D69" s="390" t="s">
        <v>258</v>
      </c>
      <c r="E69" s="412" t="str">
        <f t="shared" si="0"/>
        <v>IND AAUW END SCHOLAR</v>
      </c>
      <c r="F69" s="398">
        <v>25514.05</v>
      </c>
      <c r="G69" s="402">
        <v>0</v>
      </c>
      <c r="H69" s="402">
        <v>-760.76</v>
      </c>
      <c r="I69" s="402">
        <v>3845.64</v>
      </c>
      <c r="J69" s="402">
        <v>0</v>
      </c>
      <c r="K69" s="402">
        <v>0</v>
      </c>
      <c r="L69" s="402">
        <f t="shared" si="1"/>
        <v>28598.93</v>
      </c>
    </row>
    <row r="70" spans="1:12" ht="12.75" outlineLevel="1">
      <c r="A70" s="359" t="s">
        <v>259</v>
      </c>
      <c r="C70" s="411"/>
      <c r="D70" s="390" t="s">
        <v>260</v>
      </c>
      <c r="E70" s="412" t="str">
        <f t="shared" si="0"/>
        <v>INDEPEN JAYCEES SCSP</v>
      </c>
      <c r="F70" s="398">
        <v>19845.7</v>
      </c>
      <c r="G70" s="402">
        <v>0</v>
      </c>
      <c r="H70" s="402">
        <v>-591.74</v>
      </c>
      <c r="I70" s="402">
        <v>2991.27</v>
      </c>
      <c r="J70" s="402">
        <v>0</v>
      </c>
      <c r="K70" s="402">
        <v>0</v>
      </c>
      <c r="L70" s="402">
        <f t="shared" si="1"/>
        <v>22245.23</v>
      </c>
    </row>
    <row r="71" spans="1:12" ht="12.75" outlineLevel="1">
      <c r="A71" s="359" t="s">
        <v>261</v>
      </c>
      <c r="C71" s="411"/>
      <c r="D71" s="390" t="s">
        <v>262</v>
      </c>
      <c r="E71" s="412" t="str">
        <f t="shared" si="0"/>
        <v>INDEP YOUNG MATRONS</v>
      </c>
      <c r="F71" s="398">
        <v>16629.58</v>
      </c>
      <c r="G71" s="402">
        <v>0</v>
      </c>
      <c r="H71" s="402">
        <v>-495.88</v>
      </c>
      <c r="I71" s="402">
        <v>2506.53</v>
      </c>
      <c r="J71" s="402">
        <v>0</v>
      </c>
      <c r="K71" s="402">
        <v>0</v>
      </c>
      <c r="L71" s="402">
        <f t="shared" si="1"/>
        <v>18640.230000000003</v>
      </c>
    </row>
    <row r="72" spans="1:12" ht="12.75" outlineLevel="1">
      <c r="A72" s="359" t="s">
        <v>263</v>
      </c>
      <c r="C72" s="411"/>
      <c r="D72" s="390" t="s">
        <v>264</v>
      </c>
      <c r="E72" s="412" t="str">
        <f t="shared" si="0"/>
        <v>INFO PROD INC SCHOL</v>
      </c>
      <c r="F72" s="398">
        <v>15378.39</v>
      </c>
      <c r="G72" s="402">
        <v>0</v>
      </c>
      <c r="H72" s="402">
        <v>-458.54</v>
      </c>
      <c r="I72" s="402">
        <v>2317.95</v>
      </c>
      <c r="J72" s="402">
        <v>0</v>
      </c>
      <c r="K72" s="402">
        <v>0</v>
      </c>
      <c r="L72" s="402">
        <f t="shared" si="1"/>
        <v>17237.8</v>
      </c>
    </row>
    <row r="73" spans="1:12" ht="12.75" outlineLevel="1">
      <c r="A73" s="359" t="s">
        <v>265</v>
      </c>
      <c r="C73" s="411"/>
      <c r="D73" s="390" t="s">
        <v>266</v>
      </c>
      <c r="E73" s="412" t="str">
        <f t="shared" si="0"/>
        <v>DOUGLAS IRWIN MEM SH</v>
      </c>
      <c r="F73" s="398">
        <v>6430.8</v>
      </c>
      <c r="G73" s="402">
        <v>0</v>
      </c>
      <c r="H73" s="402">
        <v>-191.76</v>
      </c>
      <c r="I73" s="402">
        <v>969.28</v>
      </c>
      <c r="J73" s="402">
        <v>0</v>
      </c>
      <c r="K73" s="402">
        <v>0</v>
      </c>
      <c r="L73" s="402">
        <f t="shared" si="1"/>
        <v>7208.32</v>
      </c>
    </row>
    <row r="74" spans="1:12" ht="12.75" outlineLevel="1">
      <c r="A74" s="359" t="s">
        <v>267</v>
      </c>
      <c r="C74" s="411"/>
      <c r="D74" s="390" t="s">
        <v>268</v>
      </c>
      <c r="E74" s="412" t="str">
        <f aca="true" t="shared" si="2" ref="E74:E137">UPPER(D74)</f>
        <v>ENID &amp; CROSBY KEMPER</v>
      </c>
      <c r="F74" s="398">
        <v>356420.38</v>
      </c>
      <c r="G74" s="402">
        <v>0</v>
      </c>
      <c r="H74" s="402">
        <v>-1462.25</v>
      </c>
      <c r="I74" s="402">
        <v>-19516.96</v>
      </c>
      <c r="J74" s="402">
        <v>0</v>
      </c>
      <c r="K74" s="402">
        <v>0</v>
      </c>
      <c r="L74" s="402">
        <f aca="true" t="shared" si="3" ref="L74:L137">F74+G74+H74+I74-J74+K74</f>
        <v>335441.17</v>
      </c>
    </row>
    <row r="75" spans="1:12" ht="12.75" outlineLevel="1">
      <c r="A75" s="359" t="s">
        <v>269</v>
      </c>
      <c r="C75" s="411"/>
      <c r="D75" s="390" t="s">
        <v>270</v>
      </c>
      <c r="E75" s="412" t="str">
        <f t="shared" si="2"/>
        <v>MARY KNUTSON SCHP</v>
      </c>
      <c r="F75" s="398">
        <v>13020.99</v>
      </c>
      <c r="G75" s="402">
        <v>0</v>
      </c>
      <c r="H75" s="402">
        <v>-388.25</v>
      </c>
      <c r="I75" s="402">
        <v>1962.6</v>
      </c>
      <c r="J75" s="402">
        <v>0</v>
      </c>
      <c r="K75" s="402">
        <v>0</v>
      </c>
      <c r="L75" s="402">
        <f t="shared" si="3"/>
        <v>14595.34</v>
      </c>
    </row>
    <row r="76" spans="1:12" ht="12.75" outlineLevel="1">
      <c r="A76" s="359" t="s">
        <v>271</v>
      </c>
      <c r="C76" s="411"/>
      <c r="D76" s="390" t="s">
        <v>272</v>
      </c>
      <c r="E76" s="412" t="str">
        <f t="shared" si="2"/>
        <v>E K JACOBS MEM SCHP</v>
      </c>
      <c r="F76" s="398">
        <v>963974.28</v>
      </c>
      <c r="G76" s="402">
        <v>0</v>
      </c>
      <c r="H76" s="402">
        <v>-28743.55</v>
      </c>
      <c r="I76" s="402">
        <v>145296.59</v>
      </c>
      <c r="J76" s="402">
        <v>0</v>
      </c>
      <c r="K76" s="402">
        <v>0</v>
      </c>
      <c r="L76" s="402">
        <f t="shared" si="3"/>
        <v>1080527.32</v>
      </c>
    </row>
    <row r="77" spans="1:12" ht="12.75" outlineLevel="1">
      <c r="A77" s="359" t="s">
        <v>273</v>
      </c>
      <c r="C77" s="411"/>
      <c r="D77" s="390" t="s">
        <v>274</v>
      </c>
      <c r="E77" s="412" t="str">
        <f t="shared" si="2"/>
        <v>WM JACQUES STUDNT AD</v>
      </c>
      <c r="F77" s="398">
        <v>431033.34</v>
      </c>
      <c r="G77" s="402">
        <v>276.62</v>
      </c>
      <c r="H77" s="402">
        <v>-1767.76</v>
      </c>
      <c r="I77" s="402">
        <v>-23610.2</v>
      </c>
      <c r="J77" s="402">
        <v>0</v>
      </c>
      <c r="K77" s="402">
        <v>0</v>
      </c>
      <c r="L77" s="402">
        <f t="shared" si="3"/>
        <v>405932</v>
      </c>
    </row>
    <row r="78" spans="1:12" ht="12.75" outlineLevel="1">
      <c r="A78" s="359" t="s">
        <v>275</v>
      </c>
      <c r="C78" s="411"/>
      <c r="D78" s="390" t="s">
        <v>276</v>
      </c>
      <c r="E78" s="412" t="str">
        <f t="shared" si="2"/>
        <v>JOB SCHOLARSHIP</v>
      </c>
      <c r="F78" s="398">
        <v>30957.42</v>
      </c>
      <c r="G78" s="402">
        <v>0</v>
      </c>
      <c r="H78" s="402">
        <v>-127</v>
      </c>
      <c r="I78" s="402">
        <v>-1695.17</v>
      </c>
      <c r="J78" s="402">
        <v>0</v>
      </c>
      <c r="K78" s="402">
        <v>0</v>
      </c>
      <c r="L78" s="402">
        <f t="shared" si="3"/>
        <v>29135.25</v>
      </c>
    </row>
    <row r="79" spans="1:12" ht="12.75" outlineLevel="1">
      <c r="A79" s="359" t="s">
        <v>277</v>
      </c>
      <c r="C79" s="411"/>
      <c r="D79" s="390" t="s">
        <v>278</v>
      </c>
      <c r="E79" s="412" t="str">
        <f t="shared" si="2"/>
        <v>PHYLLIS J JONES</v>
      </c>
      <c r="F79" s="398">
        <v>73378.72</v>
      </c>
      <c r="G79" s="402">
        <v>1006.71</v>
      </c>
      <c r="H79" s="402">
        <v>-2142.58</v>
      </c>
      <c r="I79" s="402">
        <v>11124.83</v>
      </c>
      <c r="J79" s="402">
        <v>0</v>
      </c>
      <c r="K79" s="402">
        <v>0</v>
      </c>
      <c r="L79" s="402">
        <f t="shared" si="3"/>
        <v>83367.68000000001</v>
      </c>
    </row>
    <row r="80" spans="1:12" ht="12.75" outlineLevel="1">
      <c r="A80" s="359" t="s">
        <v>279</v>
      </c>
      <c r="C80" s="411"/>
      <c r="D80" s="390" t="s">
        <v>280</v>
      </c>
      <c r="E80" s="412" t="str">
        <f t="shared" si="2"/>
        <v>KC ELEM TEACHERS CLB</v>
      </c>
      <c r="F80" s="398">
        <v>122806.32</v>
      </c>
      <c r="G80" s="402">
        <v>0</v>
      </c>
      <c r="H80" s="402">
        <v>-503.82</v>
      </c>
      <c r="I80" s="402">
        <v>-6724.67</v>
      </c>
      <c r="J80" s="402">
        <v>0</v>
      </c>
      <c r="K80" s="402">
        <v>0</v>
      </c>
      <c r="L80" s="402">
        <f t="shared" si="3"/>
        <v>115577.83</v>
      </c>
    </row>
    <row r="81" spans="1:12" ht="12.75" outlineLevel="1">
      <c r="A81" s="359" t="s">
        <v>281</v>
      </c>
      <c r="C81" s="411"/>
      <c r="D81" s="390" t="s">
        <v>282</v>
      </c>
      <c r="E81" s="412" t="str">
        <f t="shared" si="2"/>
        <v>K C WOMENS GUILD SCH</v>
      </c>
      <c r="F81" s="398">
        <v>12574.34</v>
      </c>
      <c r="G81" s="402">
        <v>0</v>
      </c>
      <c r="H81" s="402">
        <v>-51.6</v>
      </c>
      <c r="I81" s="402">
        <v>-688.55</v>
      </c>
      <c r="J81" s="402">
        <v>0</v>
      </c>
      <c r="K81" s="402">
        <v>0</v>
      </c>
      <c r="L81" s="402">
        <f t="shared" si="3"/>
        <v>11834.19</v>
      </c>
    </row>
    <row r="82" spans="1:12" ht="12.75" outlineLevel="1">
      <c r="A82" s="359" t="s">
        <v>283</v>
      </c>
      <c r="C82" s="411"/>
      <c r="D82" s="390" t="s">
        <v>284</v>
      </c>
      <c r="E82" s="412" t="str">
        <f t="shared" si="2"/>
        <v>M B KEMP END SCHP</v>
      </c>
      <c r="F82" s="398">
        <v>61009.47</v>
      </c>
      <c r="G82" s="402">
        <v>0</v>
      </c>
      <c r="H82" s="402">
        <v>-1819.16</v>
      </c>
      <c r="I82" s="402">
        <v>9195.74</v>
      </c>
      <c r="J82" s="402">
        <v>0</v>
      </c>
      <c r="K82" s="402">
        <v>0</v>
      </c>
      <c r="L82" s="402">
        <f t="shared" si="3"/>
        <v>68386.05</v>
      </c>
    </row>
    <row r="83" spans="1:12" ht="12.75" outlineLevel="1">
      <c r="A83" s="359" t="s">
        <v>285</v>
      </c>
      <c r="C83" s="411"/>
      <c r="D83" s="390" t="s">
        <v>286</v>
      </c>
      <c r="E83" s="412" t="str">
        <f t="shared" si="2"/>
        <v>ARTHUR KRIEHN SCH</v>
      </c>
      <c r="F83" s="398">
        <v>485572.76</v>
      </c>
      <c r="G83" s="402">
        <v>7753</v>
      </c>
      <c r="H83" s="402">
        <v>-14107.33</v>
      </c>
      <c r="I83" s="402">
        <v>73303.49</v>
      </c>
      <c r="J83" s="402">
        <v>0</v>
      </c>
      <c r="K83" s="402">
        <v>0</v>
      </c>
      <c r="L83" s="402">
        <f t="shared" si="3"/>
        <v>552521.92</v>
      </c>
    </row>
    <row r="84" spans="1:12" ht="12.75" outlineLevel="1">
      <c r="A84" s="359" t="s">
        <v>287</v>
      </c>
      <c r="C84" s="411"/>
      <c r="D84" s="390" t="s">
        <v>288</v>
      </c>
      <c r="E84" s="412" t="str">
        <f t="shared" si="2"/>
        <v>ALLEN CRONK SCHP</v>
      </c>
      <c r="F84" s="398">
        <v>11183.66</v>
      </c>
      <c r="G84" s="402">
        <v>0</v>
      </c>
      <c r="H84" s="402">
        <v>-333.48</v>
      </c>
      <c r="I84" s="402">
        <v>1685.66</v>
      </c>
      <c r="J84" s="402">
        <v>0</v>
      </c>
      <c r="K84" s="402">
        <v>0</v>
      </c>
      <c r="L84" s="402">
        <f t="shared" si="3"/>
        <v>12535.84</v>
      </c>
    </row>
    <row r="85" spans="1:12" ht="12.75" outlineLevel="1">
      <c r="A85" s="359" t="s">
        <v>289</v>
      </c>
      <c r="C85" s="411"/>
      <c r="D85" s="390" t="s">
        <v>290</v>
      </c>
      <c r="E85" s="412" t="str">
        <f t="shared" si="2"/>
        <v>SANFORD B LADD AWARD</v>
      </c>
      <c r="F85" s="398">
        <v>2967.57</v>
      </c>
      <c r="G85" s="402">
        <v>0</v>
      </c>
      <c r="H85" s="402">
        <v>-88.49</v>
      </c>
      <c r="I85" s="402">
        <v>447.31</v>
      </c>
      <c r="J85" s="402">
        <v>0</v>
      </c>
      <c r="K85" s="402">
        <v>0</v>
      </c>
      <c r="L85" s="402">
        <f t="shared" si="3"/>
        <v>3326.3900000000003</v>
      </c>
    </row>
    <row r="86" spans="1:12" ht="12.75" outlineLevel="1">
      <c r="A86" s="359" t="s">
        <v>291</v>
      </c>
      <c r="C86" s="411"/>
      <c r="D86" s="390" t="s">
        <v>292</v>
      </c>
      <c r="E86" s="412" t="str">
        <f t="shared" si="2"/>
        <v>RALPH S LATSHAW AWD</v>
      </c>
      <c r="F86" s="398">
        <v>8699.44</v>
      </c>
      <c r="G86" s="402">
        <v>0</v>
      </c>
      <c r="H86" s="402">
        <v>-259.4</v>
      </c>
      <c r="I86" s="402">
        <v>1311.28</v>
      </c>
      <c r="J86" s="402">
        <v>0</v>
      </c>
      <c r="K86" s="402">
        <v>0</v>
      </c>
      <c r="L86" s="402">
        <f t="shared" si="3"/>
        <v>9751.320000000002</v>
      </c>
    </row>
    <row r="87" spans="1:12" ht="12.75" outlineLevel="1">
      <c r="A87" s="359" t="s">
        <v>293</v>
      </c>
      <c r="C87" s="411"/>
      <c r="D87" s="390" t="s">
        <v>294</v>
      </c>
      <c r="E87" s="412" t="str">
        <f t="shared" si="2"/>
        <v>LEATHERMAN SCHOL FD</v>
      </c>
      <c r="F87" s="398">
        <v>95153.2</v>
      </c>
      <c r="G87" s="402">
        <v>0</v>
      </c>
      <c r="H87" s="402">
        <v>-2837.25</v>
      </c>
      <c r="I87" s="402">
        <v>14342.13</v>
      </c>
      <c r="J87" s="402">
        <v>0</v>
      </c>
      <c r="K87" s="402">
        <v>0</v>
      </c>
      <c r="L87" s="402">
        <f t="shared" si="3"/>
        <v>106658.08</v>
      </c>
    </row>
    <row r="88" spans="1:12" ht="12.75" outlineLevel="1">
      <c r="A88" s="359" t="s">
        <v>295</v>
      </c>
      <c r="C88" s="411"/>
      <c r="D88" s="390" t="s">
        <v>296</v>
      </c>
      <c r="E88" s="412" t="str">
        <f t="shared" si="2"/>
        <v>D LIEBERMAN MEM SCHP</v>
      </c>
      <c r="F88" s="398">
        <v>65946.17</v>
      </c>
      <c r="G88" s="402">
        <v>0</v>
      </c>
      <c r="H88" s="402">
        <v>-270.54</v>
      </c>
      <c r="I88" s="402">
        <v>-3611.11</v>
      </c>
      <c r="J88" s="402">
        <v>0</v>
      </c>
      <c r="K88" s="402">
        <v>0</v>
      </c>
      <c r="L88" s="402">
        <f t="shared" si="3"/>
        <v>62064.520000000004</v>
      </c>
    </row>
    <row r="89" spans="1:12" ht="12.75" outlineLevel="1">
      <c r="A89" s="359" t="s">
        <v>297</v>
      </c>
      <c r="C89" s="411"/>
      <c r="D89" s="390" t="s">
        <v>298</v>
      </c>
      <c r="E89" s="412" t="str">
        <f t="shared" si="2"/>
        <v>R &amp; A M LUYBEN SCHP</v>
      </c>
      <c r="F89" s="398">
        <v>21442.43</v>
      </c>
      <c r="G89" s="402">
        <v>400</v>
      </c>
      <c r="H89" s="402">
        <v>-628.06</v>
      </c>
      <c r="I89" s="402">
        <v>3244.82</v>
      </c>
      <c r="J89" s="402">
        <v>0</v>
      </c>
      <c r="K89" s="402">
        <v>0</v>
      </c>
      <c r="L89" s="402">
        <f t="shared" si="3"/>
        <v>24459.19</v>
      </c>
    </row>
    <row r="90" spans="1:12" ht="12.75" outlineLevel="1">
      <c r="A90" s="359" t="s">
        <v>299</v>
      </c>
      <c r="C90" s="411"/>
      <c r="D90" s="390" t="s">
        <v>300</v>
      </c>
      <c r="E90" s="412" t="str">
        <f t="shared" si="2"/>
        <v>MARGOLIS CONSERV SCH</v>
      </c>
      <c r="F90" s="398">
        <v>31103.53</v>
      </c>
      <c r="G90" s="402">
        <v>0</v>
      </c>
      <c r="H90" s="402">
        <v>-927.45</v>
      </c>
      <c r="I90" s="402">
        <v>4688.14</v>
      </c>
      <c r="J90" s="402">
        <v>0</v>
      </c>
      <c r="K90" s="402">
        <v>0</v>
      </c>
      <c r="L90" s="402">
        <f t="shared" si="3"/>
        <v>34864.22</v>
      </c>
    </row>
    <row r="91" spans="1:12" ht="12.75" outlineLevel="1">
      <c r="A91" s="359" t="s">
        <v>301</v>
      </c>
      <c r="C91" s="411"/>
      <c r="D91" s="390" t="s">
        <v>302</v>
      </c>
      <c r="E91" s="412" t="str">
        <f t="shared" si="2"/>
        <v>PAT MCILRATH SCHP</v>
      </c>
      <c r="F91" s="398">
        <v>61642.25</v>
      </c>
      <c r="G91" s="402">
        <v>100</v>
      </c>
      <c r="H91" s="402">
        <v>-252.67</v>
      </c>
      <c r="I91" s="402">
        <v>-3378.14</v>
      </c>
      <c r="J91" s="402">
        <v>0</v>
      </c>
      <c r="K91" s="402">
        <v>0</v>
      </c>
      <c r="L91" s="402">
        <f t="shared" si="3"/>
        <v>58111.44</v>
      </c>
    </row>
    <row r="92" spans="1:12" ht="12.75" outlineLevel="1">
      <c r="A92" s="359" t="s">
        <v>303</v>
      </c>
      <c r="C92" s="411"/>
      <c r="D92" s="390" t="s">
        <v>304</v>
      </c>
      <c r="E92" s="412" t="str">
        <f t="shared" si="2"/>
        <v>MCCOY-BALDUS SCHP</v>
      </c>
      <c r="F92" s="398">
        <v>6207.23</v>
      </c>
      <c r="G92" s="402">
        <v>0</v>
      </c>
      <c r="H92" s="402">
        <v>-25.47</v>
      </c>
      <c r="I92" s="402">
        <v>-339.88</v>
      </c>
      <c r="J92" s="402">
        <v>0</v>
      </c>
      <c r="K92" s="402">
        <v>0</v>
      </c>
      <c r="L92" s="402">
        <f t="shared" si="3"/>
        <v>5841.879999999999</v>
      </c>
    </row>
    <row r="93" spans="1:12" ht="12.75" outlineLevel="1">
      <c r="A93" s="359" t="s">
        <v>305</v>
      </c>
      <c r="C93" s="411"/>
      <c r="D93" s="390" t="s">
        <v>306</v>
      </c>
      <c r="E93" s="412" t="str">
        <f t="shared" si="2"/>
        <v>CAMPOBELLO MC SWEGIN</v>
      </c>
      <c r="F93" s="398">
        <v>12402.33</v>
      </c>
      <c r="G93" s="402">
        <v>50</v>
      </c>
      <c r="H93" s="402">
        <v>-369.18</v>
      </c>
      <c r="I93" s="402">
        <v>1870.02</v>
      </c>
      <c r="J93" s="402">
        <v>0</v>
      </c>
      <c r="K93" s="402">
        <v>0</v>
      </c>
      <c r="L93" s="402">
        <f t="shared" si="3"/>
        <v>13953.17</v>
      </c>
    </row>
    <row r="94" spans="1:12" ht="12.75" outlineLevel="1">
      <c r="A94" s="359" t="s">
        <v>307</v>
      </c>
      <c r="C94" s="411"/>
      <c r="D94" s="390" t="s">
        <v>308</v>
      </c>
      <c r="E94" s="412" t="str">
        <f t="shared" si="2"/>
        <v>MKTG COMM SCHP</v>
      </c>
      <c r="F94" s="398">
        <v>22345.87</v>
      </c>
      <c r="G94" s="402">
        <v>0</v>
      </c>
      <c r="H94" s="402">
        <v>-91.68</v>
      </c>
      <c r="I94" s="402">
        <v>-1223.63</v>
      </c>
      <c r="J94" s="402">
        <v>0</v>
      </c>
      <c r="K94" s="402">
        <v>0</v>
      </c>
      <c r="L94" s="402">
        <f t="shared" si="3"/>
        <v>21030.559999999998</v>
      </c>
    </row>
    <row r="95" spans="1:12" ht="12.75" outlineLevel="1">
      <c r="A95" s="359" t="s">
        <v>309</v>
      </c>
      <c r="C95" s="411"/>
      <c r="D95" s="390" t="s">
        <v>310</v>
      </c>
      <c r="E95" s="412" t="str">
        <f t="shared" si="2"/>
        <v>MONTGOMERY MEM SCHP</v>
      </c>
      <c r="F95" s="398">
        <v>4788.03</v>
      </c>
      <c r="G95" s="402">
        <v>0</v>
      </c>
      <c r="H95" s="402">
        <v>-143.51</v>
      </c>
      <c r="I95" s="402">
        <v>720.81</v>
      </c>
      <c r="J95" s="402">
        <v>0</v>
      </c>
      <c r="K95" s="402">
        <v>0</v>
      </c>
      <c r="L95" s="402">
        <f t="shared" si="3"/>
        <v>5365.33</v>
      </c>
    </row>
    <row r="96" spans="1:12" ht="12.75" outlineLevel="1">
      <c r="A96" s="359" t="s">
        <v>311</v>
      </c>
      <c r="C96" s="411"/>
      <c r="D96" s="390" t="s">
        <v>312</v>
      </c>
      <c r="E96" s="412" t="str">
        <f t="shared" si="2"/>
        <v>ANNETTE MOORE AWARD</v>
      </c>
      <c r="F96" s="398">
        <v>1156.29</v>
      </c>
      <c r="G96" s="402">
        <v>0</v>
      </c>
      <c r="H96" s="402">
        <v>-34.48</v>
      </c>
      <c r="I96" s="402">
        <v>174.29</v>
      </c>
      <c r="J96" s="402">
        <v>0</v>
      </c>
      <c r="K96" s="402">
        <v>0</v>
      </c>
      <c r="L96" s="402">
        <f t="shared" si="3"/>
        <v>1296.1</v>
      </c>
    </row>
    <row r="97" spans="1:12" ht="12.75" outlineLevel="1">
      <c r="A97" s="359" t="s">
        <v>313</v>
      </c>
      <c r="C97" s="411"/>
      <c r="D97" s="390" t="s">
        <v>314</v>
      </c>
      <c r="E97" s="412" t="str">
        <f t="shared" si="2"/>
        <v>JOHN P MORGAN SCHP</v>
      </c>
      <c r="F97" s="398">
        <v>10689.87</v>
      </c>
      <c r="G97" s="402">
        <v>0</v>
      </c>
      <c r="H97" s="402">
        <v>-43.86</v>
      </c>
      <c r="I97" s="402">
        <v>-585.34</v>
      </c>
      <c r="J97" s="402">
        <v>0</v>
      </c>
      <c r="K97" s="402">
        <v>0</v>
      </c>
      <c r="L97" s="402">
        <f t="shared" si="3"/>
        <v>10060.67</v>
      </c>
    </row>
    <row r="98" spans="1:12" ht="12.75" outlineLevel="1">
      <c r="A98" s="359" t="s">
        <v>315</v>
      </c>
      <c r="C98" s="411"/>
      <c r="D98" s="390" t="s">
        <v>316</v>
      </c>
      <c r="E98" s="412" t="str">
        <f t="shared" si="2"/>
        <v>MORRIS ASSOC-KC BANK</v>
      </c>
      <c r="F98" s="398">
        <v>14320.25</v>
      </c>
      <c r="G98" s="402">
        <v>0</v>
      </c>
      <c r="H98" s="402">
        <v>-58.74</v>
      </c>
      <c r="I98" s="402">
        <v>-784.14</v>
      </c>
      <c r="J98" s="402">
        <v>0</v>
      </c>
      <c r="K98" s="402">
        <v>0</v>
      </c>
      <c r="L98" s="402">
        <f t="shared" si="3"/>
        <v>13477.37</v>
      </c>
    </row>
    <row r="99" spans="1:12" ht="12.75" outlineLevel="1">
      <c r="A99" s="359" t="s">
        <v>317</v>
      </c>
      <c r="C99" s="411"/>
      <c r="D99" s="390" t="s">
        <v>318</v>
      </c>
      <c r="E99" s="412" t="str">
        <f t="shared" si="2"/>
        <v>NARAS MUSIC AWARD</v>
      </c>
      <c r="F99" s="398">
        <v>17116.65</v>
      </c>
      <c r="G99" s="402">
        <v>0</v>
      </c>
      <c r="H99" s="402">
        <v>-510.39</v>
      </c>
      <c r="I99" s="402">
        <v>2579.93</v>
      </c>
      <c r="J99" s="402">
        <v>0</v>
      </c>
      <c r="K99" s="402">
        <v>0</v>
      </c>
      <c r="L99" s="402">
        <f t="shared" si="3"/>
        <v>19186.190000000002</v>
      </c>
    </row>
    <row r="100" spans="1:13" ht="12.75" outlineLevel="1">
      <c r="A100" s="359" t="s">
        <v>319</v>
      </c>
      <c r="C100" s="411"/>
      <c r="D100" s="390" t="s">
        <v>320</v>
      </c>
      <c r="E100" s="381" t="str">
        <f t="shared" si="2"/>
        <v>E H NEWCOMB MEM SCHP</v>
      </c>
      <c r="F100" s="401">
        <v>26990.67</v>
      </c>
      <c r="G100" s="402">
        <v>2500</v>
      </c>
      <c r="H100" s="402">
        <v>-735.14</v>
      </c>
      <c r="I100" s="402">
        <v>4204.8</v>
      </c>
      <c r="J100" s="402">
        <v>0</v>
      </c>
      <c r="K100" s="402">
        <v>0</v>
      </c>
      <c r="L100" s="402">
        <f t="shared" si="3"/>
        <v>32960.33</v>
      </c>
      <c r="M100" s="411"/>
    </row>
    <row r="101" spans="1:14" s="441" customFormat="1" ht="12.75" outlineLevel="1">
      <c r="A101" s="441" t="s">
        <v>321</v>
      </c>
      <c r="B101" s="442"/>
      <c r="C101" s="411"/>
      <c r="D101" s="411" t="s">
        <v>322</v>
      </c>
      <c r="E101" s="443" t="str">
        <f t="shared" si="2"/>
        <v>NEWCOMB SO CA SCHP</v>
      </c>
      <c r="F101" s="444">
        <v>26142.95</v>
      </c>
      <c r="G101" s="445">
        <v>2500</v>
      </c>
      <c r="H101" s="445">
        <v>-709.85</v>
      </c>
      <c r="I101" s="445">
        <v>4077.03</v>
      </c>
      <c r="J101" s="445">
        <v>0</v>
      </c>
      <c r="K101" s="445">
        <v>0</v>
      </c>
      <c r="L101" s="445">
        <f t="shared" si="3"/>
        <v>32010.13</v>
      </c>
      <c r="M101" s="408"/>
      <c r="N101" s="446"/>
    </row>
    <row r="102" spans="1:12" ht="12.75" outlineLevel="1">
      <c r="A102" s="359" t="s">
        <v>323</v>
      </c>
      <c r="C102" s="411"/>
      <c r="D102" s="390" t="s">
        <v>324</v>
      </c>
      <c r="E102" s="412" t="str">
        <f t="shared" si="2"/>
        <v>OELSNER SCHOLARSHIP</v>
      </c>
      <c r="F102" s="398">
        <v>50843.52</v>
      </c>
      <c r="G102" s="402">
        <v>5024.16</v>
      </c>
      <c r="H102" s="402">
        <v>-1226.45</v>
      </c>
      <c r="I102" s="402">
        <v>7477.25</v>
      </c>
      <c r="J102" s="402">
        <v>0</v>
      </c>
      <c r="K102" s="402">
        <v>0</v>
      </c>
      <c r="L102" s="402">
        <f t="shared" si="3"/>
        <v>62118.479999999996</v>
      </c>
    </row>
    <row r="103" spans="1:12" ht="12.75" outlineLevel="1">
      <c r="A103" s="359" t="s">
        <v>325</v>
      </c>
      <c r="C103" s="411"/>
      <c r="D103" s="390" t="s">
        <v>326</v>
      </c>
      <c r="E103" s="412" t="str">
        <f t="shared" si="2"/>
        <v>MERRILL OTIS FUND</v>
      </c>
      <c r="F103" s="398">
        <v>5892.46</v>
      </c>
      <c r="G103" s="402">
        <v>0</v>
      </c>
      <c r="H103" s="402">
        <v>-175.71</v>
      </c>
      <c r="I103" s="402">
        <v>888.15</v>
      </c>
      <c r="J103" s="402">
        <v>0</v>
      </c>
      <c r="K103" s="402">
        <v>0</v>
      </c>
      <c r="L103" s="402">
        <f t="shared" si="3"/>
        <v>6604.9</v>
      </c>
    </row>
    <row r="104" spans="1:12" ht="12.75" outlineLevel="1">
      <c r="A104" s="359" t="s">
        <v>327</v>
      </c>
      <c r="C104" s="411"/>
      <c r="D104" s="390" t="s">
        <v>328</v>
      </c>
      <c r="E104" s="412" t="str">
        <f t="shared" si="2"/>
        <v>DUDLEY PITTS MEMORAL</v>
      </c>
      <c r="F104" s="398">
        <v>23444.93</v>
      </c>
      <c r="G104" s="402">
        <v>0</v>
      </c>
      <c r="H104" s="402">
        <v>-699.07</v>
      </c>
      <c r="I104" s="402">
        <v>3533.79</v>
      </c>
      <c r="J104" s="402">
        <v>0</v>
      </c>
      <c r="K104" s="402">
        <v>0</v>
      </c>
      <c r="L104" s="402">
        <f t="shared" si="3"/>
        <v>26279.65</v>
      </c>
    </row>
    <row r="105" spans="1:12" ht="12.75" outlineLevel="1">
      <c r="A105" s="359" t="s">
        <v>329</v>
      </c>
      <c r="C105" s="411"/>
      <c r="D105" s="390" t="s">
        <v>330</v>
      </c>
      <c r="E105" s="412" t="str">
        <f t="shared" si="2"/>
        <v>NORMAN&amp;ELAINE POLSKY END FD</v>
      </c>
      <c r="F105" s="398">
        <v>67681.99</v>
      </c>
      <c r="G105" s="402">
        <v>3000</v>
      </c>
      <c r="H105" s="402">
        <v>1478.16</v>
      </c>
      <c r="I105" s="402">
        <v>10676.16</v>
      </c>
      <c r="J105" s="402">
        <v>0</v>
      </c>
      <c r="K105" s="402">
        <v>0</v>
      </c>
      <c r="L105" s="402">
        <f t="shared" si="3"/>
        <v>82836.31000000001</v>
      </c>
    </row>
    <row r="106" spans="1:12" ht="12.75" outlineLevel="1">
      <c r="A106" s="359" t="s">
        <v>331</v>
      </c>
      <c r="C106" s="411"/>
      <c r="D106" s="390" t="s">
        <v>332</v>
      </c>
      <c r="E106" s="412" t="str">
        <f t="shared" si="2"/>
        <v>N J S QUERL SCHOLAR</v>
      </c>
      <c r="F106" s="398">
        <v>347278.24</v>
      </c>
      <c r="G106" s="402">
        <v>0</v>
      </c>
      <c r="H106" s="402">
        <v>-10355.08</v>
      </c>
      <c r="I106" s="402">
        <v>52344.09</v>
      </c>
      <c r="J106" s="402">
        <v>0</v>
      </c>
      <c r="K106" s="402">
        <v>0</v>
      </c>
      <c r="L106" s="402">
        <f t="shared" si="3"/>
        <v>389267.25</v>
      </c>
    </row>
    <row r="107" spans="1:12" ht="12.75" outlineLevel="1">
      <c r="A107" s="359" t="s">
        <v>333</v>
      </c>
      <c r="C107" s="411"/>
      <c r="D107" s="390" t="s">
        <v>334</v>
      </c>
      <c r="E107" s="412" t="str">
        <f t="shared" si="2"/>
        <v>RICH CORP LAW PRIZE</v>
      </c>
      <c r="F107" s="398">
        <v>63189.12</v>
      </c>
      <c r="G107" s="402">
        <v>0</v>
      </c>
      <c r="H107" s="402">
        <v>-1884.15</v>
      </c>
      <c r="I107" s="402">
        <v>9524.26</v>
      </c>
      <c r="J107" s="402">
        <v>0</v>
      </c>
      <c r="K107" s="402">
        <v>0</v>
      </c>
      <c r="L107" s="402">
        <f t="shared" si="3"/>
        <v>70829.23</v>
      </c>
    </row>
    <row r="108" spans="1:13" ht="12.75" outlineLevel="1">
      <c r="A108" s="359" t="s">
        <v>335</v>
      </c>
      <c r="C108" s="411"/>
      <c r="D108" s="390" t="s">
        <v>336</v>
      </c>
      <c r="E108" s="381" t="str">
        <f t="shared" si="2"/>
        <v>RILEY DENTAL SCHP</v>
      </c>
      <c r="F108" s="401">
        <v>10197.43</v>
      </c>
      <c r="G108" s="402">
        <v>0</v>
      </c>
      <c r="H108" s="402">
        <v>-41.84</v>
      </c>
      <c r="I108" s="402">
        <v>-558.4</v>
      </c>
      <c r="J108" s="402">
        <v>0</v>
      </c>
      <c r="K108" s="402">
        <v>0</v>
      </c>
      <c r="L108" s="402">
        <f t="shared" si="3"/>
        <v>9597.19</v>
      </c>
      <c r="M108" s="411"/>
    </row>
    <row r="109" spans="1:14" s="441" customFormat="1" ht="12.75" outlineLevel="1">
      <c r="A109" s="441" t="s">
        <v>337</v>
      </c>
      <c r="B109" s="442"/>
      <c r="C109" s="411"/>
      <c r="D109" s="411" t="s">
        <v>338</v>
      </c>
      <c r="E109" s="443" t="str">
        <f t="shared" si="2"/>
        <v>DONALD W REYNOLDS SH</v>
      </c>
      <c r="F109" s="444">
        <v>13582.18</v>
      </c>
      <c r="G109" s="445">
        <v>0</v>
      </c>
      <c r="H109" s="445">
        <v>-405.01</v>
      </c>
      <c r="I109" s="445">
        <v>2047.18</v>
      </c>
      <c r="J109" s="445">
        <v>0</v>
      </c>
      <c r="K109" s="445">
        <v>0</v>
      </c>
      <c r="L109" s="445">
        <f t="shared" si="3"/>
        <v>15224.35</v>
      </c>
      <c r="M109" s="408"/>
      <c r="N109" s="446"/>
    </row>
    <row r="110" spans="1:12" ht="12.75" outlineLevel="1">
      <c r="A110" s="359" t="s">
        <v>339</v>
      </c>
      <c r="C110" s="411"/>
      <c r="D110" s="390" t="s">
        <v>340</v>
      </c>
      <c r="E110" s="412" t="str">
        <f t="shared" si="2"/>
        <v>S &amp; C ROACH SCHP</v>
      </c>
      <c r="F110" s="398">
        <v>56156.63</v>
      </c>
      <c r="G110" s="402">
        <v>0</v>
      </c>
      <c r="H110" s="402">
        <v>-1674.46</v>
      </c>
      <c r="I110" s="402">
        <v>8464.3</v>
      </c>
      <c r="J110" s="402">
        <v>0</v>
      </c>
      <c r="K110" s="402">
        <v>0</v>
      </c>
      <c r="L110" s="402">
        <f t="shared" si="3"/>
        <v>62946.47</v>
      </c>
    </row>
    <row r="111" spans="1:12" ht="12.75" outlineLevel="1">
      <c r="A111" s="359" t="s">
        <v>341</v>
      </c>
      <c r="C111" s="411"/>
      <c r="D111" s="390" t="s">
        <v>342</v>
      </c>
      <c r="E111" s="412" t="str">
        <f t="shared" si="2"/>
        <v>ROBERTSON SCHP</v>
      </c>
      <c r="F111" s="398">
        <v>74280.07</v>
      </c>
      <c r="G111" s="402">
        <v>0</v>
      </c>
      <c r="H111" s="402">
        <v>-304.75</v>
      </c>
      <c r="I111" s="402">
        <v>-4067.45</v>
      </c>
      <c r="J111" s="402">
        <v>0</v>
      </c>
      <c r="K111" s="402">
        <v>0</v>
      </c>
      <c r="L111" s="402">
        <f t="shared" si="3"/>
        <v>69907.87000000001</v>
      </c>
    </row>
    <row r="112" spans="1:12" ht="12.75" outlineLevel="1">
      <c r="A112" s="359" t="s">
        <v>343</v>
      </c>
      <c r="C112" s="411"/>
      <c r="D112" s="390" t="s">
        <v>344</v>
      </c>
      <c r="E112" s="412" t="str">
        <f t="shared" si="2"/>
        <v>OMAR E ROBINSON</v>
      </c>
      <c r="F112" s="398">
        <v>306391.35</v>
      </c>
      <c r="G112" s="402">
        <v>0</v>
      </c>
      <c r="H112" s="402">
        <v>-9135.9</v>
      </c>
      <c r="I112" s="402">
        <v>46181.34</v>
      </c>
      <c r="J112" s="402">
        <v>0</v>
      </c>
      <c r="K112" s="402">
        <v>0</v>
      </c>
      <c r="L112" s="402">
        <f t="shared" si="3"/>
        <v>343436.7899999999</v>
      </c>
    </row>
    <row r="113" spans="1:12" ht="12.75" outlineLevel="1">
      <c r="A113" s="359" t="s">
        <v>345</v>
      </c>
      <c r="C113" s="411"/>
      <c r="D113" s="390" t="s">
        <v>346</v>
      </c>
      <c r="E113" s="412" t="str">
        <f t="shared" si="2"/>
        <v>LOUIS H EHRLICH SCHL</v>
      </c>
      <c r="F113" s="398">
        <v>41667.81</v>
      </c>
      <c r="G113" s="402">
        <v>0</v>
      </c>
      <c r="H113" s="402">
        <v>-170.95</v>
      </c>
      <c r="I113" s="402">
        <v>-2281.65</v>
      </c>
      <c r="J113" s="402">
        <v>0</v>
      </c>
      <c r="K113" s="402">
        <v>0</v>
      </c>
      <c r="L113" s="402">
        <f t="shared" si="3"/>
        <v>39215.21</v>
      </c>
    </row>
    <row r="114" spans="1:12" ht="12.75" outlineLevel="1">
      <c r="A114" s="359" t="s">
        <v>347</v>
      </c>
      <c r="C114" s="411"/>
      <c r="D114" s="390" t="s">
        <v>348</v>
      </c>
      <c r="E114" s="412" t="str">
        <f t="shared" si="2"/>
        <v>L S ROTHSCHILD FUND</v>
      </c>
      <c r="F114" s="398">
        <v>435724.01</v>
      </c>
      <c r="G114" s="402">
        <v>0</v>
      </c>
      <c r="H114" s="402">
        <v>-12992.32</v>
      </c>
      <c r="I114" s="402">
        <v>65675.19</v>
      </c>
      <c r="J114" s="402">
        <v>0</v>
      </c>
      <c r="K114" s="402">
        <v>0</v>
      </c>
      <c r="L114" s="402">
        <f t="shared" si="3"/>
        <v>488406.88</v>
      </c>
    </row>
    <row r="115" spans="1:12" ht="12.75" outlineLevel="1">
      <c r="A115" s="359" t="s">
        <v>349</v>
      </c>
      <c r="C115" s="411"/>
      <c r="D115" s="390" t="s">
        <v>350</v>
      </c>
      <c r="E115" s="412" t="str">
        <f t="shared" si="2"/>
        <v>CAROLINE SCHUTTE SCH</v>
      </c>
      <c r="F115" s="398">
        <v>230677.01</v>
      </c>
      <c r="G115" s="402">
        <v>0</v>
      </c>
      <c r="H115" s="402">
        <v>-6878.26</v>
      </c>
      <c r="I115" s="402">
        <v>34769.17</v>
      </c>
      <c r="J115" s="402">
        <v>0</v>
      </c>
      <c r="K115" s="402">
        <v>0</v>
      </c>
      <c r="L115" s="402">
        <f t="shared" si="3"/>
        <v>258567.91999999998</v>
      </c>
    </row>
    <row r="116" spans="1:12" ht="12.75" outlineLevel="1">
      <c r="A116" s="359" t="s">
        <v>351</v>
      </c>
      <c r="C116" s="411"/>
      <c r="D116" s="390" t="s">
        <v>352</v>
      </c>
      <c r="E116" s="412" t="str">
        <f t="shared" si="2"/>
        <v>SHAH MEDICAL SCHP</v>
      </c>
      <c r="F116" s="398">
        <v>9134.72</v>
      </c>
      <c r="G116" s="402">
        <v>0</v>
      </c>
      <c r="H116" s="402">
        <v>-272.38</v>
      </c>
      <c r="I116" s="402">
        <v>1376.83</v>
      </c>
      <c r="J116" s="402">
        <v>0</v>
      </c>
      <c r="K116" s="402">
        <v>0</v>
      </c>
      <c r="L116" s="402">
        <f t="shared" si="3"/>
        <v>10239.17</v>
      </c>
    </row>
    <row r="117" spans="1:12" ht="12.75" outlineLevel="1">
      <c r="A117" s="359" t="s">
        <v>353</v>
      </c>
      <c r="C117" s="411"/>
      <c r="D117" s="390" t="s">
        <v>354</v>
      </c>
      <c r="E117" s="412" t="str">
        <f t="shared" si="2"/>
        <v>SMITHER SCHOLARSHIP</v>
      </c>
      <c r="F117" s="398">
        <v>11771.22</v>
      </c>
      <c r="G117" s="402">
        <v>0</v>
      </c>
      <c r="H117" s="402">
        <v>-350.99</v>
      </c>
      <c r="I117" s="402">
        <v>1774.26</v>
      </c>
      <c r="J117" s="402">
        <v>0</v>
      </c>
      <c r="K117" s="402">
        <v>0</v>
      </c>
      <c r="L117" s="402">
        <f t="shared" si="3"/>
        <v>13194.49</v>
      </c>
    </row>
    <row r="118" spans="1:12" ht="12.75" outlineLevel="1">
      <c r="A118" s="359" t="s">
        <v>355</v>
      </c>
      <c r="C118" s="411"/>
      <c r="D118" s="390" t="s">
        <v>356</v>
      </c>
      <c r="E118" s="412" t="str">
        <f t="shared" si="2"/>
        <v>R &amp; P SNYDER SCHP</v>
      </c>
      <c r="F118" s="398">
        <v>11404.95</v>
      </c>
      <c r="G118" s="402">
        <v>0</v>
      </c>
      <c r="H118" s="402">
        <v>-340.07</v>
      </c>
      <c r="I118" s="402">
        <v>1719.04</v>
      </c>
      <c r="J118" s="402">
        <v>0</v>
      </c>
      <c r="K118" s="402">
        <v>0</v>
      </c>
      <c r="L118" s="402">
        <f t="shared" si="3"/>
        <v>12783.920000000002</v>
      </c>
    </row>
    <row r="119" spans="1:12" ht="12.75" outlineLevel="1">
      <c r="A119" s="359" t="s">
        <v>357</v>
      </c>
      <c r="C119" s="411"/>
      <c r="D119" s="390" t="s">
        <v>358</v>
      </c>
      <c r="E119" s="412" t="str">
        <f t="shared" si="2"/>
        <v>DAVID SNOWER MEM</v>
      </c>
      <c r="F119" s="398">
        <v>4801.02</v>
      </c>
      <c r="G119" s="402">
        <v>0</v>
      </c>
      <c r="H119" s="402">
        <v>-143.16</v>
      </c>
      <c r="I119" s="402">
        <v>723.66</v>
      </c>
      <c r="J119" s="402">
        <v>0</v>
      </c>
      <c r="K119" s="402">
        <v>0</v>
      </c>
      <c r="L119" s="402">
        <f t="shared" si="3"/>
        <v>5381.52</v>
      </c>
    </row>
    <row r="120" spans="1:12" ht="12.75" outlineLevel="1">
      <c r="A120" s="359" t="s">
        <v>359</v>
      </c>
      <c r="C120" s="411"/>
      <c r="D120" s="390" t="s">
        <v>360</v>
      </c>
      <c r="E120" s="412" t="str">
        <f t="shared" si="2"/>
        <v>STEIN-OPPENHEIMER</v>
      </c>
      <c r="F120" s="398">
        <v>77480.42</v>
      </c>
      <c r="G120" s="402">
        <v>0</v>
      </c>
      <c r="H120" s="402">
        <v>-317.86</v>
      </c>
      <c r="I120" s="402">
        <v>-4242.7</v>
      </c>
      <c r="J120" s="402">
        <v>0</v>
      </c>
      <c r="K120" s="402">
        <v>0</v>
      </c>
      <c r="L120" s="402">
        <f t="shared" si="3"/>
        <v>72919.86</v>
      </c>
    </row>
    <row r="121" spans="1:12" ht="12.75" outlineLevel="1">
      <c r="A121" s="359" t="s">
        <v>361</v>
      </c>
      <c r="C121" s="411"/>
      <c r="D121" s="390" t="s">
        <v>362</v>
      </c>
      <c r="E121" s="412" t="str">
        <f t="shared" si="2"/>
        <v>STEPHENSON MUSIC ED</v>
      </c>
      <c r="F121" s="398">
        <v>28294.75</v>
      </c>
      <c r="G121" s="402">
        <v>200</v>
      </c>
      <c r="H121" s="402">
        <v>-117.83</v>
      </c>
      <c r="I121" s="402">
        <v>-1569.54</v>
      </c>
      <c r="J121" s="402">
        <v>0</v>
      </c>
      <c r="K121" s="402">
        <v>0</v>
      </c>
      <c r="L121" s="402">
        <f t="shared" si="3"/>
        <v>26807.379999999997</v>
      </c>
    </row>
    <row r="122" spans="1:12" ht="12.75" outlineLevel="1">
      <c r="A122" s="359" t="s">
        <v>363</v>
      </c>
      <c r="C122" s="411"/>
      <c r="D122" s="390" t="s">
        <v>364</v>
      </c>
      <c r="E122" s="412" t="str">
        <f t="shared" si="2"/>
        <v>LEITH STEVENS MEM</v>
      </c>
      <c r="F122" s="398">
        <v>41884.72</v>
      </c>
      <c r="G122" s="402">
        <v>400</v>
      </c>
      <c r="H122" s="402">
        <v>-1231.14</v>
      </c>
      <c r="I122" s="402">
        <v>6338.15</v>
      </c>
      <c r="J122" s="402">
        <v>0</v>
      </c>
      <c r="K122" s="402">
        <v>0</v>
      </c>
      <c r="L122" s="402">
        <f t="shared" si="3"/>
        <v>47391.73</v>
      </c>
    </row>
    <row r="123" spans="1:12" ht="12.75" outlineLevel="1">
      <c r="A123" s="359" t="s">
        <v>365</v>
      </c>
      <c r="C123" s="411"/>
      <c r="D123" s="390" t="s">
        <v>366</v>
      </c>
      <c r="E123" s="412" t="str">
        <f t="shared" si="2"/>
        <v>BARBARA STORCK AWD</v>
      </c>
      <c r="F123" s="398">
        <v>6215.53</v>
      </c>
      <c r="G123" s="402">
        <v>0</v>
      </c>
      <c r="H123" s="402">
        <v>-185.34</v>
      </c>
      <c r="I123" s="402">
        <v>936.84</v>
      </c>
      <c r="J123" s="402">
        <v>0</v>
      </c>
      <c r="K123" s="402">
        <v>0</v>
      </c>
      <c r="L123" s="402">
        <f t="shared" si="3"/>
        <v>6967.03</v>
      </c>
    </row>
    <row r="124" spans="1:12" ht="12.75" outlineLevel="1">
      <c r="A124" s="359" t="s">
        <v>367</v>
      </c>
      <c r="C124" s="411"/>
      <c r="D124" s="390" t="s">
        <v>368</v>
      </c>
      <c r="E124" s="412" t="str">
        <f t="shared" si="2"/>
        <v>STRANDBERG ENDOWMENT</v>
      </c>
      <c r="F124" s="398">
        <v>153764.18</v>
      </c>
      <c r="G124" s="402">
        <v>25</v>
      </c>
      <c r="H124" s="402">
        <v>-4584.21</v>
      </c>
      <c r="I124" s="402">
        <v>23177.73</v>
      </c>
      <c r="J124" s="402">
        <v>0</v>
      </c>
      <c r="K124" s="402">
        <v>0</v>
      </c>
      <c r="L124" s="402">
        <f t="shared" si="3"/>
        <v>172382.7</v>
      </c>
    </row>
    <row r="125" spans="1:12" ht="12.75" outlineLevel="1">
      <c r="A125" s="359" t="s">
        <v>369</v>
      </c>
      <c r="C125" s="411"/>
      <c r="D125" s="390" t="s">
        <v>370</v>
      </c>
      <c r="E125" s="412" t="str">
        <f t="shared" si="2"/>
        <v>STL FR UMKC MED SCHP</v>
      </c>
      <c r="F125" s="398">
        <v>34929.46</v>
      </c>
      <c r="G125" s="402">
        <v>1000</v>
      </c>
      <c r="H125" s="402">
        <v>-962.41</v>
      </c>
      <c r="I125" s="402">
        <v>5136.52</v>
      </c>
      <c r="J125" s="402">
        <v>0</v>
      </c>
      <c r="K125" s="402">
        <v>0</v>
      </c>
      <c r="L125" s="402">
        <f t="shared" si="3"/>
        <v>40103.56999999999</v>
      </c>
    </row>
    <row r="126" spans="1:12" ht="12.75" outlineLevel="1">
      <c r="A126" s="359" t="s">
        <v>371</v>
      </c>
      <c r="C126" s="411"/>
      <c r="D126" s="390" t="s">
        <v>372</v>
      </c>
      <c r="E126" s="412" t="str">
        <f t="shared" si="2"/>
        <v>THOMAS MEM JAZZ SCHP</v>
      </c>
      <c r="F126" s="398">
        <v>13585.85</v>
      </c>
      <c r="G126" s="402">
        <v>0</v>
      </c>
      <c r="H126" s="402">
        <v>-55.74</v>
      </c>
      <c r="I126" s="402">
        <v>-743.93</v>
      </c>
      <c r="J126" s="402">
        <v>0</v>
      </c>
      <c r="K126" s="402">
        <v>0</v>
      </c>
      <c r="L126" s="402">
        <f t="shared" si="3"/>
        <v>12786.18</v>
      </c>
    </row>
    <row r="127" spans="1:12" ht="12.75" outlineLevel="1">
      <c r="A127" s="359" t="s">
        <v>373</v>
      </c>
      <c r="C127" s="411"/>
      <c r="D127" s="390" t="s">
        <v>374</v>
      </c>
      <c r="E127" s="412" t="str">
        <f t="shared" si="2"/>
        <v>TOMICH MEMORIAL</v>
      </c>
      <c r="F127" s="398">
        <v>11191.13</v>
      </c>
      <c r="G127" s="402">
        <v>125</v>
      </c>
      <c r="H127" s="402">
        <v>-45.6</v>
      </c>
      <c r="I127" s="402">
        <v>-626.61</v>
      </c>
      <c r="J127" s="402">
        <v>0</v>
      </c>
      <c r="K127" s="402">
        <v>0</v>
      </c>
      <c r="L127" s="402">
        <f t="shared" si="3"/>
        <v>10643.919999999998</v>
      </c>
    </row>
    <row r="128" spans="1:12" ht="12.75" outlineLevel="1">
      <c r="A128" s="359" t="s">
        <v>375</v>
      </c>
      <c r="C128" s="411"/>
      <c r="D128" s="390" t="s">
        <v>376</v>
      </c>
      <c r="E128" s="412" t="str">
        <f t="shared" si="2"/>
        <v>VAN DEURSEN VOCAL</v>
      </c>
      <c r="F128" s="398">
        <v>16804.92</v>
      </c>
      <c r="G128" s="402">
        <v>0</v>
      </c>
      <c r="H128" s="402">
        <v>-495.2</v>
      </c>
      <c r="I128" s="402">
        <v>2532.49</v>
      </c>
      <c r="J128" s="402">
        <v>0</v>
      </c>
      <c r="K128" s="402">
        <v>0</v>
      </c>
      <c r="L128" s="402">
        <f t="shared" si="3"/>
        <v>18842.21</v>
      </c>
    </row>
    <row r="129" spans="1:12" ht="12.75" outlineLevel="1">
      <c r="A129" s="359" t="s">
        <v>377</v>
      </c>
      <c r="C129" s="411"/>
      <c r="D129" s="390" t="s">
        <v>378</v>
      </c>
      <c r="E129" s="412" t="str">
        <f t="shared" si="2"/>
        <v>KEVIN VANCE MEM SCH</v>
      </c>
      <c r="F129" s="398">
        <v>12115.72</v>
      </c>
      <c r="G129" s="402">
        <v>0</v>
      </c>
      <c r="H129" s="402">
        <v>-361.28</v>
      </c>
      <c r="I129" s="402">
        <v>1826.15</v>
      </c>
      <c r="J129" s="402">
        <v>0</v>
      </c>
      <c r="K129" s="402">
        <v>0</v>
      </c>
      <c r="L129" s="402">
        <f t="shared" si="3"/>
        <v>13580.589999999998</v>
      </c>
    </row>
    <row r="130" spans="1:12" ht="12.75" outlineLevel="1">
      <c r="A130" s="359" t="s">
        <v>379</v>
      </c>
      <c r="C130" s="411"/>
      <c r="D130" s="390" t="s">
        <v>380</v>
      </c>
      <c r="E130" s="412" t="str">
        <f t="shared" si="2"/>
        <v>WILLIAM VOLKER SCHP</v>
      </c>
      <c r="F130" s="398">
        <v>241913.42</v>
      </c>
      <c r="G130" s="402">
        <v>0</v>
      </c>
      <c r="H130" s="402">
        <v>-7213.3</v>
      </c>
      <c r="I130" s="402">
        <v>36462.79</v>
      </c>
      <c r="J130" s="402">
        <v>0</v>
      </c>
      <c r="K130" s="402">
        <v>0</v>
      </c>
      <c r="L130" s="402">
        <f t="shared" si="3"/>
        <v>271162.91000000003</v>
      </c>
    </row>
    <row r="131" spans="1:12" ht="12.75" outlineLevel="1">
      <c r="A131" s="359" t="s">
        <v>381</v>
      </c>
      <c r="C131" s="411"/>
      <c r="D131" s="390" t="s">
        <v>382</v>
      </c>
      <c r="E131" s="412" t="str">
        <f t="shared" si="2"/>
        <v>DENIS WARD SCHP</v>
      </c>
      <c r="F131" s="398">
        <v>3663.48</v>
      </c>
      <c r="G131" s="402">
        <v>100</v>
      </c>
      <c r="H131" s="402">
        <v>-3.16</v>
      </c>
      <c r="I131" s="402">
        <v>-203.03</v>
      </c>
      <c r="J131" s="402">
        <v>0</v>
      </c>
      <c r="K131" s="402">
        <v>3000</v>
      </c>
      <c r="L131" s="402">
        <f t="shared" si="3"/>
        <v>6557.29</v>
      </c>
    </row>
    <row r="132" spans="1:12" ht="12.75" outlineLevel="1">
      <c r="A132" s="359" t="s">
        <v>383</v>
      </c>
      <c r="C132" s="411"/>
      <c r="D132" s="390" t="s">
        <v>384</v>
      </c>
      <c r="E132" s="412" t="str">
        <f t="shared" si="2"/>
        <v>C B WATTS SCHP</v>
      </c>
      <c r="F132" s="398">
        <v>99997.89</v>
      </c>
      <c r="G132" s="402">
        <v>0</v>
      </c>
      <c r="H132" s="402">
        <v>-2981.71</v>
      </c>
      <c r="I132" s="402">
        <v>15072.34</v>
      </c>
      <c r="J132" s="402">
        <v>0</v>
      </c>
      <c r="K132" s="402">
        <v>0</v>
      </c>
      <c r="L132" s="402">
        <f t="shared" si="3"/>
        <v>112088.51999999999</v>
      </c>
    </row>
    <row r="133" spans="1:12" ht="12.75" outlineLevel="1">
      <c r="A133" s="359" t="s">
        <v>385</v>
      </c>
      <c r="C133" s="411"/>
      <c r="D133" s="390" t="s">
        <v>386</v>
      </c>
      <c r="E133" s="412" t="str">
        <f t="shared" si="2"/>
        <v>RONALD N WEST SCHP</v>
      </c>
      <c r="F133" s="398">
        <v>137581.39</v>
      </c>
      <c r="G133" s="402">
        <v>0</v>
      </c>
      <c r="H133" s="402">
        <v>-4102.36</v>
      </c>
      <c r="I133" s="402">
        <v>20737.18</v>
      </c>
      <c r="J133" s="402">
        <v>0</v>
      </c>
      <c r="K133" s="402">
        <v>0</v>
      </c>
      <c r="L133" s="402">
        <f t="shared" si="3"/>
        <v>154216.21000000002</v>
      </c>
    </row>
    <row r="134" spans="1:12" ht="12.75" outlineLevel="1">
      <c r="A134" s="359" t="s">
        <v>387</v>
      </c>
      <c r="C134" s="411"/>
      <c r="D134" s="390" t="s">
        <v>388</v>
      </c>
      <c r="E134" s="412" t="str">
        <f t="shared" si="2"/>
        <v>PROF ENGINEERS AUX</v>
      </c>
      <c r="F134" s="398">
        <v>16961.32</v>
      </c>
      <c r="G134" s="402">
        <v>429</v>
      </c>
      <c r="H134" s="402">
        <v>-490.42</v>
      </c>
      <c r="I134" s="402">
        <v>2594.6</v>
      </c>
      <c r="J134" s="402">
        <v>0</v>
      </c>
      <c r="K134" s="402">
        <v>0</v>
      </c>
      <c r="L134" s="402">
        <f t="shared" si="3"/>
        <v>19494.5</v>
      </c>
    </row>
    <row r="135" spans="1:12" ht="12.75" outlineLevel="1">
      <c r="A135" s="359" t="s">
        <v>389</v>
      </c>
      <c r="C135" s="411"/>
      <c r="D135" s="390" t="s">
        <v>390</v>
      </c>
      <c r="E135" s="412" t="str">
        <f t="shared" si="2"/>
        <v>WEST MO FRIENDS -MED</v>
      </c>
      <c r="F135" s="398">
        <v>11486.45</v>
      </c>
      <c r="G135" s="402">
        <v>520</v>
      </c>
      <c r="H135" s="402">
        <v>-286.63</v>
      </c>
      <c r="I135" s="402">
        <v>1833.26</v>
      </c>
      <c r="J135" s="402">
        <v>274</v>
      </c>
      <c r="K135" s="402">
        <v>2000</v>
      </c>
      <c r="L135" s="402">
        <f t="shared" si="3"/>
        <v>15279.080000000002</v>
      </c>
    </row>
    <row r="136" spans="1:12" ht="12.75" outlineLevel="1">
      <c r="A136" s="359" t="s">
        <v>391</v>
      </c>
      <c r="C136" s="411"/>
      <c r="D136" s="390" t="s">
        <v>392</v>
      </c>
      <c r="E136" s="412" t="str">
        <f t="shared" si="2"/>
        <v>WOMEN'S COMM CONSERV</v>
      </c>
      <c r="F136" s="398">
        <v>59679.81</v>
      </c>
      <c r="G136" s="402">
        <v>6210</v>
      </c>
      <c r="H136" s="402">
        <v>-1599.25</v>
      </c>
      <c r="I136" s="402">
        <v>9222.77</v>
      </c>
      <c r="J136" s="402">
        <v>0</v>
      </c>
      <c r="K136" s="402">
        <v>0</v>
      </c>
      <c r="L136" s="402">
        <f t="shared" si="3"/>
        <v>73513.33</v>
      </c>
    </row>
    <row r="137" spans="1:12" ht="12.75" outlineLevel="1">
      <c r="A137" s="359" t="s">
        <v>393</v>
      </c>
      <c r="C137" s="411"/>
      <c r="D137" s="390" t="s">
        <v>394</v>
      </c>
      <c r="E137" s="412" t="str">
        <f t="shared" si="2"/>
        <v>WHEELOCK SCHP</v>
      </c>
      <c r="F137" s="398">
        <v>14919.59</v>
      </c>
      <c r="G137" s="402">
        <v>0</v>
      </c>
      <c r="H137" s="402">
        <v>-444.87</v>
      </c>
      <c r="I137" s="402">
        <v>2248.78</v>
      </c>
      <c r="J137" s="402">
        <v>0</v>
      </c>
      <c r="K137" s="402">
        <v>0</v>
      </c>
      <c r="L137" s="402">
        <f t="shared" si="3"/>
        <v>16723.5</v>
      </c>
    </row>
    <row r="138" spans="1:12" ht="12.75" outlineLevel="1">
      <c r="A138" s="359" t="s">
        <v>395</v>
      </c>
      <c r="C138" s="411"/>
      <c r="D138" s="390" t="s">
        <v>396</v>
      </c>
      <c r="E138" s="412" t="str">
        <f aca="true" t="shared" si="4" ref="E138:E201">UPPER(D138)</f>
        <v>HAZEL B WILLIAMS SCH</v>
      </c>
      <c r="F138" s="398">
        <v>24486.2</v>
      </c>
      <c r="G138" s="402">
        <v>0</v>
      </c>
      <c r="H138" s="402">
        <v>-730.12</v>
      </c>
      <c r="I138" s="402">
        <v>3690.75</v>
      </c>
      <c r="J138" s="402">
        <v>0</v>
      </c>
      <c r="K138" s="402">
        <v>0</v>
      </c>
      <c r="L138" s="402">
        <f aca="true" t="shared" si="5" ref="L138:L201">F138+G138+H138+I138-J138+K138</f>
        <v>27446.83</v>
      </c>
    </row>
    <row r="139" spans="1:12" ht="12.75" outlineLevel="1">
      <c r="A139" s="359" t="s">
        <v>397</v>
      </c>
      <c r="C139" s="411"/>
      <c r="D139" s="390" t="s">
        <v>398</v>
      </c>
      <c r="E139" s="412" t="str">
        <f t="shared" si="4"/>
        <v>L &amp; H HILL SCHOL</v>
      </c>
      <c r="F139" s="398">
        <v>21416.29</v>
      </c>
      <c r="G139" s="402">
        <v>0</v>
      </c>
      <c r="H139" s="402">
        <v>-638.6</v>
      </c>
      <c r="I139" s="402">
        <v>3228.01</v>
      </c>
      <c r="J139" s="402">
        <v>0</v>
      </c>
      <c r="K139" s="402">
        <v>0</v>
      </c>
      <c r="L139" s="402">
        <f t="shared" si="5"/>
        <v>24005.700000000004</v>
      </c>
    </row>
    <row r="140" spans="1:12" ht="12.75" outlineLevel="1">
      <c r="A140" s="359" t="s">
        <v>399</v>
      </c>
      <c r="C140" s="411"/>
      <c r="D140" s="390" t="s">
        <v>400</v>
      </c>
      <c r="E140" s="412" t="str">
        <f t="shared" si="4"/>
        <v>C W ALLENDORFER-BANK</v>
      </c>
      <c r="F140" s="398">
        <v>100076.03</v>
      </c>
      <c r="G140" s="402">
        <v>0</v>
      </c>
      <c r="H140" s="402">
        <v>-410.57</v>
      </c>
      <c r="I140" s="402">
        <v>-5479.99</v>
      </c>
      <c r="J140" s="402">
        <v>0</v>
      </c>
      <c r="K140" s="402">
        <v>0</v>
      </c>
      <c r="L140" s="402">
        <f t="shared" si="5"/>
        <v>94185.46999999999</v>
      </c>
    </row>
    <row r="141" spans="1:12" ht="12.75" outlineLevel="1">
      <c r="A141" s="359" t="s">
        <v>401</v>
      </c>
      <c r="C141" s="411"/>
      <c r="D141" s="390" t="s">
        <v>402</v>
      </c>
      <c r="E141" s="412" t="str">
        <f t="shared" si="4"/>
        <v>ALUMNI REUNION FELL</v>
      </c>
      <c r="F141" s="398">
        <v>68210.44</v>
      </c>
      <c r="G141" s="402">
        <v>0</v>
      </c>
      <c r="H141" s="402">
        <v>-1451.44</v>
      </c>
      <c r="I141" s="402">
        <v>10303.92</v>
      </c>
      <c r="J141" s="402">
        <v>0</v>
      </c>
      <c r="K141" s="402">
        <v>0</v>
      </c>
      <c r="L141" s="402">
        <f t="shared" si="5"/>
        <v>77062.92</v>
      </c>
    </row>
    <row r="142" spans="1:12" ht="12.75" outlineLevel="1">
      <c r="A142" s="359" t="s">
        <v>403</v>
      </c>
      <c r="C142" s="411"/>
      <c r="D142" s="390" t="s">
        <v>404</v>
      </c>
      <c r="E142" s="412" t="str">
        <f t="shared" si="4"/>
        <v>C BALDRIDGE ENDOW</v>
      </c>
      <c r="F142" s="398">
        <v>100634.84</v>
      </c>
      <c r="G142" s="402">
        <v>0</v>
      </c>
      <c r="H142" s="402">
        <v>-3000.72</v>
      </c>
      <c r="I142" s="402">
        <v>15168.33</v>
      </c>
      <c r="J142" s="402">
        <v>0</v>
      </c>
      <c r="K142" s="402">
        <v>0</v>
      </c>
      <c r="L142" s="402">
        <f t="shared" si="5"/>
        <v>112802.45</v>
      </c>
    </row>
    <row r="143" spans="1:12" ht="12.75" outlineLevel="1">
      <c r="A143" s="359" t="s">
        <v>405</v>
      </c>
      <c r="C143" s="411"/>
      <c r="D143" s="390" t="s">
        <v>406</v>
      </c>
      <c r="E143" s="412" t="str">
        <f t="shared" si="4"/>
        <v>D BENJAMIN LIBR COLL</v>
      </c>
      <c r="F143" s="398">
        <v>9878.38</v>
      </c>
      <c r="G143" s="402">
        <v>0</v>
      </c>
      <c r="H143" s="402">
        <v>-294.55</v>
      </c>
      <c r="I143" s="402">
        <v>1488.92</v>
      </c>
      <c r="J143" s="402">
        <v>0</v>
      </c>
      <c r="K143" s="402">
        <v>0</v>
      </c>
      <c r="L143" s="402">
        <f t="shared" si="5"/>
        <v>11072.75</v>
      </c>
    </row>
    <row r="144" spans="1:12" ht="12.75" outlineLevel="1">
      <c r="A144" s="359" t="s">
        <v>407</v>
      </c>
      <c r="C144" s="411"/>
      <c r="D144" s="390" t="s">
        <v>408</v>
      </c>
      <c r="E144" s="412" t="str">
        <f t="shared" si="4"/>
        <v>MO CHR KIMBALL MRI</v>
      </c>
      <c r="F144" s="398">
        <v>1344687.4</v>
      </c>
      <c r="G144" s="402">
        <v>0</v>
      </c>
      <c r="H144" s="402">
        <v>-40095.56</v>
      </c>
      <c r="I144" s="402">
        <v>202680.19</v>
      </c>
      <c r="J144" s="402">
        <v>0</v>
      </c>
      <c r="K144" s="402">
        <v>0</v>
      </c>
      <c r="L144" s="402">
        <f t="shared" si="5"/>
        <v>1507272.0299999998</v>
      </c>
    </row>
    <row r="145" spans="1:12" ht="12.75" outlineLevel="1">
      <c r="A145" s="359" t="s">
        <v>409</v>
      </c>
      <c r="C145" s="411"/>
      <c r="D145" s="390" t="s">
        <v>410</v>
      </c>
      <c r="E145" s="412" t="str">
        <f t="shared" si="4"/>
        <v>H BONFILS PROF CONSV</v>
      </c>
      <c r="F145" s="398">
        <v>247686.18</v>
      </c>
      <c r="G145" s="402">
        <v>0</v>
      </c>
      <c r="H145" s="402">
        <v>-7385.45</v>
      </c>
      <c r="I145" s="402">
        <v>37332.9</v>
      </c>
      <c r="J145" s="402">
        <v>0</v>
      </c>
      <c r="K145" s="402">
        <v>0</v>
      </c>
      <c r="L145" s="402">
        <f t="shared" si="5"/>
        <v>277633.63</v>
      </c>
    </row>
    <row r="146" spans="1:12" ht="12.75" outlineLevel="1">
      <c r="A146" s="359" t="s">
        <v>411</v>
      </c>
      <c r="C146" s="411"/>
      <c r="D146" s="390" t="s">
        <v>412</v>
      </c>
      <c r="E146" s="412" t="str">
        <f t="shared" si="4"/>
        <v>BRENNER FAC AWD</v>
      </c>
      <c r="F146" s="398">
        <v>67398.95</v>
      </c>
      <c r="G146" s="402">
        <v>0</v>
      </c>
      <c r="H146" s="402">
        <v>-271.53</v>
      </c>
      <c r="I146" s="402">
        <v>-4838.51</v>
      </c>
      <c r="J146" s="402">
        <v>0</v>
      </c>
      <c r="K146" s="402">
        <v>0</v>
      </c>
      <c r="L146" s="402">
        <f t="shared" si="5"/>
        <v>62288.909999999996</v>
      </c>
    </row>
    <row r="147" spans="1:13" ht="12.75" outlineLevel="1">
      <c r="A147" s="359" t="s">
        <v>413</v>
      </c>
      <c r="C147" s="411"/>
      <c r="D147" s="390" t="s">
        <v>414</v>
      </c>
      <c r="E147" s="381" t="str">
        <f t="shared" si="4"/>
        <v>BUTLER FDN FELLOW</v>
      </c>
      <c r="F147" s="401">
        <v>9135.35</v>
      </c>
      <c r="G147" s="402">
        <v>0</v>
      </c>
      <c r="H147" s="402">
        <v>-37.47</v>
      </c>
      <c r="I147" s="402">
        <v>-500.25</v>
      </c>
      <c r="J147" s="402">
        <v>0</v>
      </c>
      <c r="K147" s="402">
        <v>0</v>
      </c>
      <c r="L147" s="402">
        <f t="shared" si="5"/>
        <v>8597.630000000001</v>
      </c>
      <c r="M147" s="411"/>
    </row>
    <row r="148" spans="1:14" s="441" customFormat="1" ht="12.75" outlineLevel="1">
      <c r="A148" s="441" t="s">
        <v>415</v>
      </c>
      <c r="B148" s="442"/>
      <c r="C148" s="411"/>
      <c r="D148" s="411" t="s">
        <v>416</v>
      </c>
      <c r="E148" s="443" t="str">
        <f t="shared" si="4"/>
        <v>CHAPMAN ENDOWMENT</v>
      </c>
      <c r="F148" s="444">
        <v>1294431.86</v>
      </c>
      <c r="G148" s="445">
        <v>0</v>
      </c>
      <c r="H148" s="445">
        <v>-38597.06</v>
      </c>
      <c r="I148" s="445">
        <v>195105.32</v>
      </c>
      <c r="J148" s="445">
        <v>0</v>
      </c>
      <c r="K148" s="445">
        <v>0</v>
      </c>
      <c r="L148" s="445">
        <f t="shared" si="5"/>
        <v>1450940.12</v>
      </c>
      <c r="M148" s="408"/>
      <c r="N148" s="446"/>
    </row>
    <row r="149" spans="1:12" ht="12.75" outlineLevel="1">
      <c r="A149" s="359" t="s">
        <v>417</v>
      </c>
      <c r="C149" s="411"/>
      <c r="D149" s="390" t="s">
        <v>418</v>
      </c>
      <c r="E149" s="412" t="str">
        <f t="shared" si="4"/>
        <v>C B COCKEFAIR CHAIR</v>
      </c>
      <c r="F149" s="398">
        <v>471288.06</v>
      </c>
      <c r="G149" s="402">
        <v>166.21</v>
      </c>
      <c r="H149" s="402">
        <v>-9266.63</v>
      </c>
      <c r="I149" s="402">
        <v>71116.01</v>
      </c>
      <c r="J149" s="402">
        <v>0</v>
      </c>
      <c r="K149" s="402">
        <v>0</v>
      </c>
      <c r="L149" s="402">
        <f t="shared" si="5"/>
        <v>533303.65</v>
      </c>
    </row>
    <row r="150" spans="1:12" ht="12.75" outlineLevel="1">
      <c r="A150" s="359" t="s">
        <v>419</v>
      </c>
      <c r="C150" s="411"/>
      <c r="D150" s="390" t="s">
        <v>420</v>
      </c>
      <c r="E150" s="412" t="str">
        <f t="shared" si="4"/>
        <v>DALEE FUND</v>
      </c>
      <c r="F150" s="398">
        <v>18513.95</v>
      </c>
      <c r="G150" s="402">
        <v>0</v>
      </c>
      <c r="H150" s="402">
        <v>-552.04</v>
      </c>
      <c r="I150" s="402">
        <v>2790.54</v>
      </c>
      <c r="J150" s="402">
        <v>0</v>
      </c>
      <c r="K150" s="402">
        <v>0</v>
      </c>
      <c r="L150" s="402">
        <f t="shared" si="5"/>
        <v>20752.45</v>
      </c>
    </row>
    <row r="151" spans="1:12" ht="12.75" outlineLevel="1">
      <c r="A151" s="359" t="s">
        <v>421</v>
      </c>
      <c r="C151" s="411"/>
      <c r="D151" s="390" t="s">
        <v>422</v>
      </c>
      <c r="E151" s="412" t="str">
        <f t="shared" si="4"/>
        <v>DEAN'S OPPORTUN FD</v>
      </c>
      <c r="F151" s="398">
        <v>425974.54</v>
      </c>
      <c r="G151" s="402">
        <v>60000</v>
      </c>
      <c r="H151" s="402">
        <v>-12383.96</v>
      </c>
      <c r="I151" s="402">
        <v>65301.66</v>
      </c>
      <c r="J151" s="402">
        <v>0</v>
      </c>
      <c r="K151" s="402">
        <v>0</v>
      </c>
      <c r="L151" s="402">
        <f t="shared" si="5"/>
        <v>538892.24</v>
      </c>
    </row>
    <row r="152" spans="1:12" ht="12.75" outlineLevel="1">
      <c r="A152" s="359" t="s">
        <v>423</v>
      </c>
      <c r="C152" s="411"/>
      <c r="D152" s="390" t="s">
        <v>424</v>
      </c>
      <c r="E152" s="412" t="str">
        <f t="shared" si="4"/>
        <v>ERNEST DICK LECT FD</v>
      </c>
      <c r="F152" s="398">
        <v>21516.17</v>
      </c>
      <c r="G152" s="402">
        <v>25</v>
      </c>
      <c r="H152" s="402">
        <v>-640.87</v>
      </c>
      <c r="I152" s="402">
        <v>3244.41</v>
      </c>
      <c r="J152" s="402">
        <v>0</v>
      </c>
      <c r="K152" s="402">
        <v>0</v>
      </c>
      <c r="L152" s="402">
        <f t="shared" si="5"/>
        <v>24144.71</v>
      </c>
    </row>
    <row r="153" spans="1:12" ht="12.75" outlineLevel="1">
      <c r="A153" s="359" t="s">
        <v>425</v>
      </c>
      <c r="C153" s="411"/>
      <c r="D153" s="390" t="s">
        <v>426</v>
      </c>
      <c r="E153" s="412" t="str">
        <f t="shared" si="4"/>
        <v>DIMOND TAKE WING FND</v>
      </c>
      <c r="F153" s="398">
        <v>53613.74</v>
      </c>
      <c r="G153" s="402">
        <v>0</v>
      </c>
      <c r="H153" s="402">
        <v>-1598.66</v>
      </c>
      <c r="I153" s="402">
        <v>8081.02</v>
      </c>
      <c r="J153" s="402">
        <v>0</v>
      </c>
      <c r="K153" s="402">
        <v>0</v>
      </c>
      <c r="L153" s="402">
        <f t="shared" si="5"/>
        <v>60096.09999999999</v>
      </c>
    </row>
    <row r="154" spans="1:12" ht="12.75" outlineLevel="1">
      <c r="A154" s="359" t="s">
        <v>427</v>
      </c>
      <c r="C154" s="411"/>
      <c r="D154" s="390" t="s">
        <v>428</v>
      </c>
      <c r="E154" s="412" t="str">
        <f t="shared" si="4"/>
        <v>MED SCH ALUMNI BALL</v>
      </c>
      <c r="F154" s="398">
        <v>43182.69</v>
      </c>
      <c r="G154" s="402">
        <v>0</v>
      </c>
      <c r="H154" s="402">
        <v>-1226.73</v>
      </c>
      <c r="I154" s="402">
        <v>6636.14</v>
      </c>
      <c r="J154" s="402">
        <v>0</v>
      </c>
      <c r="K154" s="402">
        <v>0</v>
      </c>
      <c r="L154" s="402">
        <f t="shared" si="5"/>
        <v>48592.1</v>
      </c>
    </row>
    <row r="155" spans="1:12" ht="12.75" outlineLevel="1">
      <c r="A155" s="359" t="s">
        <v>429</v>
      </c>
      <c r="C155" s="411"/>
      <c r="D155" s="390" t="s">
        <v>430</v>
      </c>
      <c r="E155" s="412" t="str">
        <f t="shared" si="4"/>
        <v>MO. CHAIR - DIVELEY</v>
      </c>
      <c r="F155" s="398">
        <v>1904647.96</v>
      </c>
      <c r="G155" s="402">
        <v>0</v>
      </c>
      <c r="H155" s="402">
        <v>-56792.32</v>
      </c>
      <c r="I155" s="402">
        <v>287081.11</v>
      </c>
      <c r="J155" s="402">
        <v>0</v>
      </c>
      <c r="K155" s="402">
        <v>0</v>
      </c>
      <c r="L155" s="402">
        <f t="shared" si="5"/>
        <v>2134936.75</v>
      </c>
    </row>
    <row r="156" spans="1:12" ht="12.75" outlineLevel="1">
      <c r="A156" s="359" t="s">
        <v>431</v>
      </c>
      <c r="C156" s="411"/>
      <c r="D156" s="390" t="s">
        <v>432</v>
      </c>
      <c r="E156" s="412" t="str">
        <f t="shared" si="4"/>
        <v>ENG GOOD TEACH AWARD</v>
      </c>
      <c r="F156" s="398">
        <v>25601.26</v>
      </c>
      <c r="G156" s="402">
        <v>0</v>
      </c>
      <c r="H156" s="402">
        <v>-763.36</v>
      </c>
      <c r="I156" s="402">
        <v>3858.81</v>
      </c>
      <c r="J156" s="402">
        <v>0</v>
      </c>
      <c r="K156" s="402">
        <v>0</v>
      </c>
      <c r="L156" s="402">
        <f t="shared" si="5"/>
        <v>28696.71</v>
      </c>
    </row>
    <row r="157" spans="1:12" ht="12.75" outlineLevel="1">
      <c r="A157" s="359" t="s">
        <v>433</v>
      </c>
      <c r="C157" s="411"/>
      <c r="D157" s="390" t="s">
        <v>434</v>
      </c>
      <c r="E157" s="412" t="str">
        <f t="shared" si="4"/>
        <v>MMD MO PROF ENTREPRE</v>
      </c>
      <c r="F157" s="398">
        <v>1230073.23</v>
      </c>
      <c r="G157" s="402">
        <v>0</v>
      </c>
      <c r="H157" s="402">
        <v>-36678.03</v>
      </c>
      <c r="I157" s="402">
        <v>185404.79</v>
      </c>
      <c r="J157" s="402">
        <v>0</v>
      </c>
      <c r="K157" s="402">
        <v>0</v>
      </c>
      <c r="L157" s="402">
        <f t="shared" si="5"/>
        <v>1378799.99</v>
      </c>
    </row>
    <row r="158" spans="1:12" ht="12.75" outlineLevel="1">
      <c r="A158" s="359" t="s">
        <v>435</v>
      </c>
      <c r="C158" s="411"/>
      <c r="D158" s="390" t="s">
        <v>436</v>
      </c>
      <c r="E158" s="412" t="str">
        <f t="shared" si="4"/>
        <v>MMD MO PROF BIOLOGY</v>
      </c>
      <c r="F158" s="398">
        <v>792068.54</v>
      </c>
      <c r="G158" s="402">
        <v>0</v>
      </c>
      <c r="H158" s="402">
        <v>-23617.7</v>
      </c>
      <c r="I158" s="402">
        <v>119385.79</v>
      </c>
      <c r="J158" s="402">
        <v>0</v>
      </c>
      <c r="K158" s="402">
        <v>0</v>
      </c>
      <c r="L158" s="402">
        <f t="shared" si="5"/>
        <v>887836.6300000001</v>
      </c>
    </row>
    <row r="159" spans="1:13" ht="12.75" outlineLevel="1">
      <c r="A159" s="359" t="s">
        <v>437</v>
      </c>
      <c r="C159" s="411"/>
      <c r="D159" s="390" t="s">
        <v>438</v>
      </c>
      <c r="E159" s="381" t="str">
        <f t="shared" si="4"/>
        <v>FELD END FOR LETTERS</v>
      </c>
      <c r="F159" s="401">
        <v>447586.49</v>
      </c>
      <c r="G159" s="402">
        <v>0</v>
      </c>
      <c r="H159" s="402">
        <v>12606.2</v>
      </c>
      <c r="I159" s="402">
        <v>29255.88</v>
      </c>
      <c r="J159" s="402">
        <v>0</v>
      </c>
      <c r="K159" s="402">
        <v>-12734.98</v>
      </c>
      <c r="L159" s="402">
        <f t="shared" si="5"/>
        <v>476713.59</v>
      </c>
      <c r="M159" s="411"/>
    </row>
    <row r="160" spans="1:14" s="441" customFormat="1" ht="12.75" outlineLevel="1">
      <c r="A160" s="441" t="s">
        <v>439</v>
      </c>
      <c r="B160" s="442"/>
      <c r="C160" s="411"/>
      <c r="D160" s="411" t="s">
        <v>440</v>
      </c>
      <c r="E160" s="443" t="str">
        <f t="shared" si="4"/>
        <v>GERSHON HADAS JUDACI</v>
      </c>
      <c r="F160" s="444">
        <v>9737.03</v>
      </c>
      <c r="G160" s="445">
        <v>0</v>
      </c>
      <c r="H160" s="445">
        <v>-290.34</v>
      </c>
      <c r="I160" s="445">
        <v>1467.65</v>
      </c>
      <c r="J160" s="445">
        <v>0</v>
      </c>
      <c r="K160" s="445">
        <v>0</v>
      </c>
      <c r="L160" s="445">
        <f t="shared" si="5"/>
        <v>10914.34</v>
      </c>
      <c r="M160" s="408"/>
      <c r="N160" s="446"/>
    </row>
    <row r="161" spans="1:12" ht="12.75" outlineLevel="1">
      <c r="A161" s="359" t="s">
        <v>1090</v>
      </c>
      <c r="C161" s="411"/>
      <c r="D161" s="390" t="s">
        <v>1091</v>
      </c>
      <c r="E161" s="412" t="str">
        <f t="shared" si="4"/>
        <v>WILLIAM GRANT MO PRF</v>
      </c>
      <c r="F161" s="398">
        <v>0</v>
      </c>
      <c r="G161" s="402">
        <v>550000</v>
      </c>
      <c r="H161" s="402">
        <v>2911.63</v>
      </c>
      <c r="I161" s="402">
        <v>10046.13</v>
      </c>
      <c r="J161" s="402">
        <v>0</v>
      </c>
      <c r="K161" s="402">
        <v>0</v>
      </c>
      <c r="L161" s="402">
        <f t="shared" si="5"/>
        <v>562957.76</v>
      </c>
    </row>
    <row r="162" spans="1:12" ht="12.75" outlineLevel="1">
      <c r="A162" s="359" t="s">
        <v>441</v>
      </c>
      <c r="C162" s="411"/>
      <c r="D162" s="390" t="s">
        <v>442</v>
      </c>
      <c r="E162" s="412" t="str">
        <f t="shared" si="4"/>
        <v>HARZFELD CHAIR-BU AD</v>
      </c>
      <c r="F162" s="398">
        <v>390171.78</v>
      </c>
      <c r="G162" s="402">
        <v>0</v>
      </c>
      <c r="H162" s="402">
        <v>-11634.05</v>
      </c>
      <c r="I162" s="402">
        <v>58809.26</v>
      </c>
      <c r="J162" s="402">
        <v>0</v>
      </c>
      <c r="K162" s="402">
        <v>0</v>
      </c>
      <c r="L162" s="402">
        <f t="shared" si="5"/>
        <v>437346.99000000005</v>
      </c>
    </row>
    <row r="163" spans="1:12" ht="12.75" outlineLevel="1">
      <c r="A163" s="359" t="s">
        <v>443</v>
      </c>
      <c r="C163" s="411"/>
      <c r="D163" s="390" t="s">
        <v>444</v>
      </c>
      <c r="E163" s="412" t="str">
        <f t="shared" si="4"/>
        <v>HASHINGER PROF-MED</v>
      </c>
      <c r="F163" s="398">
        <v>242228.31</v>
      </c>
      <c r="G163" s="402">
        <v>0</v>
      </c>
      <c r="H163" s="402">
        <v>-7222.7</v>
      </c>
      <c r="I163" s="402">
        <v>36510.26</v>
      </c>
      <c r="J163" s="402">
        <v>0</v>
      </c>
      <c r="K163" s="402">
        <v>0</v>
      </c>
      <c r="L163" s="402">
        <f t="shared" si="5"/>
        <v>271515.87</v>
      </c>
    </row>
    <row r="164" spans="1:12" ht="12.75" outlineLevel="1">
      <c r="A164" s="359" t="s">
        <v>445</v>
      </c>
      <c r="C164" s="411"/>
      <c r="D164" s="390" t="s">
        <v>446</v>
      </c>
      <c r="E164" s="412" t="str">
        <f t="shared" si="4"/>
        <v>MO CHAIR - HICKLIN</v>
      </c>
      <c r="F164" s="398">
        <v>1672480.48</v>
      </c>
      <c r="G164" s="402">
        <v>0</v>
      </c>
      <c r="H164" s="402">
        <v>-49869.61</v>
      </c>
      <c r="I164" s="402">
        <v>252087.3</v>
      </c>
      <c r="J164" s="402">
        <v>0</v>
      </c>
      <c r="K164" s="402">
        <v>0</v>
      </c>
      <c r="L164" s="402">
        <f t="shared" si="5"/>
        <v>1874698.17</v>
      </c>
    </row>
    <row r="165" spans="1:12" ht="12.75" outlineLevel="1">
      <c r="A165" s="359" t="s">
        <v>447</v>
      </c>
      <c r="C165" s="411"/>
      <c r="D165" s="390" t="s">
        <v>448</v>
      </c>
      <c r="E165" s="412" t="str">
        <f t="shared" si="4"/>
        <v>F HOFFMAN MEM</v>
      </c>
      <c r="F165" s="398">
        <v>22899.68</v>
      </c>
      <c r="G165" s="402">
        <v>0</v>
      </c>
      <c r="H165" s="402">
        <v>-93.94</v>
      </c>
      <c r="I165" s="402">
        <v>-1253.93</v>
      </c>
      <c r="J165" s="402">
        <v>0</v>
      </c>
      <c r="K165" s="402">
        <v>0</v>
      </c>
      <c r="L165" s="402">
        <f t="shared" si="5"/>
        <v>21551.81</v>
      </c>
    </row>
    <row r="166" spans="1:12" ht="12.75" outlineLevel="1">
      <c r="A166" s="359" t="s">
        <v>449</v>
      </c>
      <c r="C166" s="411"/>
      <c r="D166" s="390" t="s">
        <v>450</v>
      </c>
      <c r="E166" s="412" t="str">
        <f t="shared" si="4"/>
        <v>R HULEN PROF-URB AFF</v>
      </c>
      <c r="F166" s="398">
        <v>752347.89</v>
      </c>
      <c r="G166" s="402">
        <v>0</v>
      </c>
      <c r="H166" s="402">
        <v>-22433.35</v>
      </c>
      <c r="I166" s="402">
        <v>113398.84</v>
      </c>
      <c r="J166" s="402">
        <v>0</v>
      </c>
      <c r="K166" s="402">
        <v>0</v>
      </c>
      <c r="L166" s="402">
        <f t="shared" si="5"/>
        <v>843313.38</v>
      </c>
    </row>
    <row r="167" spans="1:12" ht="12.75" outlineLevel="1">
      <c r="A167" s="359" t="s">
        <v>451</v>
      </c>
      <c r="C167" s="411"/>
      <c r="D167" s="390" t="s">
        <v>452</v>
      </c>
      <c r="E167" s="412" t="str">
        <f t="shared" si="4"/>
        <v>J P KEM LIBRARY END</v>
      </c>
      <c r="F167" s="398">
        <v>13239.92</v>
      </c>
      <c r="G167" s="402">
        <v>0</v>
      </c>
      <c r="H167" s="402">
        <v>-54.31</v>
      </c>
      <c r="I167" s="402">
        <v>-725</v>
      </c>
      <c r="J167" s="402">
        <v>0</v>
      </c>
      <c r="K167" s="402">
        <v>0</v>
      </c>
      <c r="L167" s="402">
        <f t="shared" si="5"/>
        <v>12460.61</v>
      </c>
    </row>
    <row r="168" spans="1:12" ht="12.75" outlineLevel="1">
      <c r="A168" s="359" t="s">
        <v>453</v>
      </c>
      <c r="C168" s="411"/>
      <c r="D168" s="390" t="s">
        <v>454</v>
      </c>
      <c r="E168" s="412" t="str">
        <f t="shared" si="4"/>
        <v>KAUFFMAN MO CHR EDU</v>
      </c>
      <c r="F168" s="398">
        <v>1287366.1</v>
      </c>
      <c r="G168" s="402">
        <v>0</v>
      </c>
      <c r="H168" s="402">
        <v>-38386.37</v>
      </c>
      <c r="I168" s="402">
        <v>194040.35</v>
      </c>
      <c r="J168" s="402">
        <v>0</v>
      </c>
      <c r="K168" s="402">
        <v>0</v>
      </c>
      <c r="L168" s="402">
        <f t="shared" si="5"/>
        <v>1443020.08</v>
      </c>
    </row>
    <row r="169" spans="1:12" ht="12.75" outlineLevel="1">
      <c r="A169" s="359" t="s">
        <v>455</v>
      </c>
      <c r="C169" s="411"/>
      <c r="D169" s="390" t="s">
        <v>456</v>
      </c>
      <c r="E169" s="412" t="str">
        <f t="shared" si="4"/>
        <v>KAUFFMAN MO CHR INT</v>
      </c>
      <c r="F169" s="398">
        <v>1287054.82</v>
      </c>
      <c r="G169" s="402">
        <v>0</v>
      </c>
      <c r="H169" s="402">
        <v>-38377.11</v>
      </c>
      <c r="I169" s="402">
        <v>193993.41</v>
      </c>
      <c r="J169" s="402">
        <v>0</v>
      </c>
      <c r="K169" s="402">
        <v>0</v>
      </c>
      <c r="L169" s="402">
        <f t="shared" si="5"/>
        <v>1442671.1199999999</v>
      </c>
    </row>
    <row r="170" spans="1:12" ht="12.75" outlineLevel="1">
      <c r="A170" s="359" t="s">
        <v>457</v>
      </c>
      <c r="C170" s="411"/>
      <c r="D170" s="390" t="s">
        <v>458</v>
      </c>
      <c r="E170" s="412" t="str">
        <f t="shared" si="4"/>
        <v>KAUFFMAN MO CHR III</v>
      </c>
      <c r="F170" s="398">
        <v>1287054.81</v>
      </c>
      <c r="G170" s="402">
        <v>0</v>
      </c>
      <c r="H170" s="402">
        <v>-38377.11</v>
      </c>
      <c r="I170" s="402">
        <v>193993.42</v>
      </c>
      <c r="J170" s="402">
        <v>0</v>
      </c>
      <c r="K170" s="402">
        <v>0</v>
      </c>
      <c r="L170" s="402">
        <f t="shared" si="5"/>
        <v>1442671.1199999999</v>
      </c>
    </row>
    <row r="171" spans="1:12" ht="12.75" outlineLevel="1">
      <c r="A171" s="359" t="s">
        <v>459</v>
      </c>
      <c r="C171" s="411"/>
      <c r="D171" s="390" t="s">
        <v>460</v>
      </c>
      <c r="E171" s="412" t="str">
        <f t="shared" si="4"/>
        <v>CLARENCE KIVETT END</v>
      </c>
      <c r="F171" s="398">
        <v>16402.19</v>
      </c>
      <c r="G171" s="402">
        <v>0</v>
      </c>
      <c r="H171" s="402">
        <v>-489.08</v>
      </c>
      <c r="I171" s="402">
        <v>2472.24</v>
      </c>
      <c r="J171" s="402">
        <v>0</v>
      </c>
      <c r="K171" s="402">
        <v>0</v>
      </c>
      <c r="L171" s="402">
        <f t="shared" si="5"/>
        <v>18385.35</v>
      </c>
    </row>
    <row r="172" spans="1:12" ht="12.75" outlineLevel="1">
      <c r="A172" s="359" t="s">
        <v>461</v>
      </c>
      <c r="C172" s="411"/>
      <c r="D172" s="390" t="s">
        <v>462</v>
      </c>
      <c r="E172" s="412" t="str">
        <f t="shared" si="4"/>
        <v>LABUDDE ENDOWMENT</v>
      </c>
      <c r="F172" s="398">
        <v>39153.27</v>
      </c>
      <c r="G172" s="402">
        <v>340712.58</v>
      </c>
      <c r="H172" s="402">
        <v>744.46</v>
      </c>
      <c r="I172" s="402">
        <v>-10969.63</v>
      </c>
      <c r="J172" s="402">
        <v>0</v>
      </c>
      <c r="K172" s="402">
        <v>0</v>
      </c>
      <c r="L172" s="402">
        <f t="shared" si="5"/>
        <v>369640.68000000005</v>
      </c>
    </row>
    <row r="173" spans="1:12" ht="12.75" outlineLevel="1">
      <c r="A173" s="359" t="s">
        <v>463</v>
      </c>
      <c r="C173" s="411"/>
      <c r="D173" s="390" t="s">
        <v>464</v>
      </c>
      <c r="E173" s="412" t="str">
        <f t="shared" si="4"/>
        <v>LEVITT PROF IN HUM</v>
      </c>
      <c r="F173" s="398">
        <v>356012.97</v>
      </c>
      <c r="G173" s="402">
        <v>0</v>
      </c>
      <c r="H173" s="402">
        <v>-10615.51</v>
      </c>
      <c r="I173" s="402">
        <v>53660.61</v>
      </c>
      <c r="J173" s="402">
        <v>0</v>
      </c>
      <c r="K173" s="402">
        <v>0</v>
      </c>
      <c r="L173" s="402">
        <f t="shared" si="5"/>
        <v>399058.06999999995</v>
      </c>
    </row>
    <row r="174" spans="1:12" ht="12.75" outlineLevel="1">
      <c r="A174" s="359" t="s">
        <v>465</v>
      </c>
      <c r="C174" s="411"/>
      <c r="D174" s="390" t="s">
        <v>466</v>
      </c>
      <c r="E174" s="412" t="str">
        <f t="shared" si="4"/>
        <v>M MARTINEZ-CARRION BIO SC LEC</v>
      </c>
      <c r="F174" s="398">
        <v>20562.63</v>
      </c>
      <c r="G174" s="402">
        <v>0</v>
      </c>
      <c r="H174" s="402">
        <v>-613.11</v>
      </c>
      <c r="I174" s="402">
        <v>3099.35</v>
      </c>
      <c r="J174" s="402">
        <v>0</v>
      </c>
      <c r="K174" s="402">
        <v>0</v>
      </c>
      <c r="L174" s="402">
        <f t="shared" si="5"/>
        <v>23048.87</v>
      </c>
    </row>
    <row r="175" spans="1:12" ht="12.75" outlineLevel="1">
      <c r="A175" s="359" t="s">
        <v>467</v>
      </c>
      <c r="C175" s="411"/>
      <c r="D175" s="390" t="s">
        <v>468</v>
      </c>
      <c r="E175" s="412" t="str">
        <f t="shared" si="4"/>
        <v>SOL MARGOLIN EDUC FD</v>
      </c>
      <c r="F175" s="398">
        <v>11157.99</v>
      </c>
      <c r="G175" s="402">
        <v>0</v>
      </c>
      <c r="H175" s="402">
        <v>-332.71</v>
      </c>
      <c r="I175" s="402">
        <v>1681.83</v>
      </c>
      <c r="J175" s="402">
        <v>0</v>
      </c>
      <c r="K175" s="402">
        <v>0</v>
      </c>
      <c r="L175" s="402">
        <f t="shared" si="5"/>
        <v>12507.11</v>
      </c>
    </row>
    <row r="176" spans="1:12" ht="12.75" outlineLevel="1">
      <c r="A176" s="359" t="s">
        <v>469</v>
      </c>
      <c r="C176" s="411"/>
      <c r="D176" s="390" t="s">
        <v>470</v>
      </c>
      <c r="E176" s="412" t="str">
        <f t="shared" si="4"/>
        <v>E W &amp; K R MARES LIB</v>
      </c>
      <c r="F176" s="398">
        <v>29128.86</v>
      </c>
      <c r="G176" s="402">
        <v>0</v>
      </c>
      <c r="H176" s="402">
        <v>-868.56</v>
      </c>
      <c r="I176" s="402">
        <v>4390.51</v>
      </c>
      <c r="J176" s="402">
        <v>0</v>
      </c>
      <c r="K176" s="402">
        <v>0</v>
      </c>
      <c r="L176" s="402">
        <f t="shared" si="5"/>
        <v>32650.809999999998</v>
      </c>
    </row>
    <row r="177" spans="1:12" ht="12.75" outlineLevel="1">
      <c r="A177" s="359" t="s">
        <v>471</v>
      </c>
      <c r="C177" s="411"/>
      <c r="D177" s="390" t="s">
        <v>472</v>
      </c>
      <c r="E177" s="412" t="str">
        <f t="shared" si="4"/>
        <v>L S C MILLSAP PROF</v>
      </c>
      <c r="F177" s="398">
        <v>675011.47</v>
      </c>
      <c r="G177" s="402">
        <v>0</v>
      </c>
      <c r="H177" s="402">
        <v>-2765.87</v>
      </c>
      <c r="I177" s="402">
        <v>-37758.15</v>
      </c>
      <c r="J177" s="402">
        <v>0</v>
      </c>
      <c r="K177" s="402">
        <v>0</v>
      </c>
      <c r="L177" s="402">
        <f t="shared" si="5"/>
        <v>634487.45</v>
      </c>
    </row>
    <row r="178" spans="1:12" ht="12.75" outlineLevel="1">
      <c r="A178" s="359" t="s">
        <v>473</v>
      </c>
      <c r="C178" s="411"/>
      <c r="D178" s="390" t="s">
        <v>474</v>
      </c>
      <c r="E178" s="412" t="str">
        <f t="shared" si="4"/>
        <v>R A C MILLSAP PROF</v>
      </c>
      <c r="F178" s="398">
        <v>657716.33</v>
      </c>
      <c r="G178" s="402">
        <v>0</v>
      </c>
      <c r="H178" s="402">
        <v>-2694.91</v>
      </c>
      <c r="I178" s="402">
        <v>-36811.11</v>
      </c>
      <c r="J178" s="402">
        <v>0</v>
      </c>
      <c r="K178" s="402">
        <v>0</v>
      </c>
      <c r="L178" s="402">
        <f t="shared" si="5"/>
        <v>618210.3099999999</v>
      </c>
    </row>
    <row r="179" spans="1:12" ht="12.75" outlineLevel="1">
      <c r="A179" s="359" t="s">
        <v>475</v>
      </c>
      <c r="C179" s="411"/>
      <c r="D179" s="390" t="s">
        <v>476</v>
      </c>
      <c r="E179" s="412" t="str">
        <f t="shared" si="4"/>
        <v>MO CHAIR MMD BIO SCI</v>
      </c>
      <c r="F179" s="398">
        <v>2298244.31</v>
      </c>
      <c r="G179" s="402">
        <v>0</v>
      </c>
      <c r="H179" s="402">
        <v>-68528.51</v>
      </c>
      <c r="I179" s="402">
        <v>346406.58</v>
      </c>
      <c r="J179" s="402">
        <v>0</v>
      </c>
      <c r="K179" s="402">
        <v>0</v>
      </c>
      <c r="L179" s="402">
        <f t="shared" si="5"/>
        <v>2576122.3800000004</v>
      </c>
    </row>
    <row r="180" spans="1:12" ht="12.75" outlineLevel="1">
      <c r="A180" s="359" t="s">
        <v>477</v>
      </c>
      <c r="C180" s="411"/>
      <c r="D180" s="390" t="s">
        <v>478</v>
      </c>
      <c r="E180" s="412" t="str">
        <f t="shared" si="4"/>
        <v>MED SCHOOL AWD SERV</v>
      </c>
      <c r="F180" s="398">
        <v>11430.33</v>
      </c>
      <c r="G180" s="402">
        <v>0</v>
      </c>
      <c r="H180" s="402">
        <v>-46.89</v>
      </c>
      <c r="I180" s="402">
        <v>-625.9</v>
      </c>
      <c r="J180" s="402">
        <v>0</v>
      </c>
      <c r="K180" s="402">
        <v>0</v>
      </c>
      <c r="L180" s="402">
        <f t="shared" si="5"/>
        <v>10757.54</v>
      </c>
    </row>
    <row r="181" spans="1:12" ht="12.75" outlineLevel="1">
      <c r="A181" s="359" t="s">
        <v>479</v>
      </c>
      <c r="C181" s="411"/>
      <c r="D181" s="390" t="s">
        <v>480</v>
      </c>
      <c r="E181" s="412" t="str">
        <f t="shared" si="4"/>
        <v>MENN LIBRARY FUND</v>
      </c>
      <c r="F181" s="398">
        <v>5920.9</v>
      </c>
      <c r="G181" s="402">
        <v>0</v>
      </c>
      <c r="H181" s="402">
        <v>-176.56</v>
      </c>
      <c r="I181" s="402">
        <v>892.46</v>
      </c>
      <c r="J181" s="402">
        <v>0</v>
      </c>
      <c r="K181" s="402">
        <v>0</v>
      </c>
      <c r="L181" s="402">
        <f t="shared" si="5"/>
        <v>6636.799999999999</v>
      </c>
    </row>
    <row r="182" spans="1:12" ht="12.75" outlineLevel="1">
      <c r="A182" s="359" t="s">
        <v>481</v>
      </c>
      <c r="C182" s="411"/>
      <c r="D182" s="390" t="s">
        <v>482</v>
      </c>
      <c r="E182" s="412" t="str">
        <f t="shared" si="4"/>
        <v>MILLSAP DIST ARTIST</v>
      </c>
      <c r="F182" s="398">
        <v>542211.87</v>
      </c>
      <c r="G182" s="402">
        <v>0</v>
      </c>
      <c r="H182" s="402">
        <v>-2221.03</v>
      </c>
      <c r="I182" s="402">
        <v>-30486.29</v>
      </c>
      <c r="J182" s="402">
        <v>0</v>
      </c>
      <c r="K182" s="402">
        <v>0</v>
      </c>
      <c r="L182" s="402">
        <f t="shared" si="5"/>
        <v>509504.55</v>
      </c>
    </row>
    <row r="183" spans="1:12" ht="12.75" outlineLevel="1">
      <c r="A183" s="359" t="s">
        <v>483</v>
      </c>
      <c r="C183" s="411"/>
      <c r="D183" s="390" t="s">
        <v>484</v>
      </c>
      <c r="E183" s="412" t="str">
        <f t="shared" si="4"/>
        <v>DONALD MOCKER ENDOW</v>
      </c>
      <c r="F183" s="398">
        <v>8907.55</v>
      </c>
      <c r="G183" s="402">
        <v>0</v>
      </c>
      <c r="H183" s="402">
        <v>-265.59</v>
      </c>
      <c r="I183" s="402">
        <v>1342.62</v>
      </c>
      <c r="J183" s="402">
        <v>0</v>
      </c>
      <c r="K183" s="402">
        <v>0</v>
      </c>
      <c r="L183" s="402">
        <f t="shared" si="5"/>
        <v>9984.579999999998</v>
      </c>
    </row>
    <row r="184" spans="1:12" ht="12.75" outlineLevel="1">
      <c r="A184" s="359" t="s">
        <v>485</v>
      </c>
      <c r="C184" s="411"/>
      <c r="D184" s="390" t="s">
        <v>486</v>
      </c>
      <c r="E184" s="412" t="str">
        <f t="shared" si="4"/>
        <v>ED NELSON PROF-DENT</v>
      </c>
      <c r="F184" s="398">
        <v>582815.25</v>
      </c>
      <c r="G184" s="402">
        <v>0</v>
      </c>
      <c r="H184" s="402">
        <v>-17378.25</v>
      </c>
      <c r="I184" s="402">
        <v>87845.77</v>
      </c>
      <c r="J184" s="402">
        <v>0</v>
      </c>
      <c r="K184" s="402">
        <v>0</v>
      </c>
      <c r="L184" s="402">
        <f t="shared" si="5"/>
        <v>653282.77</v>
      </c>
    </row>
    <row r="185" spans="1:12" ht="12.75" outlineLevel="1">
      <c r="A185" s="359" t="s">
        <v>487</v>
      </c>
      <c r="C185" s="411"/>
      <c r="D185" s="390" t="s">
        <v>488</v>
      </c>
      <c r="E185" s="412" t="str">
        <f t="shared" si="4"/>
        <v>NICHOLS LIBR ENDOW</v>
      </c>
      <c r="F185" s="398">
        <v>990808.17</v>
      </c>
      <c r="G185" s="402">
        <v>0</v>
      </c>
      <c r="H185" s="402">
        <v>-29543.68</v>
      </c>
      <c r="I185" s="402">
        <v>149341.14</v>
      </c>
      <c r="J185" s="402">
        <v>0</v>
      </c>
      <c r="K185" s="402">
        <v>0</v>
      </c>
      <c r="L185" s="402">
        <f t="shared" si="5"/>
        <v>1110605.63</v>
      </c>
    </row>
    <row r="186" spans="1:12" ht="12.75" outlineLevel="1">
      <c r="A186" s="359" t="s">
        <v>489</v>
      </c>
      <c r="C186" s="411"/>
      <c r="D186" s="390" t="s">
        <v>490</v>
      </c>
      <c r="E186" s="412" t="str">
        <f t="shared" si="4"/>
        <v>OPPENSTEIN PROF</v>
      </c>
      <c r="F186" s="398">
        <v>110983.34</v>
      </c>
      <c r="G186" s="402">
        <v>0</v>
      </c>
      <c r="H186" s="402">
        <v>-455.33</v>
      </c>
      <c r="I186" s="402">
        <v>-6077.25</v>
      </c>
      <c r="J186" s="402">
        <v>0</v>
      </c>
      <c r="K186" s="402">
        <v>0</v>
      </c>
      <c r="L186" s="402">
        <f t="shared" si="5"/>
        <v>104450.76</v>
      </c>
    </row>
    <row r="187" spans="1:12" ht="12.75" outlineLevel="1">
      <c r="A187" s="359" t="s">
        <v>491</v>
      </c>
      <c r="C187" s="411"/>
      <c r="D187" s="390" t="s">
        <v>492</v>
      </c>
      <c r="E187" s="412" t="str">
        <f t="shared" si="4"/>
        <v>WELLER OVERSTREET FD</v>
      </c>
      <c r="F187" s="398">
        <v>41387.36</v>
      </c>
      <c r="G187" s="402">
        <v>0</v>
      </c>
      <c r="H187" s="402">
        <v>-1234.07</v>
      </c>
      <c r="I187" s="402">
        <v>6238.16</v>
      </c>
      <c r="J187" s="402">
        <v>0</v>
      </c>
      <c r="K187" s="402">
        <v>0</v>
      </c>
      <c r="L187" s="402">
        <f t="shared" si="5"/>
        <v>46391.45</v>
      </c>
    </row>
    <row r="188" spans="1:12" ht="12.75" outlineLevel="1">
      <c r="A188" s="359" t="s">
        <v>493</v>
      </c>
      <c r="C188" s="411"/>
      <c r="D188" s="390" t="s">
        <v>494</v>
      </c>
      <c r="E188" s="412" t="str">
        <f t="shared" si="4"/>
        <v>NON PROFIT MGMT</v>
      </c>
      <c r="F188" s="398">
        <v>1162620.04</v>
      </c>
      <c r="G188" s="402">
        <v>0</v>
      </c>
      <c r="H188" s="402">
        <v>-3360.91</v>
      </c>
      <c r="I188" s="402">
        <v>-65751.07</v>
      </c>
      <c r="J188" s="402">
        <v>0</v>
      </c>
      <c r="K188" s="402">
        <v>0</v>
      </c>
      <c r="L188" s="402">
        <f t="shared" si="5"/>
        <v>1093508.06</v>
      </c>
    </row>
    <row r="189" spans="1:12" ht="12.75" outlineLevel="1">
      <c r="A189" s="359" t="s">
        <v>495</v>
      </c>
      <c r="C189" s="411"/>
      <c r="D189" s="390" t="s">
        <v>496</v>
      </c>
      <c r="E189" s="412" t="str">
        <f t="shared" si="4"/>
        <v>E REISNER ENDOWMENT</v>
      </c>
      <c r="F189" s="398">
        <v>16013.97</v>
      </c>
      <c r="G189" s="402">
        <v>0</v>
      </c>
      <c r="H189" s="402">
        <v>-477.49</v>
      </c>
      <c r="I189" s="402">
        <v>2413.72</v>
      </c>
      <c r="J189" s="402">
        <v>0</v>
      </c>
      <c r="K189" s="402">
        <v>0</v>
      </c>
      <c r="L189" s="402">
        <f t="shared" si="5"/>
        <v>17950.2</v>
      </c>
    </row>
    <row r="190" spans="1:12" ht="12.75" outlineLevel="1">
      <c r="A190" s="359" t="s">
        <v>497</v>
      </c>
      <c r="C190" s="411"/>
      <c r="D190" s="390" t="s">
        <v>498</v>
      </c>
      <c r="E190" s="412" t="str">
        <f t="shared" si="4"/>
        <v>DR LEO ROGERS PROF</v>
      </c>
      <c r="F190" s="398">
        <v>516164.21</v>
      </c>
      <c r="G190" s="402">
        <v>0</v>
      </c>
      <c r="H190" s="402">
        <v>-15390.85</v>
      </c>
      <c r="I190" s="402">
        <v>77799.68</v>
      </c>
      <c r="J190" s="402">
        <v>0</v>
      </c>
      <c r="K190" s="402">
        <v>0</v>
      </c>
      <c r="L190" s="402">
        <f t="shared" si="5"/>
        <v>578573.04</v>
      </c>
    </row>
    <row r="191" spans="1:12" ht="12.75" outlineLevel="1">
      <c r="A191" s="359" t="s">
        <v>499</v>
      </c>
      <c r="C191" s="411"/>
      <c r="D191" s="390" t="s">
        <v>500</v>
      </c>
      <c r="E191" s="412" t="str">
        <f t="shared" si="4"/>
        <v>S ORLANDO SOMERS PR</v>
      </c>
      <c r="F191" s="398">
        <v>475646.06</v>
      </c>
      <c r="G191" s="402">
        <v>0</v>
      </c>
      <c r="H191" s="402">
        <v>-14182.7</v>
      </c>
      <c r="I191" s="402">
        <v>71692.51</v>
      </c>
      <c r="J191" s="402">
        <v>0</v>
      </c>
      <c r="K191" s="402">
        <v>0</v>
      </c>
      <c r="L191" s="402">
        <f t="shared" si="5"/>
        <v>533155.87</v>
      </c>
    </row>
    <row r="192" spans="1:12" ht="12.75" outlineLevel="1">
      <c r="A192" s="359" t="s">
        <v>501</v>
      </c>
      <c r="C192" s="411"/>
      <c r="D192" s="390" t="s">
        <v>502</v>
      </c>
      <c r="E192" s="412" t="str">
        <f t="shared" si="4"/>
        <v>PHILLIPS PROFESSORSP</v>
      </c>
      <c r="F192" s="398">
        <v>500558.29</v>
      </c>
      <c r="G192" s="402">
        <v>0</v>
      </c>
      <c r="H192" s="402">
        <v>-15552.59</v>
      </c>
      <c r="I192" s="402">
        <v>74262.84</v>
      </c>
      <c r="J192" s="402">
        <v>0</v>
      </c>
      <c r="K192" s="402">
        <v>0</v>
      </c>
      <c r="L192" s="402">
        <f t="shared" si="5"/>
        <v>559268.5399999999</v>
      </c>
    </row>
    <row r="193" spans="1:12" ht="12.75" outlineLevel="1">
      <c r="A193" s="359" t="s">
        <v>503</v>
      </c>
      <c r="C193" s="411"/>
      <c r="D193" s="390" t="s">
        <v>504</v>
      </c>
      <c r="E193" s="412" t="str">
        <f t="shared" si="4"/>
        <v>SECOND CENTURY DENTL</v>
      </c>
      <c r="F193" s="398">
        <v>141967.81</v>
      </c>
      <c r="G193" s="402">
        <v>0</v>
      </c>
      <c r="H193" s="402">
        <v>-4752.4</v>
      </c>
      <c r="I193" s="402">
        <v>33088.67</v>
      </c>
      <c r="J193" s="402">
        <v>0</v>
      </c>
      <c r="K193" s="402">
        <v>0</v>
      </c>
      <c r="L193" s="402">
        <f t="shared" si="5"/>
        <v>170304.08000000002</v>
      </c>
    </row>
    <row r="194" spans="1:13" ht="12.75" outlineLevel="1">
      <c r="A194" s="359" t="s">
        <v>505</v>
      </c>
      <c r="C194" s="411"/>
      <c r="D194" s="390" t="s">
        <v>506</v>
      </c>
      <c r="E194" s="381" t="str">
        <f t="shared" si="4"/>
        <v>MO PROF - SCHUTTE</v>
      </c>
      <c r="F194" s="401">
        <v>966229.35</v>
      </c>
      <c r="G194" s="402">
        <v>0</v>
      </c>
      <c r="H194" s="402">
        <v>-28477.63</v>
      </c>
      <c r="I194" s="402">
        <v>146198.77</v>
      </c>
      <c r="J194" s="402">
        <v>0</v>
      </c>
      <c r="K194" s="402">
        <v>10777.24</v>
      </c>
      <c r="L194" s="402">
        <f t="shared" si="5"/>
        <v>1094727.73</v>
      </c>
      <c r="M194" s="411"/>
    </row>
    <row r="195" spans="1:14" s="441" customFormat="1" ht="12.75" outlineLevel="1">
      <c r="A195" s="441" t="s">
        <v>507</v>
      </c>
      <c r="B195" s="442"/>
      <c r="C195" s="411"/>
      <c r="D195" s="411" t="s">
        <v>508</v>
      </c>
      <c r="E195" s="443" t="str">
        <f t="shared" si="4"/>
        <v>C F SCOFIELD BOOK FD</v>
      </c>
      <c r="F195" s="444">
        <v>23077.18</v>
      </c>
      <c r="G195" s="445">
        <v>0</v>
      </c>
      <c r="H195" s="445">
        <v>-688.12</v>
      </c>
      <c r="I195" s="445">
        <v>3478.36</v>
      </c>
      <c r="J195" s="445">
        <v>0</v>
      </c>
      <c r="K195" s="445">
        <v>0</v>
      </c>
      <c r="L195" s="445">
        <f t="shared" si="5"/>
        <v>25867.420000000002</v>
      </c>
      <c r="M195" s="408"/>
      <c r="N195" s="446"/>
    </row>
    <row r="196" spans="1:12" ht="12.75" outlineLevel="1">
      <c r="A196" s="359" t="s">
        <v>509</v>
      </c>
      <c r="C196" s="411"/>
      <c r="D196" s="390" t="s">
        <v>510</v>
      </c>
      <c r="E196" s="412" t="str">
        <f t="shared" si="4"/>
        <v>H SILVERFORB FAC DEV</v>
      </c>
      <c r="F196" s="398">
        <v>52537.5</v>
      </c>
      <c r="G196" s="402">
        <v>0</v>
      </c>
      <c r="H196" s="402">
        <v>-1566.57</v>
      </c>
      <c r="I196" s="402">
        <v>7918.81</v>
      </c>
      <c r="J196" s="402">
        <v>0</v>
      </c>
      <c r="K196" s="402">
        <v>0</v>
      </c>
      <c r="L196" s="402">
        <f t="shared" si="5"/>
        <v>58889.74</v>
      </c>
    </row>
    <row r="197" spans="1:12" ht="12.75" outlineLevel="1">
      <c r="A197" s="359" t="s">
        <v>511</v>
      </c>
      <c r="C197" s="411"/>
      <c r="D197" s="390" t="s">
        <v>512</v>
      </c>
      <c r="E197" s="412" t="str">
        <f t="shared" si="4"/>
        <v>SIRRIDGE LECTURE</v>
      </c>
      <c r="F197" s="398">
        <v>22948.64</v>
      </c>
      <c r="G197" s="402">
        <v>0</v>
      </c>
      <c r="H197" s="402">
        <v>-684.28</v>
      </c>
      <c r="I197" s="402">
        <v>3458.98</v>
      </c>
      <c r="J197" s="402">
        <v>0</v>
      </c>
      <c r="K197" s="402">
        <v>0</v>
      </c>
      <c r="L197" s="402">
        <f t="shared" si="5"/>
        <v>25723.34</v>
      </c>
    </row>
    <row r="198" spans="1:12" ht="12.75" outlineLevel="1">
      <c r="A198" s="359" t="s">
        <v>513</v>
      </c>
      <c r="C198" s="411"/>
      <c r="D198" s="390" t="s">
        <v>514</v>
      </c>
      <c r="E198" s="412" t="str">
        <f t="shared" si="4"/>
        <v>E A SMITH &amp; SM PGM</v>
      </c>
      <c r="F198" s="398">
        <v>88589.62</v>
      </c>
      <c r="G198" s="402">
        <v>0</v>
      </c>
      <c r="H198" s="402">
        <v>-2641.55</v>
      </c>
      <c r="I198" s="402">
        <v>13352.81</v>
      </c>
      <c r="J198" s="402">
        <v>0</v>
      </c>
      <c r="K198" s="402">
        <v>0</v>
      </c>
      <c r="L198" s="402">
        <f t="shared" si="5"/>
        <v>99300.87999999999</v>
      </c>
    </row>
    <row r="199" spans="1:12" ht="12.75" outlineLevel="1">
      <c r="A199" s="359" t="s">
        <v>515</v>
      </c>
      <c r="C199" s="411"/>
      <c r="D199" s="390" t="s">
        <v>516</v>
      </c>
      <c r="E199" s="412" t="str">
        <f t="shared" si="4"/>
        <v>EDWARD A SMITH / MO CHAIR LAW</v>
      </c>
      <c r="F199" s="398">
        <v>511297.7</v>
      </c>
      <c r="G199" s="402">
        <v>0</v>
      </c>
      <c r="H199" s="402">
        <v>-15245.75</v>
      </c>
      <c r="I199" s="402">
        <v>77066.2</v>
      </c>
      <c r="J199" s="402">
        <v>0</v>
      </c>
      <c r="K199" s="402">
        <v>0</v>
      </c>
      <c r="L199" s="402">
        <f t="shared" si="5"/>
        <v>573118.15</v>
      </c>
    </row>
    <row r="200" spans="1:12" ht="12.75" outlineLevel="1">
      <c r="A200" s="359" t="s">
        <v>517</v>
      </c>
      <c r="C200" s="411"/>
      <c r="D200" s="390" t="s">
        <v>518</v>
      </c>
      <c r="E200" s="412" t="str">
        <f t="shared" si="4"/>
        <v>D &amp; D THOMPSON A&amp;S</v>
      </c>
      <c r="F200" s="398">
        <v>831908.94</v>
      </c>
      <c r="G200" s="402">
        <v>0</v>
      </c>
      <c r="H200" s="402">
        <v>-24796.79</v>
      </c>
      <c r="I200" s="402">
        <v>125375.01</v>
      </c>
      <c r="J200" s="402">
        <v>-1000</v>
      </c>
      <c r="K200" s="402">
        <v>0</v>
      </c>
      <c r="L200" s="402">
        <f t="shared" si="5"/>
        <v>933487.1599999999</v>
      </c>
    </row>
    <row r="201" spans="1:12" ht="12.75" outlineLevel="1">
      <c r="A201" s="359" t="s">
        <v>519</v>
      </c>
      <c r="C201" s="411"/>
      <c r="D201" s="390" t="s">
        <v>520</v>
      </c>
      <c r="E201" s="412" t="str">
        <f t="shared" si="4"/>
        <v>MO CHAIR STRANDBERG</v>
      </c>
      <c r="F201" s="398">
        <v>1364297.54</v>
      </c>
      <c r="G201" s="402">
        <v>0</v>
      </c>
      <c r="H201" s="402">
        <v>-40680.29</v>
      </c>
      <c r="I201" s="402">
        <v>205635.95</v>
      </c>
      <c r="J201" s="402">
        <v>0</v>
      </c>
      <c r="K201" s="402">
        <v>0</v>
      </c>
      <c r="L201" s="402">
        <f t="shared" si="5"/>
        <v>1529253.2</v>
      </c>
    </row>
    <row r="202" spans="1:12" ht="12.75" outlineLevel="1">
      <c r="A202" s="359" t="s">
        <v>521</v>
      </c>
      <c r="C202" s="411"/>
      <c r="D202" s="390" t="s">
        <v>522</v>
      </c>
      <c r="E202" s="412" t="str">
        <f aca="true" t="shared" si="6" ref="E202:E265">UPPER(D202)</f>
        <v>D &amp; D THOMPSON NURS</v>
      </c>
      <c r="F202" s="398">
        <v>665133.41</v>
      </c>
      <c r="G202" s="402">
        <v>0</v>
      </c>
      <c r="H202" s="402">
        <v>-19832.79</v>
      </c>
      <c r="I202" s="402">
        <v>100253.27</v>
      </c>
      <c r="J202" s="402">
        <v>0</v>
      </c>
      <c r="K202" s="402">
        <v>0</v>
      </c>
      <c r="L202" s="402">
        <f aca="true" t="shared" si="7" ref="L202:L265">F202+G202+H202+I202-J202+K202</f>
        <v>745553.89</v>
      </c>
    </row>
    <row r="203" spans="1:12" ht="12.75" outlineLevel="1">
      <c r="A203" s="359" t="s">
        <v>523</v>
      </c>
      <c r="C203" s="411"/>
      <c r="D203" s="390" t="s">
        <v>524</v>
      </c>
      <c r="E203" s="412" t="str">
        <f t="shared" si="6"/>
        <v>STATLAND LIB ENDOW</v>
      </c>
      <c r="F203" s="398">
        <v>18392.95</v>
      </c>
      <c r="G203" s="402">
        <v>0</v>
      </c>
      <c r="H203" s="402">
        <v>-548.44</v>
      </c>
      <c r="I203" s="402">
        <v>2772.32</v>
      </c>
      <c r="J203" s="402">
        <v>0</v>
      </c>
      <c r="K203" s="402">
        <v>0</v>
      </c>
      <c r="L203" s="402">
        <f t="shared" si="7"/>
        <v>20616.83</v>
      </c>
    </row>
    <row r="204" spans="1:12" ht="12.75" outlineLevel="1">
      <c r="A204" s="359" t="s">
        <v>525</v>
      </c>
      <c r="C204" s="411"/>
      <c r="D204" s="390" t="s">
        <v>526</v>
      </c>
      <c r="E204" s="412" t="str">
        <f t="shared" si="6"/>
        <v>HELEN STEVENS SCHOL</v>
      </c>
      <c r="F204" s="398">
        <v>16199.95</v>
      </c>
      <c r="G204" s="402">
        <v>125</v>
      </c>
      <c r="H204" s="402">
        <v>-480.73</v>
      </c>
      <c r="I204" s="402">
        <v>2441.34</v>
      </c>
      <c r="J204" s="402">
        <v>0</v>
      </c>
      <c r="K204" s="402">
        <v>0</v>
      </c>
      <c r="L204" s="402">
        <f t="shared" si="7"/>
        <v>18285.56</v>
      </c>
    </row>
    <row r="205" spans="1:12" ht="12.75" outlineLevel="1">
      <c r="A205" s="359" t="s">
        <v>527</v>
      </c>
      <c r="C205" s="411"/>
      <c r="D205" s="390" t="s">
        <v>528</v>
      </c>
      <c r="E205" s="412" t="str">
        <f t="shared" si="6"/>
        <v>MO CHAIR - STRIPP</v>
      </c>
      <c r="F205" s="398">
        <v>714579.83</v>
      </c>
      <c r="G205" s="402">
        <v>0</v>
      </c>
      <c r="H205" s="402">
        <v>-21307.18</v>
      </c>
      <c r="I205" s="402">
        <v>107706.2</v>
      </c>
      <c r="J205" s="402">
        <v>0</v>
      </c>
      <c r="K205" s="402">
        <v>0</v>
      </c>
      <c r="L205" s="402">
        <f t="shared" si="7"/>
        <v>800978.8499999999</v>
      </c>
    </row>
    <row r="206" spans="1:12" ht="12.75" outlineLevel="1">
      <c r="A206" s="359" t="s">
        <v>529</v>
      </c>
      <c r="C206" s="411"/>
      <c r="D206" s="390" t="s">
        <v>530</v>
      </c>
      <c r="E206" s="412" t="str">
        <f t="shared" si="6"/>
        <v>UMKC GEN LIBRARY END</v>
      </c>
      <c r="F206" s="398">
        <v>899306.63</v>
      </c>
      <c r="G206" s="402">
        <v>50000</v>
      </c>
      <c r="H206" s="402">
        <v>-3562.99</v>
      </c>
      <c r="I206" s="402">
        <v>-51149.98</v>
      </c>
      <c r="J206" s="402">
        <v>0</v>
      </c>
      <c r="K206" s="402">
        <v>0</v>
      </c>
      <c r="L206" s="402">
        <f t="shared" si="7"/>
        <v>894593.66</v>
      </c>
    </row>
    <row r="207" spans="1:12" ht="12.75" outlineLevel="1">
      <c r="A207" s="359" t="s">
        <v>531</v>
      </c>
      <c r="C207" s="411"/>
      <c r="D207" s="390" t="s">
        <v>532</v>
      </c>
      <c r="E207" s="412" t="str">
        <f t="shared" si="6"/>
        <v>VEATCH ENDOWMENT</v>
      </c>
      <c r="F207" s="398">
        <v>21652.49</v>
      </c>
      <c r="G207" s="402">
        <v>0</v>
      </c>
      <c r="H207" s="402">
        <v>-88.83</v>
      </c>
      <c r="I207" s="402">
        <v>-1185.65</v>
      </c>
      <c r="J207" s="402">
        <v>0</v>
      </c>
      <c r="K207" s="402">
        <v>0</v>
      </c>
      <c r="L207" s="402">
        <f t="shared" si="7"/>
        <v>20378.01</v>
      </c>
    </row>
    <row r="208" spans="1:12" ht="12.75" outlineLevel="1">
      <c r="A208" s="359" t="s">
        <v>533</v>
      </c>
      <c r="C208" s="411"/>
      <c r="D208" s="390" t="s">
        <v>534</v>
      </c>
      <c r="E208" s="412" t="str">
        <f t="shared" si="6"/>
        <v>WASSERMAN MED SCH</v>
      </c>
      <c r="F208" s="398">
        <v>9764.77</v>
      </c>
      <c r="G208" s="402">
        <v>0</v>
      </c>
      <c r="H208" s="402">
        <v>-291.16</v>
      </c>
      <c r="I208" s="402">
        <v>1471.82</v>
      </c>
      <c r="J208" s="402">
        <v>0</v>
      </c>
      <c r="K208" s="402">
        <v>0</v>
      </c>
      <c r="L208" s="402">
        <f t="shared" si="7"/>
        <v>10945.43</v>
      </c>
    </row>
    <row r="209" spans="1:12" ht="12.75" outlineLevel="1">
      <c r="A209" s="359" t="s">
        <v>535</v>
      </c>
      <c r="C209" s="411"/>
      <c r="D209" s="390" t="s">
        <v>536</v>
      </c>
      <c r="E209" s="412" t="str">
        <f t="shared" si="6"/>
        <v>ROCHE LAB/ WILKINSON</v>
      </c>
      <c r="F209" s="398">
        <v>17705.63</v>
      </c>
      <c r="G209" s="402">
        <v>150</v>
      </c>
      <c r="H209" s="402">
        <v>-518.98</v>
      </c>
      <c r="I209" s="402">
        <v>2676.72</v>
      </c>
      <c r="J209" s="402">
        <v>0</v>
      </c>
      <c r="K209" s="402">
        <v>0</v>
      </c>
      <c r="L209" s="402">
        <f t="shared" si="7"/>
        <v>20013.370000000003</v>
      </c>
    </row>
    <row r="210" spans="1:13" ht="12.75" outlineLevel="1">
      <c r="A210" s="359" t="s">
        <v>537</v>
      </c>
      <c r="C210" s="411"/>
      <c r="D210" s="390" t="s">
        <v>538</v>
      </c>
      <c r="E210" s="381" t="str">
        <f t="shared" si="6"/>
        <v>J &amp; E WOLFF COLLECT</v>
      </c>
      <c r="F210" s="401">
        <v>22018.72</v>
      </c>
      <c r="G210" s="402">
        <v>0</v>
      </c>
      <c r="H210" s="402">
        <v>-90.33</v>
      </c>
      <c r="I210" s="402">
        <v>-1205.7</v>
      </c>
      <c r="J210" s="402">
        <v>0</v>
      </c>
      <c r="K210" s="402">
        <v>0</v>
      </c>
      <c r="L210" s="402">
        <f t="shared" si="7"/>
        <v>20722.69</v>
      </c>
      <c r="M210" s="411"/>
    </row>
    <row r="211" spans="1:14" s="441" customFormat="1" ht="12.75" outlineLevel="1">
      <c r="A211" s="441" t="s">
        <v>539</v>
      </c>
      <c r="B211" s="442"/>
      <c r="C211" s="411"/>
      <c r="D211" s="411" t="s">
        <v>540</v>
      </c>
      <c r="E211" s="443" t="str">
        <f t="shared" si="6"/>
        <v>FOWLER &amp; ABRANZ SCHP</v>
      </c>
      <c r="F211" s="444">
        <v>3453.29</v>
      </c>
      <c r="G211" s="445">
        <v>0</v>
      </c>
      <c r="H211" s="445">
        <v>71.64</v>
      </c>
      <c r="I211" s="445">
        <v>535.63</v>
      </c>
      <c r="J211" s="445">
        <v>0</v>
      </c>
      <c r="K211" s="445">
        <v>0</v>
      </c>
      <c r="L211" s="445">
        <f t="shared" si="7"/>
        <v>4060.56</v>
      </c>
      <c r="M211" s="408"/>
      <c r="N211" s="446"/>
    </row>
    <row r="212" spans="1:12" ht="12.75" outlineLevel="1">
      <c r="A212" s="359" t="s">
        <v>541</v>
      </c>
      <c r="C212" s="411"/>
      <c r="D212" s="390" t="s">
        <v>542</v>
      </c>
      <c r="E212" s="412" t="str">
        <f t="shared" si="6"/>
        <v>JOEL C*BROWN BK AWD</v>
      </c>
      <c r="F212" s="398">
        <v>10245.95</v>
      </c>
      <c r="G212" s="402">
        <v>0</v>
      </c>
      <c r="H212" s="402">
        <v>-297.24</v>
      </c>
      <c r="I212" s="402">
        <v>1553.66</v>
      </c>
      <c r="J212" s="402">
        <v>0</v>
      </c>
      <c r="K212" s="402">
        <v>0</v>
      </c>
      <c r="L212" s="402">
        <f t="shared" si="7"/>
        <v>11502.37</v>
      </c>
    </row>
    <row r="213" spans="1:12" ht="12.75" outlineLevel="1">
      <c r="A213" s="359" t="s">
        <v>543</v>
      </c>
      <c r="C213" s="411"/>
      <c r="D213" s="390" t="s">
        <v>544</v>
      </c>
      <c r="E213" s="412" t="str">
        <f t="shared" si="6"/>
        <v>EUGENE*BUTLER SCSP</v>
      </c>
      <c r="F213" s="398">
        <v>10795.93</v>
      </c>
      <c r="G213" s="402">
        <v>0</v>
      </c>
      <c r="H213" s="402">
        <v>-272.12</v>
      </c>
      <c r="I213" s="402">
        <v>1685.83</v>
      </c>
      <c r="J213" s="402">
        <v>0</v>
      </c>
      <c r="K213" s="402">
        <v>0</v>
      </c>
      <c r="L213" s="402">
        <f t="shared" si="7"/>
        <v>12209.64</v>
      </c>
    </row>
    <row r="214" spans="1:12" ht="12.75" outlineLevel="1">
      <c r="A214" s="359" t="s">
        <v>545</v>
      </c>
      <c r="C214" s="411"/>
      <c r="D214" s="390" t="s">
        <v>1092</v>
      </c>
      <c r="E214" s="412" t="str">
        <f t="shared" si="6"/>
        <v>PATRICIA GIER SCSP</v>
      </c>
      <c r="F214" s="398">
        <v>12014.67</v>
      </c>
      <c r="G214" s="402">
        <v>0</v>
      </c>
      <c r="H214" s="402">
        <v>-358.26</v>
      </c>
      <c r="I214" s="402">
        <v>1810.95</v>
      </c>
      <c r="J214" s="402">
        <v>0</v>
      </c>
      <c r="K214" s="402">
        <v>0</v>
      </c>
      <c r="L214" s="402">
        <f t="shared" si="7"/>
        <v>13467.36</v>
      </c>
    </row>
    <row r="215" spans="1:12" ht="12.75" outlineLevel="1">
      <c r="A215" s="359" t="s">
        <v>546</v>
      </c>
      <c r="C215" s="411"/>
      <c r="D215" s="390" t="s">
        <v>547</v>
      </c>
      <c r="E215" s="412" t="str">
        <f t="shared" si="6"/>
        <v>HENSON LECTURE IN CS</v>
      </c>
      <c r="F215" s="398">
        <v>100.54</v>
      </c>
      <c r="G215" s="402">
        <v>0</v>
      </c>
      <c r="H215" s="402">
        <v>0</v>
      </c>
      <c r="I215" s="402">
        <v>-777.23</v>
      </c>
      <c r="J215" s="402">
        <v>100.54</v>
      </c>
      <c r="K215" s="402">
        <v>0</v>
      </c>
      <c r="L215" s="402">
        <f t="shared" si="7"/>
        <v>-777.23</v>
      </c>
    </row>
    <row r="216" spans="1:12" ht="12.75" outlineLevel="1">
      <c r="A216" s="359" t="s">
        <v>548</v>
      </c>
      <c r="C216" s="411"/>
      <c r="D216" s="390" t="s">
        <v>549</v>
      </c>
      <c r="E216" s="412" t="str">
        <f t="shared" si="6"/>
        <v>H K BUETTNER EDUC FD</v>
      </c>
      <c r="F216" s="398">
        <v>734314.82</v>
      </c>
      <c r="G216" s="402">
        <v>0</v>
      </c>
      <c r="H216" s="402">
        <v>15236.69</v>
      </c>
      <c r="I216" s="402">
        <v>113980.05</v>
      </c>
      <c r="J216" s="402">
        <v>0</v>
      </c>
      <c r="K216" s="402">
        <v>0</v>
      </c>
      <c r="L216" s="402">
        <f t="shared" si="7"/>
        <v>863531.5599999999</v>
      </c>
    </row>
    <row r="217" spans="1:12" ht="12.75" outlineLevel="1">
      <c r="A217" s="359" t="s">
        <v>550</v>
      </c>
      <c r="C217" s="411"/>
      <c r="D217" s="390" t="s">
        <v>551</v>
      </c>
      <c r="E217" s="412" t="str">
        <f t="shared" si="6"/>
        <v>LEFKOWITZ PROFESSORSHIP</v>
      </c>
      <c r="F217" s="398">
        <v>609025.67</v>
      </c>
      <c r="G217" s="402">
        <v>0</v>
      </c>
      <c r="H217" s="402">
        <v>-18167.1</v>
      </c>
      <c r="I217" s="402">
        <v>90876.91</v>
      </c>
      <c r="J217" s="402">
        <v>0</v>
      </c>
      <c r="K217" s="402">
        <v>0</v>
      </c>
      <c r="L217" s="402">
        <f t="shared" si="7"/>
        <v>681735.4800000001</v>
      </c>
    </row>
    <row r="218" spans="1:12" ht="12.75" outlineLevel="1">
      <c r="A218" s="359" t="s">
        <v>552</v>
      </c>
      <c r="C218" s="411"/>
      <c r="D218" s="390" t="s">
        <v>553</v>
      </c>
      <c r="E218" s="412" t="str">
        <f t="shared" si="6"/>
        <v>LARRY*MAGNUSON SCHOL</v>
      </c>
      <c r="F218" s="398">
        <v>3580.61</v>
      </c>
      <c r="G218" s="402">
        <v>50</v>
      </c>
      <c r="H218" s="402">
        <v>74.8</v>
      </c>
      <c r="I218" s="402">
        <v>566.44</v>
      </c>
      <c r="J218" s="402">
        <v>0</v>
      </c>
      <c r="K218" s="402">
        <v>0</v>
      </c>
      <c r="L218" s="402">
        <f t="shared" si="7"/>
        <v>4271.85</v>
      </c>
    </row>
    <row r="219" spans="1:12" ht="12.75" outlineLevel="1">
      <c r="A219" s="359" t="s">
        <v>554</v>
      </c>
      <c r="C219" s="411"/>
      <c r="D219" s="390" t="s">
        <v>555</v>
      </c>
      <c r="E219" s="412" t="str">
        <f t="shared" si="6"/>
        <v>MCNEFF LENGEL TRUST</v>
      </c>
      <c r="F219" s="398">
        <v>37711.91</v>
      </c>
      <c r="G219" s="402">
        <v>0</v>
      </c>
      <c r="H219" s="402">
        <v>782.46</v>
      </c>
      <c r="I219" s="402">
        <v>5849.33</v>
      </c>
      <c r="J219" s="402">
        <v>0</v>
      </c>
      <c r="K219" s="402">
        <v>0</v>
      </c>
      <c r="L219" s="402">
        <f t="shared" si="7"/>
        <v>44343.700000000004</v>
      </c>
    </row>
    <row r="220" spans="1:12" ht="12.75" outlineLevel="1">
      <c r="A220" s="359" t="s">
        <v>556</v>
      </c>
      <c r="C220" s="411"/>
      <c r="D220" s="390" t="s">
        <v>557</v>
      </c>
      <c r="E220" s="412" t="str">
        <f t="shared" si="6"/>
        <v>MED SC ALUMNI SCSP</v>
      </c>
      <c r="F220" s="398">
        <v>32695.17</v>
      </c>
      <c r="G220" s="402">
        <v>3950</v>
      </c>
      <c r="H220" s="402">
        <v>-769.48</v>
      </c>
      <c r="I220" s="402">
        <v>5532.03</v>
      </c>
      <c r="J220" s="402">
        <v>0</v>
      </c>
      <c r="K220" s="402">
        <v>2900</v>
      </c>
      <c r="L220" s="402">
        <f t="shared" si="7"/>
        <v>44307.719999999994</v>
      </c>
    </row>
    <row r="221" spans="1:12" ht="12.75" outlineLevel="1">
      <c r="A221" s="359" t="s">
        <v>558</v>
      </c>
      <c r="C221" s="411"/>
      <c r="D221" s="390" t="s">
        <v>559</v>
      </c>
      <c r="E221" s="412" t="str">
        <f t="shared" si="6"/>
        <v>JANICE*MEINRATH/COCK</v>
      </c>
      <c r="F221" s="398">
        <v>5072.19</v>
      </c>
      <c r="G221" s="402">
        <v>0</v>
      </c>
      <c r="H221" s="402">
        <v>105.22</v>
      </c>
      <c r="I221" s="402">
        <v>786.71</v>
      </c>
      <c r="J221" s="402">
        <v>0</v>
      </c>
      <c r="K221" s="402">
        <v>0</v>
      </c>
      <c r="L221" s="402">
        <f t="shared" si="7"/>
        <v>5964.12</v>
      </c>
    </row>
    <row r="222" spans="1:12" ht="12.75" outlineLevel="1">
      <c r="A222" s="359" t="s">
        <v>560</v>
      </c>
      <c r="C222" s="411"/>
      <c r="D222" s="390" t="s">
        <v>561</v>
      </c>
      <c r="E222" s="412" t="str">
        <f t="shared" si="6"/>
        <v>MLN TECH/PERSONNEL</v>
      </c>
      <c r="F222" s="398">
        <v>748939.98</v>
      </c>
      <c r="G222" s="402">
        <v>0</v>
      </c>
      <c r="H222" s="402">
        <v>-22331.69</v>
      </c>
      <c r="I222" s="402">
        <v>112885.21</v>
      </c>
      <c r="J222" s="402">
        <v>0</v>
      </c>
      <c r="K222" s="402">
        <v>0</v>
      </c>
      <c r="L222" s="402">
        <f t="shared" si="7"/>
        <v>839493.5</v>
      </c>
    </row>
    <row r="223" spans="1:12" ht="12.75" outlineLevel="1">
      <c r="A223" s="359" t="s">
        <v>562</v>
      </c>
      <c r="C223" s="411"/>
      <c r="D223" s="390" t="s">
        <v>563</v>
      </c>
      <c r="E223" s="412" t="str">
        <f t="shared" si="6"/>
        <v>MNL EXPANSION FUND</v>
      </c>
      <c r="F223" s="398">
        <v>1528532.91</v>
      </c>
      <c r="G223" s="402">
        <v>543475</v>
      </c>
      <c r="H223" s="402">
        <v>46681.18</v>
      </c>
      <c r="I223" s="402">
        <v>258794.3</v>
      </c>
      <c r="J223" s="402">
        <v>0</v>
      </c>
      <c r="K223" s="402">
        <v>0</v>
      </c>
      <c r="L223" s="402">
        <f t="shared" si="7"/>
        <v>2377483.3899999997</v>
      </c>
    </row>
    <row r="224" spans="1:12" ht="12.75" outlineLevel="1">
      <c r="A224" s="359" t="s">
        <v>564</v>
      </c>
      <c r="C224" s="411"/>
      <c r="D224" s="390" t="s">
        <v>565</v>
      </c>
      <c r="E224" s="412" t="str">
        <f t="shared" si="6"/>
        <v>PEMBERTON SCSP FD</v>
      </c>
      <c r="F224" s="398">
        <v>35771.91</v>
      </c>
      <c r="G224" s="402">
        <v>0</v>
      </c>
      <c r="H224" s="402">
        <v>-1052.41</v>
      </c>
      <c r="I224" s="402">
        <v>5453.77</v>
      </c>
      <c r="J224" s="402">
        <v>0</v>
      </c>
      <c r="K224" s="402">
        <v>0</v>
      </c>
      <c r="L224" s="402">
        <f t="shared" si="7"/>
        <v>40173.270000000004</v>
      </c>
    </row>
    <row r="225" spans="1:12" ht="12.75" outlineLevel="1">
      <c r="A225" s="359" t="s">
        <v>566</v>
      </c>
      <c r="C225" s="411"/>
      <c r="D225" s="390" t="s">
        <v>567</v>
      </c>
      <c r="E225" s="412" t="str">
        <f t="shared" si="6"/>
        <v>M SIRRIDGE LECT FUND</v>
      </c>
      <c r="F225" s="398">
        <v>0</v>
      </c>
      <c r="G225" s="402">
        <v>0</v>
      </c>
      <c r="H225" s="402">
        <v>0</v>
      </c>
      <c r="I225" s="402">
        <v>0</v>
      </c>
      <c r="J225" s="402">
        <v>0</v>
      </c>
      <c r="K225" s="402">
        <v>0</v>
      </c>
      <c r="L225" s="402">
        <f t="shared" si="7"/>
        <v>0</v>
      </c>
    </row>
    <row r="226" spans="1:12" ht="12.75" outlineLevel="1">
      <c r="A226" s="359" t="s">
        <v>568</v>
      </c>
      <c r="C226" s="411"/>
      <c r="D226" s="390" t="s">
        <v>569</v>
      </c>
      <c r="E226" s="412" t="str">
        <f t="shared" si="6"/>
        <v>SUTTER FUND</v>
      </c>
      <c r="F226" s="398">
        <v>13051.05</v>
      </c>
      <c r="G226" s="402">
        <v>0</v>
      </c>
      <c r="H226" s="402">
        <v>355.69</v>
      </c>
      <c r="I226" s="402">
        <v>1888.44</v>
      </c>
      <c r="J226" s="402">
        <v>0</v>
      </c>
      <c r="K226" s="402">
        <v>3381.34</v>
      </c>
      <c r="L226" s="402">
        <f t="shared" si="7"/>
        <v>18676.52</v>
      </c>
    </row>
    <row r="227" spans="1:12" ht="12.75" outlineLevel="1">
      <c r="A227" s="359" t="s">
        <v>570</v>
      </c>
      <c r="C227" s="411"/>
      <c r="D227" s="390" t="s">
        <v>571</v>
      </c>
      <c r="E227" s="412" t="str">
        <f t="shared" si="6"/>
        <v>JAMES S*MEISTER SCSP</v>
      </c>
      <c r="F227" s="398">
        <v>165768.27</v>
      </c>
      <c r="G227" s="402">
        <v>0</v>
      </c>
      <c r="H227" s="402">
        <v>3439.32</v>
      </c>
      <c r="I227" s="402">
        <v>25711.61</v>
      </c>
      <c r="J227" s="402">
        <v>0</v>
      </c>
      <c r="K227" s="402">
        <v>0</v>
      </c>
      <c r="L227" s="402">
        <f t="shared" si="7"/>
        <v>194919.2</v>
      </c>
    </row>
    <row r="228" spans="1:12" ht="12.75" outlineLevel="1">
      <c r="A228" s="359" t="s">
        <v>572</v>
      </c>
      <c r="C228" s="411"/>
      <c r="D228" s="390" t="s">
        <v>573</v>
      </c>
      <c r="E228" s="412" t="str">
        <f t="shared" si="6"/>
        <v>WESTERMANN SCHOLARS</v>
      </c>
      <c r="F228" s="398">
        <v>164841.01</v>
      </c>
      <c r="G228" s="402">
        <v>0</v>
      </c>
      <c r="H228" s="402">
        <v>-4868.77</v>
      </c>
      <c r="I228" s="402">
        <v>24704.61</v>
      </c>
      <c r="J228" s="402">
        <v>0</v>
      </c>
      <c r="K228" s="402">
        <v>-8011.75</v>
      </c>
      <c r="L228" s="402">
        <f t="shared" si="7"/>
        <v>176665.10000000003</v>
      </c>
    </row>
    <row r="229" spans="1:12" ht="12.75" outlineLevel="1">
      <c r="A229" s="359" t="s">
        <v>574</v>
      </c>
      <c r="C229" s="411"/>
      <c r="D229" s="390" t="s">
        <v>575</v>
      </c>
      <c r="E229" s="412" t="str">
        <f t="shared" si="6"/>
        <v>VICTOR*WILSON SCHOL</v>
      </c>
      <c r="F229" s="398">
        <v>21002.99</v>
      </c>
      <c r="G229" s="402">
        <v>0</v>
      </c>
      <c r="H229" s="402">
        <v>435.78</v>
      </c>
      <c r="I229" s="402">
        <v>3257.68</v>
      </c>
      <c r="J229" s="402">
        <v>0</v>
      </c>
      <c r="K229" s="402">
        <v>0</v>
      </c>
      <c r="L229" s="402">
        <f t="shared" si="7"/>
        <v>24696.45</v>
      </c>
    </row>
    <row r="230" spans="1:12" ht="12.75" outlineLevel="1">
      <c r="A230" s="359" t="s">
        <v>576</v>
      </c>
      <c r="C230" s="411"/>
      <c r="D230" s="390" t="s">
        <v>577</v>
      </c>
      <c r="E230" s="412" t="str">
        <f t="shared" si="6"/>
        <v>MARJORIE ALLEN FELL</v>
      </c>
      <c r="F230" s="398">
        <v>148021.99</v>
      </c>
      <c r="G230" s="402">
        <v>0</v>
      </c>
      <c r="H230" s="402">
        <v>-4413.68</v>
      </c>
      <c r="I230" s="402">
        <v>22310.88</v>
      </c>
      <c r="J230" s="402">
        <v>0</v>
      </c>
      <c r="K230" s="402">
        <v>0</v>
      </c>
      <c r="L230" s="402">
        <f t="shared" si="7"/>
        <v>165919.19</v>
      </c>
    </row>
    <row r="231" spans="1:12" ht="12.75" outlineLevel="1">
      <c r="A231" s="359" t="s">
        <v>578</v>
      </c>
      <c r="C231" s="411"/>
      <c r="D231" s="390" t="s">
        <v>579</v>
      </c>
      <c r="E231" s="412" t="str">
        <f t="shared" si="6"/>
        <v>SIRRIDGE FUND</v>
      </c>
      <c r="F231" s="398">
        <v>289277.26</v>
      </c>
      <c r="G231" s="402">
        <v>12950</v>
      </c>
      <c r="H231" s="402">
        <v>-7231.2</v>
      </c>
      <c r="I231" s="402">
        <v>45691.22</v>
      </c>
      <c r="J231" s="402">
        <v>0</v>
      </c>
      <c r="K231" s="402">
        <v>0</v>
      </c>
      <c r="L231" s="402">
        <f t="shared" si="7"/>
        <v>340687.28</v>
      </c>
    </row>
    <row r="232" spans="1:12" ht="12.75" outlineLevel="1">
      <c r="A232" s="359" t="s">
        <v>580</v>
      </c>
      <c r="C232" s="411"/>
      <c r="D232" s="390" t="s">
        <v>581</v>
      </c>
      <c r="E232" s="412" t="str">
        <f t="shared" si="6"/>
        <v>JAMES*FALLS END FUND</v>
      </c>
      <c r="F232" s="398">
        <v>-0.76</v>
      </c>
      <c r="G232" s="402">
        <v>0</v>
      </c>
      <c r="H232" s="402">
        <v>0</v>
      </c>
      <c r="I232" s="402">
        <v>0</v>
      </c>
      <c r="J232" s="402">
        <v>0</v>
      </c>
      <c r="K232" s="402">
        <v>0</v>
      </c>
      <c r="L232" s="402">
        <f t="shared" si="7"/>
        <v>-0.76</v>
      </c>
    </row>
    <row r="233" spans="1:12" ht="12.75" outlineLevel="1">
      <c r="A233" s="359" t="s">
        <v>582</v>
      </c>
      <c r="C233" s="411"/>
      <c r="D233" s="390" t="s">
        <v>583</v>
      </c>
      <c r="E233" s="412" t="str">
        <f t="shared" si="6"/>
        <v>H*LYNN E*WHITE SCSP</v>
      </c>
      <c r="F233" s="398">
        <v>19673.09</v>
      </c>
      <c r="G233" s="402">
        <v>0</v>
      </c>
      <c r="H233" s="402">
        <v>-586.62</v>
      </c>
      <c r="I233" s="402">
        <v>2965.24</v>
      </c>
      <c r="J233" s="402">
        <v>0</v>
      </c>
      <c r="K233" s="402">
        <v>0</v>
      </c>
      <c r="L233" s="402">
        <f t="shared" si="7"/>
        <v>22051.71</v>
      </c>
    </row>
    <row r="234" spans="1:12" ht="12.75" outlineLevel="1">
      <c r="A234" s="359" t="s">
        <v>584</v>
      </c>
      <c r="C234" s="411"/>
      <c r="D234" s="390" t="s">
        <v>585</v>
      </c>
      <c r="E234" s="412" t="str">
        <f t="shared" si="6"/>
        <v>RON GREENBAUM PROJECT</v>
      </c>
      <c r="F234" s="398">
        <v>-68.17</v>
      </c>
      <c r="G234" s="402">
        <v>0</v>
      </c>
      <c r="H234" s="402">
        <v>0</v>
      </c>
      <c r="I234" s="402">
        <v>-26.68</v>
      </c>
      <c r="J234" s="402">
        <v>0</v>
      </c>
      <c r="K234" s="402">
        <v>0</v>
      </c>
      <c r="L234" s="402">
        <f t="shared" si="7"/>
        <v>-94.85</v>
      </c>
    </row>
    <row r="235" spans="1:12" ht="12.75" outlineLevel="1">
      <c r="A235" s="359" t="s">
        <v>586</v>
      </c>
      <c r="C235" s="411"/>
      <c r="D235" s="390" t="s">
        <v>1093</v>
      </c>
      <c r="E235" s="412" t="str">
        <f t="shared" si="6"/>
        <v>NADINE LOUGH FUND</v>
      </c>
      <c r="F235" s="398">
        <v>37395.82</v>
      </c>
      <c r="G235" s="402">
        <v>0</v>
      </c>
      <c r="H235" s="402">
        <v>-1115.06</v>
      </c>
      <c r="I235" s="402">
        <v>5636.56</v>
      </c>
      <c r="J235" s="402">
        <v>0</v>
      </c>
      <c r="K235" s="402">
        <v>0</v>
      </c>
      <c r="L235" s="402">
        <f t="shared" si="7"/>
        <v>41917.32</v>
      </c>
    </row>
    <row r="236" spans="1:12" ht="12.75" outlineLevel="1">
      <c r="A236" s="359" t="s">
        <v>587</v>
      </c>
      <c r="C236" s="411"/>
      <c r="D236" s="390" t="s">
        <v>588</v>
      </c>
      <c r="E236" s="412" t="str">
        <f t="shared" si="6"/>
        <v>MISSOURI PROF ACCOUTANCY</v>
      </c>
      <c r="F236" s="398">
        <v>134378.54</v>
      </c>
      <c r="G236" s="402">
        <v>0</v>
      </c>
      <c r="H236" s="402">
        <v>-4006.86</v>
      </c>
      <c r="I236" s="402">
        <v>20254.41</v>
      </c>
      <c r="J236" s="402">
        <v>0</v>
      </c>
      <c r="K236" s="402">
        <v>0</v>
      </c>
      <c r="L236" s="402">
        <f t="shared" si="7"/>
        <v>150626.09</v>
      </c>
    </row>
    <row r="237" spans="1:12" ht="12.75" outlineLevel="1">
      <c r="A237" s="359" t="s">
        <v>589</v>
      </c>
      <c r="C237" s="411"/>
      <c r="D237" s="390" t="s">
        <v>590</v>
      </c>
      <c r="E237" s="412" t="str">
        <f t="shared" si="6"/>
        <v>FAYE KIRCHER PUBLIC SPEAK SCHP</v>
      </c>
      <c r="F237" s="398">
        <v>8299.26</v>
      </c>
      <c r="G237" s="402">
        <v>0</v>
      </c>
      <c r="H237" s="402">
        <v>-247.47</v>
      </c>
      <c r="I237" s="402">
        <v>1250.93</v>
      </c>
      <c r="J237" s="402">
        <v>0</v>
      </c>
      <c r="K237" s="402">
        <v>0</v>
      </c>
      <c r="L237" s="402">
        <f t="shared" si="7"/>
        <v>9302.72</v>
      </c>
    </row>
    <row r="238" spans="1:12" ht="12.75" outlineLevel="1">
      <c r="A238" s="359" t="s">
        <v>591</v>
      </c>
      <c r="C238" s="411"/>
      <c r="D238" s="390" t="s">
        <v>592</v>
      </c>
      <c r="E238" s="412" t="str">
        <f t="shared" si="6"/>
        <v>KCUR FM UNREST</v>
      </c>
      <c r="F238" s="398">
        <v>853997.4</v>
      </c>
      <c r="G238" s="402">
        <v>0</v>
      </c>
      <c r="H238" s="402">
        <v>-25464.3</v>
      </c>
      <c r="I238" s="402">
        <v>128720.13</v>
      </c>
      <c r="J238" s="402">
        <v>0</v>
      </c>
      <c r="K238" s="402">
        <v>0</v>
      </c>
      <c r="L238" s="402">
        <f t="shared" si="7"/>
        <v>957253.23</v>
      </c>
    </row>
    <row r="239" spans="1:12" ht="12.75" outlineLevel="1">
      <c r="A239" s="359" t="s">
        <v>593</v>
      </c>
      <c r="C239" s="411"/>
      <c r="D239" s="390" t="s">
        <v>594</v>
      </c>
      <c r="E239" s="412" t="str">
        <f t="shared" si="6"/>
        <v>ABERNATHY TRUST</v>
      </c>
      <c r="F239" s="398">
        <v>60992.34</v>
      </c>
      <c r="G239" s="402">
        <v>0</v>
      </c>
      <c r="H239" s="402">
        <v>-1818.66</v>
      </c>
      <c r="I239" s="402">
        <v>9193.16</v>
      </c>
      <c r="J239" s="402">
        <v>0</v>
      </c>
      <c r="K239" s="402">
        <v>0</v>
      </c>
      <c r="L239" s="402">
        <f t="shared" si="7"/>
        <v>68366.84</v>
      </c>
    </row>
    <row r="240" spans="1:12" ht="12.75" outlineLevel="1">
      <c r="A240" s="359" t="s">
        <v>595</v>
      </c>
      <c r="C240" s="411"/>
      <c r="D240" s="390" t="s">
        <v>596</v>
      </c>
      <c r="E240" s="412" t="str">
        <f t="shared" si="6"/>
        <v>STANFORD SCHOLARSHIP</v>
      </c>
      <c r="F240" s="398">
        <v>32556.24</v>
      </c>
      <c r="G240" s="402">
        <v>0</v>
      </c>
      <c r="H240" s="402">
        <v>-970.76</v>
      </c>
      <c r="I240" s="402">
        <v>4907.09</v>
      </c>
      <c r="J240" s="402">
        <v>0</v>
      </c>
      <c r="K240" s="402">
        <v>0</v>
      </c>
      <c r="L240" s="402">
        <f t="shared" si="7"/>
        <v>36492.57000000001</v>
      </c>
    </row>
    <row r="241" spans="1:13" ht="12.75" outlineLevel="1">
      <c r="A241" s="359" t="s">
        <v>597</v>
      </c>
      <c r="C241" s="411"/>
      <c r="D241" s="390" t="s">
        <v>598</v>
      </c>
      <c r="E241" s="381" t="str">
        <f t="shared" si="6"/>
        <v>VIRGINIA MACKIE ENDOW</v>
      </c>
      <c r="F241" s="401">
        <v>10113.87</v>
      </c>
      <c r="G241" s="402">
        <v>330</v>
      </c>
      <c r="H241" s="402">
        <v>-274.07</v>
      </c>
      <c r="I241" s="402">
        <v>1587.32</v>
      </c>
      <c r="J241" s="402">
        <v>0</v>
      </c>
      <c r="K241" s="402">
        <v>0</v>
      </c>
      <c r="L241" s="402">
        <f t="shared" si="7"/>
        <v>11757.12</v>
      </c>
      <c r="M241" s="411"/>
    </row>
    <row r="242" spans="1:14" s="441" customFormat="1" ht="12.75" outlineLevel="1">
      <c r="A242" s="441" t="s">
        <v>599</v>
      </c>
      <c r="B242" s="442"/>
      <c r="C242" s="411"/>
      <c r="D242" s="411" t="s">
        <v>600</v>
      </c>
      <c r="E242" s="443" t="str">
        <f t="shared" si="6"/>
        <v>DR AND MRS STANLEY NIU ENG SCH</v>
      </c>
      <c r="F242" s="444">
        <v>14933.35</v>
      </c>
      <c r="G242" s="445">
        <v>500</v>
      </c>
      <c r="H242" s="445">
        <v>-307.34</v>
      </c>
      <c r="I242" s="445">
        <v>2536</v>
      </c>
      <c r="J242" s="445">
        <v>0</v>
      </c>
      <c r="K242" s="445">
        <v>0</v>
      </c>
      <c r="L242" s="445">
        <f t="shared" si="7"/>
        <v>17662.010000000002</v>
      </c>
      <c r="M242" s="408"/>
      <c r="N242" s="446"/>
    </row>
    <row r="243" spans="1:12" ht="12.75" outlineLevel="1">
      <c r="A243" s="359" t="s">
        <v>601</v>
      </c>
      <c r="C243" s="411"/>
      <c r="D243" s="390" t="s">
        <v>602</v>
      </c>
      <c r="E243" s="412" t="str">
        <f t="shared" si="6"/>
        <v>MARTIN DANEMAN SCHOLARSHIP</v>
      </c>
      <c r="F243" s="398">
        <v>14572.52</v>
      </c>
      <c r="G243" s="402">
        <v>3200</v>
      </c>
      <c r="H243" s="402">
        <v>-255.04</v>
      </c>
      <c r="I243" s="402">
        <v>2247.21</v>
      </c>
      <c r="J243" s="402">
        <v>0</v>
      </c>
      <c r="K243" s="402">
        <v>0</v>
      </c>
      <c r="L243" s="402">
        <f t="shared" si="7"/>
        <v>19764.69</v>
      </c>
    </row>
    <row r="244" spans="1:12" ht="12.75" outlineLevel="1">
      <c r="A244" s="359" t="s">
        <v>603</v>
      </c>
      <c r="C244" s="411"/>
      <c r="D244" s="390" t="s">
        <v>604</v>
      </c>
      <c r="E244" s="412" t="str">
        <f t="shared" si="6"/>
        <v>RICHARDSON K NOBACK AWARD</v>
      </c>
      <c r="F244" s="398">
        <v>27262.46</v>
      </c>
      <c r="G244" s="402">
        <v>1000</v>
      </c>
      <c r="H244" s="402">
        <v>-778.34</v>
      </c>
      <c r="I244" s="402">
        <v>4133.19</v>
      </c>
      <c r="J244" s="402">
        <v>0</v>
      </c>
      <c r="K244" s="402">
        <v>0</v>
      </c>
      <c r="L244" s="402">
        <f t="shared" si="7"/>
        <v>31617.309999999998</v>
      </c>
    </row>
    <row r="245" spans="1:12" ht="12.75" outlineLevel="1">
      <c r="A245" s="359" t="s">
        <v>605</v>
      </c>
      <c r="C245" s="411"/>
      <c r="D245" s="390" t="s">
        <v>606</v>
      </c>
      <c r="E245" s="412" t="str">
        <f t="shared" si="6"/>
        <v>SHAFFER AWARD FOR COMMNTY SERV</v>
      </c>
      <c r="F245" s="398">
        <v>12360.93</v>
      </c>
      <c r="G245" s="402">
        <v>2250</v>
      </c>
      <c r="H245" s="402">
        <v>-305.85</v>
      </c>
      <c r="I245" s="402">
        <v>1986.07</v>
      </c>
      <c r="J245" s="402">
        <v>0</v>
      </c>
      <c r="K245" s="402">
        <v>0</v>
      </c>
      <c r="L245" s="402">
        <f t="shared" si="7"/>
        <v>16291.15</v>
      </c>
    </row>
    <row r="246" spans="1:12" ht="12.75" outlineLevel="1">
      <c r="A246" s="359" t="s">
        <v>607</v>
      </c>
      <c r="C246" s="411"/>
      <c r="D246" s="390" t="s">
        <v>608</v>
      </c>
      <c r="E246" s="412" t="str">
        <f t="shared" si="6"/>
        <v>LAURA L BACKUS AWD FOR PEDIATR</v>
      </c>
      <c r="F246" s="398">
        <v>8704.28</v>
      </c>
      <c r="G246" s="402">
        <v>0</v>
      </c>
      <c r="H246" s="402">
        <v>-259.55</v>
      </c>
      <c r="I246" s="402">
        <v>1311.97</v>
      </c>
      <c r="J246" s="402">
        <v>0</v>
      </c>
      <c r="K246" s="402">
        <v>0</v>
      </c>
      <c r="L246" s="402">
        <f t="shared" si="7"/>
        <v>9756.7</v>
      </c>
    </row>
    <row r="247" spans="1:12" ht="12.75" outlineLevel="1">
      <c r="A247" s="359" t="s">
        <v>609</v>
      </c>
      <c r="C247" s="411"/>
      <c r="D247" s="390" t="s">
        <v>610</v>
      </c>
      <c r="E247" s="412" t="str">
        <f t="shared" si="6"/>
        <v>HELEN STRIFFLER RULLE SCHOL FD</v>
      </c>
      <c r="F247" s="398">
        <v>20221.27</v>
      </c>
      <c r="G247" s="402">
        <v>0</v>
      </c>
      <c r="H247" s="402">
        <v>-602.96</v>
      </c>
      <c r="I247" s="402">
        <v>3047.88</v>
      </c>
      <c r="J247" s="402">
        <v>0</v>
      </c>
      <c r="K247" s="402">
        <v>0</v>
      </c>
      <c r="L247" s="402">
        <f t="shared" si="7"/>
        <v>22666.190000000002</v>
      </c>
    </row>
    <row r="248" spans="1:12" ht="12.75" outlineLevel="1">
      <c r="A248" s="359" t="s">
        <v>611</v>
      </c>
      <c r="C248" s="411"/>
      <c r="D248" s="390" t="s">
        <v>612</v>
      </c>
      <c r="E248" s="412" t="str">
        <f t="shared" si="6"/>
        <v>BRYAN ROSS BOLDEN MEMORIAL SCH</v>
      </c>
      <c r="F248" s="398">
        <v>9764.52</v>
      </c>
      <c r="G248" s="402">
        <v>0</v>
      </c>
      <c r="H248" s="402">
        <v>202.34</v>
      </c>
      <c r="I248" s="402">
        <v>1499.41</v>
      </c>
      <c r="J248" s="402">
        <v>0</v>
      </c>
      <c r="K248" s="402">
        <v>0</v>
      </c>
      <c r="L248" s="402">
        <f t="shared" si="7"/>
        <v>11466.27</v>
      </c>
    </row>
    <row r="249" spans="1:12" ht="12.75" outlineLevel="1">
      <c r="A249" s="359" t="s">
        <v>613</v>
      </c>
      <c r="C249" s="411"/>
      <c r="D249" s="390" t="s">
        <v>614</v>
      </c>
      <c r="E249" s="412" t="str">
        <f t="shared" si="6"/>
        <v>H WAYNE TWYMAN SCHOLARSHIP</v>
      </c>
      <c r="F249" s="398">
        <v>14137.77</v>
      </c>
      <c r="G249" s="402">
        <v>275</v>
      </c>
      <c r="H249" s="402">
        <v>-410.37</v>
      </c>
      <c r="I249" s="402">
        <v>2147.57</v>
      </c>
      <c r="J249" s="402">
        <v>0</v>
      </c>
      <c r="K249" s="402">
        <v>0</v>
      </c>
      <c r="L249" s="402">
        <f t="shared" si="7"/>
        <v>16149.97</v>
      </c>
    </row>
    <row r="250" spans="1:12" ht="12.75" outlineLevel="1">
      <c r="A250" s="359" t="s">
        <v>615</v>
      </c>
      <c r="C250" s="411"/>
      <c r="D250" s="390" t="s">
        <v>616</v>
      </c>
      <c r="E250" s="412" t="str">
        <f t="shared" si="6"/>
        <v>PHYLLIS BERNSTEIN SCHOLARSHIP</v>
      </c>
      <c r="F250" s="398">
        <v>9813.84</v>
      </c>
      <c r="G250" s="402">
        <v>0</v>
      </c>
      <c r="H250" s="402">
        <v>-292.63</v>
      </c>
      <c r="I250" s="402">
        <v>1479.22</v>
      </c>
      <c r="J250" s="402">
        <v>0</v>
      </c>
      <c r="K250" s="402">
        <v>0</v>
      </c>
      <c r="L250" s="402">
        <f t="shared" si="7"/>
        <v>11000.43</v>
      </c>
    </row>
    <row r="251" spans="1:12" ht="12.75" outlineLevel="1">
      <c r="A251" s="359" t="s">
        <v>617</v>
      </c>
      <c r="C251" s="411"/>
      <c r="D251" s="390" t="s">
        <v>618</v>
      </c>
      <c r="E251" s="412" t="str">
        <f t="shared" si="6"/>
        <v>DENNIS SCHEMMEL ENDOW FD</v>
      </c>
      <c r="F251" s="398">
        <v>9006.45</v>
      </c>
      <c r="G251" s="402">
        <v>2250</v>
      </c>
      <c r="H251" s="402">
        <v>211.2</v>
      </c>
      <c r="I251" s="402">
        <v>1465.32</v>
      </c>
      <c r="J251" s="402">
        <v>0</v>
      </c>
      <c r="K251" s="402">
        <v>0</v>
      </c>
      <c r="L251" s="402">
        <f t="shared" si="7"/>
        <v>12932.970000000001</v>
      </c>
    </row>
    <row r="252" spans="1:12" ht="12.75" outlineLevel="1">
      <c r="A252" s="359" t="s">
        <v>619</v>
      </c>
      <c r="C252" s="411"/>
      <c r="D252" s="390" t="s">
        <v>620</v>
      </c>
      <c r="E252" s="412" t="str">
        <f t="shared" si="6"/>
        <v>FREDERICK B JENKINS FAMILY SCH</v>
      </c>
      <c r="F252" s="398">
        <v>20755.63</v>
      </c>
      <c r="G252" s="402">
        <v>0</v>
      </c>
      <c r="H252" s="402">
        <v>-98.33</v>
      </c>
      <c r="I252" s="402">
        <v>3864.36</v>
      </c>
      <c r="J252" s="402">
        <v>0</v>
      </c>
      <c r="K252" s="402">
        <v>0</v>
      </c>
      <c r="L252" s="402">
        <f t="shared" si="7"/>
        <v>24521.66</v>
      </c>
    </row>
    <row r="253" spans="1:12" ht="12.75" outlineLevel="1">
      <c r="A253" s="359" t="s">
        <v>621</v>
      </c>
      <c r="C253" s="411"/>
      <c r="D253" s="390" t="s">
        <v>622</v>
      </c>
      <c r="E253" s="412" t="str">
        <f t="shared" si="6"/>
        <v>ALAN HINTZ BANKING SCHOLARSHIP</v>
      </c>
      <c r="F253" s="398">
        <v>9247.59</v>
      </c>
      <c r="G253" s="402">
        <v>0</v>
      </c>
      <c r="H253" s="402">
        <v>-275.73</v>
      </c>
      <c r="I253" s="402">
        <v>1393.86</v>
      </c>
      <c r="J253" s="402">
        <v>0</v>
      </c>
      <c r="K253" s="402">
        <v>0</v>
      </c>
      <c r="L253" s="402">
        <f t="shared" si="7"/>
        <v>10365.720000000001</v>
      </c>
    </row>
    <row r="254" spans="1:12" ht="12.75" outlineLevel="1">
      <c r="A254" s="359" t="s">
        <v>623</v>
      </c>
      <c r="C254" s="411"/>
      <c r="D254" s="390" t="s">
        <v>624</v>
      </c>
      <c r="E254" s="412" t="str">
        <f t="shared" si="6"/>
        <v>CHARLENE BENTLEY SCH</v>
      </c>
      <c r="F254" s="398">
        <v>43291.56</v>
      </c>
      <c r="G254" s="402">
        <v>10000</v>
      </c>
      <c r="H254" s="402">
        <v>-800.37</v>
      </c>
      <c r="I254" s="402">
        <v>6140.51</v>
      </c>
      <c r="J254" s="402">
        <v>0</v>
      </c>
      <c r="K254" s="402">
        <v>0</v>
      </c>
      <c r="L254" s="402">
        <f t="shared" si="7"/>
        <v>58631.7</v>
      </c>
    </row>
    <row r="255" spans="1:12" ht="12.75" outlineLevel="1">
      <c r="A255" s="359" t="s">
        <v>625</v>
      </c>
      <c r="C255" s="411"/>
      <c r="D255" s="390" t="s">
        <v>626</v>
      </c>
      <c r="E255" s="412" t="str">
        <f t="shared" si="6"/>
        <v>SHIRLEY BEAN SCHOLARSHIP</v>
      </c>
      <c r="F255" s="398">
        <v>9899.7</v>
      </c>
      <c r="G255" s="402">
        <v>0</v>
      </c>
      <c r="H255" s="402">
        <v>-281.67</v>
      </c>
      <c r="I255" s="402">
        <v>1495.79</v>
      </c>
      <c r="J255" s="402">
        <v>0</v>
      </c>
      <c r="K255" s="402">
        <v>0</v>
      </c>
      <c r="L255" s="402">
        <f t="shared" si="7"/>
        <v>11113.82</v>
      </c>
    </row>
    <row r="256" spans="1:12" ht="12.75" outlineLevel="1">
      <c r="A256" s="359" t="s">
        <v>1094</v>
      </c>
      <c r="C256" s="411"/>
      <c r="D256" s="390" t="s">
        <v>1095</v>
      </c>
      <c r="E256" s="412" t="str">
        <f t="shared" si="6"/>
        <v>RICHARD GENTILE SCHOLARSHIP</v>
      </c>
      <c r="F256" s="398">
        <v>0</v>
      </c>
      <c r="G256" s="402">
        <v>200</v>
      </c>
      <c r="H256" s="402">
        <v>2.59</v>
      </c>
      <c r="I256" s="402">
        <v>10.78</v>
      </c>
      <c r="J256" s="402">
        <v>0</v>
      </c>
      <c r="K256" s="402">
        <v>0</v>
      </c>
      <c r="L256" s="402">
        <f t="shared" si="7"/>
        <v>213.37</v>
      </c>
    </row>
    <row r="257" spans="1:12" ht="12.75" outlineLevel="1">
      <c r="A257" s="359" t="s">
        <v>627</v>
      </c>
      <c r="C257" s="411"/>
      <c r="D257" s="390" t="s">
        <v>628</v>
      </c>
      <c r="E257" s="412" t="str">
        <f t="shared" si="6"/>
        <v>UMKC STAFF ASSEMBLY</v>
      </c>
      <c r="F257" s="398">
        <v>2201.24</v>
      </c>
      <c r="G257" s="402">
        <v>130</v>
      </c>
      <c r="H257" s="402">
        <v>159.25</v>
      </c>
      <c r="I257" s="402">
        <v>569.54</v>
      </c>
      <c r="J257" s="402">
        <v>0</v>
      </c>
      <c r="K257" s="402">
        <v>4000</v>
      </c>
      <c r="L257" s="402">
        <f t="shared" si="7"/>
        <v>7060.03</v>
      </c>
    </row>
    <row r="258" spans="1:12" ht="12.75" outlineLevel="1">
      <c r="A258" s="359" t="s">
        <v>629</v>
      </c>
      <c r="C258" s="411"/>
      <c r="D258" s="390" t="s">
        <v>630</v>
      </c>
      <c r="E258" s="412" t="str">
        <f t="shared" si="6"/>
        <v>EDWARD LYNCH MEMORIAL</v>
      </c>
      <c r="F258" s="398">
        <v>10145.47</v>
      </c>
      <c r="G258" s="402">
        <v>0</v>
      </c>
      <c r="H258" s="402">
        <v>-300.98</v>
      </c>
      <c r="I258" s="402">
        <v>1530.95</v>
      </c>
      <c r="J258" s="402">
        <v>6.88</v>
      </c>
      <c r="K258" s="402">
        <v>0</v>
      </c>
      <c r="L258" s="402">
        <f t="shared" si="7"/>
        <v>11368.560000000001</v>
      </c>
    </row>
    <row r="259" spans="1:12" ht="12.75" outlineLevel="1">
      <c r="A259" s="359" t="s">
        <v>631</v>
      </c>
      <c r="C259" s="411"/>
      <c r="D259" s="390" t="s">
        <v>632</v>
      </c>
      <c r="E259" s="412" t="str">
        <f t="shared" si="6"/>
        <v>NORMAN ROYAL PROF</v>
      </c>
      <c r="F259" s="398">
        <v>338525.5</v>
      </c>
      <c r="G259" s="402">
        <v>0</v>
      </c>
      <c r="H259" s="402">
        <v>19761.19</v>
      </c>
      <c r="I259" s="402">
        <v>-19417.4</v>
      </c>
      <c r="J259" s="402">
        <v>0</v>
      </c>
      <c r="K259" s="402">
        <v>0</v>
      </c>
      <c r="L259" s="402">
        <f t="shared" si="7"/>
        <v>338869.29</v>
      </c>
    </row>
    <row r="260" spans="1:12" ht="12.75" outlineLevel="1">
      <c r="A260" s="359" t="s">
        <v>633</v>
      </c>
      <c r="C260" s="411"/>
      <c r="D260" s="390" t="s">
        <v>634</v>
      </c>
      <c r="E260" s="412" t="str">
        <f t="shared" si="6"/>
        <v>VAL RAD PROF</v>
      </c>
      <c r="F260" s="398">
        <v>508933.61</v>
      </c>
      <c r="G260" s="402">
        <v>0</v>
      </c>
      <c r="H260" s="402">
        <v>-15175.26</v>
      </c>
      <c r="I260" s="402">
        <v>76709.85</v>
      </c>
      <c r="J260" s="402">
        <v>0</v>
      </c>
      <c r="K260" s="402">
        <v>0</v>
      </c>
      <c r="L260" s="402">
        <f t="shared" si="7"/>
        <v>570468.2</v>
      </c>
    </row>
    <row r="261" spans="1:13" ht="12.75" outlineLevel="1">
      <c r="A261" s="359" t="s">
        <v>635</v>
      </c>
      <c r="C261" s="411"/>
      <c r="D261" s="390" t="s">
        <v>636</v>
      </c>
      <c r="E261" s="381" t="str">
        <f t="shared" si="6"/>
        <v>RICHARD CASS PIANO SCHP</v>
      </c>
      <c r="F261" s="401">
        <v>17445.33</v>
      </c>
      <c r="G261" s="402">
        <v>4750</v>
      </c>
      <c r="H261" s="402">
        <v>-276.59</v>
      </c>
      <c r="I261" s="402">
        <v>2855.61</v>
      </c>
      <c r="J261" s="402">
        <v>0</v>
      </c>
      <c r="K261" s="402">
        <v>0</v>
      </c>
      <c r="L261" s="402">
        <f t="shared" si="7"/>
        <v>24774.350000000002</v>
      </c>
      <c r="M261" s="411"/>
    </row>
    <row r="262" spans="1:14" s="441" customFormat="1" ht="12.75" outlineLevel="1">
      <c r="A262" s="441" t="s">
        <v>637</v>
      </c>
      <c r="B262" s="442"/>
      <c r="C262" s="411"/>
      <c r="D262" s="411" t="s">
        <v>638</v>
      </c>
      <c r="E262" s="443" t="str">
        <f t="shared" si="6"/>
        <v>KENNETH &amp; EVA SMITH FNDTN FUND</v>
      </c>
      <c r="F262" s="444">
        <v>14694.03</v>
      </c>
      <c r="G262" s="445">
        <v>0</v>
      </c>
      <c r="H262" s="445">
        <v>-438.14</v>
      </c>
      <c r="I262" s="445">
        <v>2214.78</v>
      </c>
      <c r="J262" s="445">
        <v>0</v>
      </c>
      <c r="K262" s="445">
        <v>0</v>
      </c>
      <c r="L262" s="445">
        <f t="shared" si="7"/>
        <v>16470.670000000002</v>
      </c>
      <c r="M262" s="408"/>
      <c r="N262" s="446"/>
    </row>
    <row r="263" spans="1:12" ht="12.75" outlineLevel="1">
      <c r="A263" s="359" t="s">
        <v>639</v>
      </c>
      <c r="C263" s="411"/>
      <c r="D263" s="390" t="s">
        <v>640</v>
      </c>
      <c r="E263" s="412" t="str">
        <f t="shared" si="6"/>
        <v>ADAM E ERICSSON ENDOW FUND</v>
      </c>
      <c r="F263" s="398">
        <v>116239.84</v>
      </c>
      <c r="G263" s="402">
        <v>0</v>
      </c>
      <c r="H263" s="402">
        <v>-3466.02</v>
      </c>
      <c r="I263" s="402">
        <v>17520.42</v>
      </c>
      <c r="J263" s="402">
        <v>0</v>
      </c>
      <c r="K263" s="402">
        <v>0</v>
      </c>
      <c r="L263" s="402">
        <f t="shared" si="7"/>
        <v>130294.23999999999</v>
      </c>
    </row>
    <row r="264" spans="1:12" ht="12.75" outlineLevel="1">
      <c r="A264" s="359" t="s">
        <v>641</v>
      </c>
      <c r="C264" s="411"/>
      <c r="D264" s="390" t="s">
        <v>642</v>
      </c>
      <c r="E264" s="412" t="str">
        <f t="shared" si="6"/>
        <v>BHARAT SHAH ACADEM SCSP ENDOW</v>
      </c>
      <c r="F264" s="398">
        <v>21417.79</v>
      </c>
      <c r="G264" s="402">
        <v>5000</v>
      </c>
      <c r="H264" s="402">
        <v>-422.31</v>
      </c>
      <c r="I264" s="402">
        <v>3664.81</v>
      </c>
      <c r="J264" s="402">
        <v>0</v>
      </c>
      <c r="K264" s="402">
        <v>0</v>
      </c>
      <c r="L264" s="402">
        <f t="shared" si="7"/>
        <v>29660.29</v>
      </c>
    </row>
    <row r="265" spans="1:12" ht="12.75" outlineLevel="1">
      <c r="A265" s="359" t="s">
        <v>643</v>
      </c>
      <c r="C265" s="411"/>
      <c r="D265" s="390" t="s">
        <v>644</v>
      </c>
      <c r="E265" s="412" t="str">
        <f t="shared" si="6"/>
        <v>MW &amp; SS FELD</v>
      </c>
      <c r="F265" s="398">
        <v>274328.53</v>
      </c>
      <c r="G265" s="402">
        <v>0</v>
      </c>
      <c r="H265" s="402">
        <v>-8179.86</v>
      </c>
      <c r="I265" s="402">
        <v>41348.62</v>
      </c>
      <c r="J265" s="402">
        <v>0</v>
      </c>
      <c r="K265" s="402">
        <v>0</v>
      </c>
      <c r="L265" s="402">
        <f t="shared" si="7"/>
        <v>307497.29000000004</v>
      </c>
    </row>
    <row r="266" spans="1:12" ht="12.75" outlineLevel="1">
      <c r="A266" s="359" t="s">
        <v>645</v>
      </c>
      <c r="C266" s="411"/>
      <c r="D266" s="390" t="s">
        <v>646</v>
      </c>
      <c r="E266" s="412" t="str">
        <f aca="true" t="shared" si="8" ref="E266:E329">UPPER(D266)</f>
        <v>LOEFFELHOLZ SCHP ENGINEERING</v>
      </c>
      <c r="F266" s="398">
        <v>14063.55</v>
      </c>
      <c r="G266" s="402">
        <v>0</v>
      </c>
      <c r="H266" s="402">
        <v>-396.97</v>
      </c>
      <c r="I266" s="402">
        <v>2127.9</v>
      </c>
      <c r="J266" s="402">
        <v>0</v>
      </c>
      <c r="K266" s="402">
        <v>0</v>
      </c>
      <c r="L266" s="402">
        <f aca="true" t="shared" si="9" ref="L266:L329">F266+G266+H266+I266-J266+K266</f>
        <v>15794.48</v>
      </c>
    </row>
    <row r="267" spans="1:12" ht="12.75" outlineLevel="1">
      <c r="A267" s="359" t="s">
        <v>647</v>
      </c>
      <c r="C267" s="411"/>
      <c r="D267" s="390" t="s">
        <v>648</v>
      </c>
      <c r="E267" s="412" t="str">
        <f t="shared" si="8"/>
        <v>SUZANNE CRISPIN WILLIAMS FUND</v>
      </c>
      <c r="F267" s="398">
        <v>18357.17</v>
      </c>
      <c r="G267" s="402">
        <v>1320</v>
      </c>
      <c r="H267" s="402">
        <v>-511.97</v>
      </c>
      <c r="I267" s="402">
        <v>2835.6</v>
      </c>
      <c r="J267" s="402">
        <v>0</v>
      </c>
      <c r="K267" s="402">
        <v>0</v>
      </c>
      <c r="L267" s="402">
        <f t="shared" si="9"/>
        <v>22000.799999999996</v>
      </c>
    </row>
    <row r="268" spans="1:12" ht="12.75" outlineLevel="1">
      <c r="A268" s="359" t="s">
        <v>649</v>
      </c>
      <c r="C268" s="411"/>
      <c r="D268" s="390" t="s">
        <v>650</v>
      </c>
      <c r="E268" s="412" t="str">
        <f t="shared" si="8"/>
        <v>DIV ACCOUNTANCY RESOURCE ENDW</v>
      </c>
      <c r="F268" s="398">
        <v>97605.7</v>
      </c>
      <c r="G268" s="402">
        <v>0</v>
      </c>
      <c r="H268" s="402">
        <v>-3550.55</v>
      </c>
      <c r="I268" s="402">
        <v>0</v>
      </c>
      <c r="J268" s="402">
        <v>0</v>
      </c>
      <c r="K268" s="402">
        <v>-92806.52</v>
      </c>
      <c r="L268" s="402">
        <f t="shared" si="9"/>
        <v>1248.62999999999</v>
      </c>
    </row>
    <row r="269" spans="1:12" ht="12.75" outlineLevel="1">
      <c r="A269" s="359" t="s">
        <v>651</v>
      </c>
      <c r="C269" s="411"/>
      <c r="D269" s="390" t="s">
        <v>652</v>
      </c>
      <c r="E269" s="412" t="str">
        <f t="shared" si="8"/>
        <v>HUGH ZIMMER SCHOLARSHIP</v>
      </c>
      <c r="F269" s="398">
        <v>72116.33</v>
      </c>
      <c r="G269" s="402">
        <v>0</v>
      </c>
      <c r="H269" s="402">
        <v>-555.42</v>
      </c>
      <c r="I269" s="402">
        <v>8028.47</v>
      </c>
      <c r="J269" s="402">
        <v>79589.38</v>
      </c>
      <c r="K269" s="402">
        <v>0</v>
      </c>
      <c r="L269" s="402">
        <f t="shared" si="9"/>
        <v>0</v>
      </c>
    </row>
    <row r="270" spans="1:12" ht="12.75" outlineLevel="1">
      <c r="A270" s="359" t="s">
        <v>653</v>
      </c>
      <c r="C270" s="411"/>
      <c r="D270" s="390" t="s">
        <v>654</v>
      </c>
      <c r="E270" s="412" t="str">
        <f t="shared" si="8"/>
        <v>EISENMAN SCHOLARSHIP</v>
      </c>
      <c r="F270" s="398">
        <v>138852.45</v>
      </c>
      <c r="G270" s="402">
        <v>0</v>
      </c>
      <c r="H270" s="402">
        <v>-3293.61</v>
      </c>
      <c r="I270" s="402">
        <v>29042.36</v>
      </c>
      <c r="J270" s="402">
        <v>0</v>
      </c>
      <c r="K270" s="402">
        <v>0</v>
      </c>
      <c r="L270" s="402">
        <f t="shared" si="9"/>
        <v>164601.2</v>
      </c>
    </row>
    <row r="271" spans="1:12" ht="12.75" outlineLevel="1">
      <c r="A271" s="359" t="s">
        <v>655</v>
      </c>
      <c r="C271" s="411"/>
      <c r="D271" s="390" t="s">
        <v>656</v>
      </c>
      <c r="E271" s="412" t="str">
        <f t="shared" si="8"/>
        <v>KS DENT STUDENT SILVER LINING</v>
      </c>
      <c r="F271" s="398">
        <v>97317.85</v>
      </c>
      <c r="G271" s="402">
        <v>0</v>
      </c>
      <c r="H271" s="402">
        <v>-2904.36</v>
      </c>
      <c r="I271" s="402">
        <v>14660.41</v>
      </c>
      <c r="J271" s="402">
        <v>0</v>
      </c>
      <c r="K271" s="402">
        <v>0</v>
      </c>
      <c r="L271" s="402">
        <f t="shared" si="9"/>
        <v>109073.90000000001</v>
      </c>
    </row>
    <row r="272" spans="1:12" ht="12.75" outlineLevel="1">
      <c r="A272" s="359" t="s">
        <v>657</v>
      </c>
      <c r="C272" s="411"/>
      <c r="D272" s="390" t="s">
        <v>658</v>
      </c>
      <c r="E272" s="412" t="str">
        <f t="shared" si="8"/>
        <v>M.B. RICKARD MENTOR PROGRAM</v>
      </c>
      <c r="F272" s="398">
        <v>9861.67</v>
      </c>
      <c r="G272" s="402">
        <v>0</v>
      </c>
      <c r="H272" s="402">
        <v>-292.09</v>
      </c>
      <c r="I272" s="402">
        <v>1494.96</v>
      </c>
      <c r="J272" s="402">
        <v>0</v>
      </c>
      <c r="K272" s="402">
        <v>0</v>
      </c>
      <c r="L272" s="402">
        <f t="shared" si="9"/>
        <v>11064.54</v>
      </c>
    </row>
    <row r="273" spans="1:12" ht="12.75" outlineLevel="1">
      <c r="A273" s="359" t="s">
        <v>659</v>
      </c>
      <c r="C273" s="411"/>
      <c r="D273" s="390" t="s">
        <v>660</v>
      </c>
      <c r="E273" s="412" t="str">
        <f t="shared" si="8"/>
        <v>HERBERT&amp;MAXINE CHRISTENSEN SCH</v>
      </c>
      <c r="F273" s="398">
        <v>249320.94</v>
      </c>
      <c r="G273" s="402">
        <v>0</v>
      </c>
      <c r="H273" s="402">
        <v>-7392.89</v>
      </c>
      <c r="I273" s="402">
        <v>37759.17</v>
      </c>
      <c r="J273" s="402">
        <v>0</v>
      </c>
      <c r="K273" s="402">
        <v>0</v>
      </c>
      <c r="L273" s="402">
        <f t="shared" si="9"/>
        <v>279687.22</v>
      </c>
    </row>
    <row r="274" spans="1:12" ht="12.75" outlineLevel="1">
      <c r="A274" s="359" t="s">
        <v>661</v>
      </c>
      <c r="C274" s="411"/>
      <c r="D274" s="390" t="s">
        <v>662</v>
      </c>
      <c r="E274" s="412" t="str">
        <f t="shared" si="8"/>
        <v>TRUMAN STAUFFER SCHOLARSHIP</v>
      </c>
      <c r="F274" s="398">
        <v>51190.94</v>
      </c>
      <c r="G274" s="402">
        <v>0</v>
      </c>
      <c r="H274" s="402">
        <v>-671.73</v>
      </c>
      <c r="I274" s="402">
        <v>7659.84</v>
      </c>
      <c r="J274" s="402">
        <v>0</v>
      </c>
      <c r="K274" s="402">
        <v>0</v>
      </c>
      <c r="L274" s="402">
        <f t="shared" si="9"/>
        <v>58179.05</v>
      </c>
    </row>
    <row r="275" spans="1:12" ht="12.75" outlineLevel="1">
      <c r="A275" s="359" t="s">
        <v>663</v>
      </c>
      <c r="C275" s="411"/>
      <c r="D275" s="390" t="s">
        <v>664</v>
      </c>
      <c r="E275" s="412" t="str">
        <f t="shared" si="8"/>
        <v>RAYMOND NEEVEL MO PROFESSOR</v>
      </c>
      <c r="F275" s="398">
        <v>545284.27</v>
      </c>
      <c r="G275" s="402">
        <v>0</v>
      </c>
      <c r="H275" s="402">
        <v>-16037.42</v>
      </c>
      <c r="I275" s="402">
        <v>79054.73</v>
      </c>
      <c r="J275" s="402">
        <v>0</v>
      </c>
      <c r="K275" s="402">
        <v>0</v>
      </c>
      <c r="L275" s="402">
        <f t="shared" si="9"/>
        <v>608301.58</v>
      </c>
    </row>
    <row r="276" spans="1:12" ht="12.75" outlineLevel="1">
      <c r="A276" s="359" t="s">
        <v>665</v>
      </c>
      <c r="C276" s="411"/>
      <c r="D276" s="390" t="s">
        <v>666</v>
      </c>
      <c r="E276" s="412" t="str">
        <f t="shared" si="8"/>
        <v>JOHN SCOTT SHEPHERD ENDOWMENT</v>
      </c>
      <c r="F276" s="398">
        <v>7242.34</v>
      </c>
      <c r="G276" s="402">
        <v>0</v>
      </c>
      <c r="H276" s="402">
        <v>150.12</v>
      </c>
      <c r="I276" s="402">
        <v>1114.92</v>
      </c>
      <c r="J276" s="402">
        <v>0</v>
      </c>
      <c r="K276" s="402">
        <v>0</v>
      </c>
      <c r="L276" s="402">
        <f t="shared" si="9"/>
        <v>8507.380000000001</v>
      </c>
    </row>
    <row r="277" spans="1:12" ht="12.75" outlineLevel="1">
      <c r="A277" s="359" t="s">
        <v>667</v>
      </c>
      <c r="C277" s="411"/>
      <c r="D277" s="390" t="s">
        <v>668</v>
      </c>
      <c r="E277" s="412" t="str">
        <f t="shared" si="8"/>
        <v>GERALD KEMNER COMPOSITION ENDO</v>
      </c>
      <c r="F277" s="398">
        <v>13015.52</v>
      </c>
      <c r="G277" s="402">
        <v>1500</v>
      </c>
      <c r="H277" s="402">
        <v>-234.53</v>
      </c>
      <c r="I277" s="402">
        <v>2150.49</v>
      </c>
      <c r="J277" s="402">
        <v>0</v>
      </c>
      <c r="K277" s="402">
        <v>0</v>
      </c>
      <c r="L277" s="402">
        <f t="shared" si="9"/>
        <v>16431.48</v>
      </c>
    </row>
    <row r="278" spans="1:12" ht="12.75" outlineLevel="1">
      <c r="A278" s="359" t="s">
        <v>669</v>
      </c>
      <c r="C278" s="411"/>
      <c r="D278" s="390" t="s">
        <v>670</v>
      </c>
      <c r="E278" s="412" t="str">
        <f t="shared" si="8"/>
        <v>W&amp;M PERRY MED REF COLLCTION FD</v>
      </c>
      <c r="F278" s="398">
        <v>1227523.18</v>
      </c>
      <c r="G278" s="402">
        <v>0</v>
      </c>
      <c r="H278" s="402">
        <v>-36536.14</v>
      </c>
      <c r="I278" s="402">
        <v>185144</v>
      </c>
      <c r="J278" s="402">
        <v>0</v>
      </c>
      <c r="K278" s="402">
        <v>0</v>
      </c>
      <c r="L278" s="402">
        <f t="shared" si="9"/>
        <v>1376131.04</v>
      </c>
    </row>
    <row r="279" spans="1:12" ht="12.75" outlineLevel="1">
      <c r="A279" s="359" t="s">
        <v>671</v>
      </c>
      <c r="C279" s="411"/>
      <c r="D279" s="390" t="s">
        <v>672</v>
      </c>
      <c r="E279" s="412" t="str">
        <f t="shared" si="8"/>
        <v>JOHN KANDER SCHOLARSHIP ENDOW</v>
      </c>
      <c r="F279" s="398">
        <v>53375.64</v>
      </c>
      <c r="G279" s="402">
        <v>25</v>
      </c>
      <c r="H279" s="402">
        <v>-1280.37</v>
      </c>
      <c r="I279" s="402">
        <v>8618.03</v>
      </c>
      <c r="J279" s="402">
        <v>0</v>
      </c>
      <c r="K279" s="402">
        <v>0</v>
      </c>
      <c r="L279" s="402">
        <f t="shared" si="9"/>
        <v>60738.299999999996</v>
      </c>
    </row>
    <row r="280" spans="1:12" ht="12.75" outlineLevel="1">
      <c r="A280" s="359" t="s">
        <v>673</v>
      </c>
      <c r="C280" s="411"/>
      <c r="D280" s="390" t="s">
        <v>674</v>
      </c>
      <c r="E280" s="412" t="str">
        <f t="shared" si="8"/>
        <v>JOHN GUTOWSKI FUND</v>
      </c>
      <c r="F280" s="398">
        <v>11642.99</v>
      </c>
      <c r="G280" s="402">
        <v>0</v>
      </c>
      <c r="H280" s="402">
        <v>243.44</v>
      </c>
      <c r="I280" s="402">
        <v>1936.03</v>
      </c>
      <c r="J280" s="402">
        <v>0</v>
      </c>
      <c r="K280" s="402">
        <v>0</v>
      </c>
      <c r="L280" s="402">
        <f t="shared" si="9"/>
        <v>13822.460000000001</v>
      </c>
    </row>
    <row r="281" spans="1:12" ht="12.75" outlineLevel="1">
      <c r="A281" s="359" t="s">
        <v>675</v>
      </c>
      <c r="C281" s="411"/>
      <c r="D281" s="390" t="s">
        <v>676</v>
      </c>
      <c r="E281" s="412" t="str">
        <f t="shared" si="8"/>
        <v>RUTH MARGOLIN LEADERSHIP ENDOW</v>
      </c>
      <c r="F281" s="398">
        <v>11320.87</v>
      </c>
      <c r="G281" s="402">
        <v>1600</v>
      </c>
      <c r="H281" s="402">
        <v>-266.72</v>
      </c>
      <c r="I281" s="402">
        <v>1851.14</v>
      </c>
      <c r="J281" s="402">
        <v>0</v>
      </c>
      <c r="K281" s="402">
        <v>0</v>
      </c>
      <c r="L281" s="402">
        <f t="shared" si="9"/>
        <v>14505.29</v>
      </c>
    </row>
    <row r="282" spans="1:12" ht="12.75" outlineLevel="1">
      <c r="A282" s="359" t="s">
        <v>677</v>
      </c>
      <c r="C282" s="411"/>
      <c r="D282" s="390" t="s">
        <v>678</v>
      </c>
      <c r="E282" s="412" t="str">
        <f t="shared" si="8"/>
        <v>WOMEN'S CENTER ENDOWMENT</v>
      </c>
      <c r="F282" s="398">
        <v>202.26</v>
      </c>
      <c r="G282" s="402">
        <v>0</v>
      </c>
      <c r="H282" s="402">
        <v>4.18</v>
      </c>
      <c r="I282" s="402">
        <v>31.02</v>
      </c>
      <c r="J282" s="402">
        <v>0</v>
      </c>
      <c r="K282" s="402">
        <v>0</v>
      </c>
      <c r="L282" s="402">
        <f t="shared" si="9"/>
        <v>237.46</v>
      </c>
    </row>
    <row r="283" spans="1:12" ht="12.75" outlineLevel="1">
      <c r="A283" s="359" t="s">
        <v>679</v>
      </c>
      <c r="C283" s="411"/>
      <c r="D283" s="390" t="s">
        <v>680</v>
      </c>
      <c r="E283" s="412" t="str">
        <f t="shared" si="8"/>
        <v>CHARMAINE ASHER-WILEY SCHOLARS</v>
      </c>
      <c r="F283" s="398">
        <v>370.99</v>
      </c>
      <c r="G283" s="402">
        <v>50</v>
      </c>
      <c r="H283" s="402">
        <v>5.64</v>
      </c>
      <c r="I283" s="402">
        <v>35.95</v>
      </c>
      <c r="J283" s="402">
        <v>113.65</v>
      </c>
      <c r="K283" s="402">
        <v>0</v>
      </c>
      <c r="L283" s="402">
        <f t="shared" si="9"/>
        <v>348.92999999999995</v>
      </c>
    </row>
    <row r="284" spans="1:12" ht="12.75" outlineLevel="1">
      <c r="A284" s="359" t="s">
        <v>681</v>
      </c>
      <c r="C284" s="411"/>
      <c r="D284" s="390" t="s">
        <v>682</v>
      </c>
      <c r="E284" s="412" t="str">
        <f t="shared" si="8"/>
        <v>RALPH I.PARISH JR. MEMOR SCHOL</v>
      </c>
      <c r="F284" s="398">
        <v>10788.76</v>
      </c>
      <c r="G284" s="402">
        <v>600</v>
      </c>
      <c r="H284" s="402">
        <v>-114.36</v>
      </c>
      <c r="I284" s="402">
        <v>1668.67</v>
      </c>
      <c r="J284" s="402">
        <v>0</v>
      </c>
      <c r="K284" s="402">
        <v>0</v>
      </c>
      <c r="L284" s="402">
        <f t="shared" si="9"/>
        <v>12943.07</v>
      </c>
    </row>
    <row r="285" spans="1:12" ht="12.75" outlineLevel="1">
      <c r="A285" s="359" t="s">
        <v>683</v>
      </c>
      <c r="C285" s="411"/>
      <c r="D285" s="390" t="s">
        <v>684</v>
      </c>
      <c r="E285" s="412" t="str">
        <f t="shared" si="8"/>
        <v>RUTH TULEY SCHOLARSHIP</v>
      </c>
      <c r="F285" s="398">
        <v>57021.94</v>
      </c>
      <c r="G285" s="402">
        <v>0</v>
      </c>
      <c r="H285" s="402">
        <v>-497.2</v>
      </c>
      <c r="I285" s="402">
        <v>9516.86</v>
      </c>
      <c r="J285" s="402">
        <v>0</v>
      </c>
      <c r="K285" s="402">
        <v>0</v>
      </c>
      <c r="L285" s="402">
        <f t="shared" si="9"/>
        <v>66041.6</v>
      </c>
    </row>
    <row r="286" spans="1:12" ht="12.75" outlineLevel="1">
      <c r="A286" s="359" t="s">
        <v>685</v>
      </c>
      <c r="C286" s="411"/>
      <c r="D286" s="390" t="s">
        <v>686</v>
      </c>
      <c r="E286" s="412" t="str">
        <f t="shared" si="8"/>
        <v>EVERETT TROST SCHOLARSHIP</v>
      </c>
      <c r="F286" s="398">
        <v>128874.01</v>
      </c>
      <c r="G286" s="402">
        <v>74601.82</v>
      </c>
      <c r="H286" s="402">
        <v>-1444.29</v>
      </c>
      <c r="I286" s="402">
        <v>36607.15</v>
      </c>
      <c r="J286" s="402">
        <v>0</v>
      </c>
      <c r="K286" s="402">
        <v>0</v>
      </c>
      <c r="L286" s="402">
        <f t="shared" si="9"/>
        <v>238638.69</v>
      </c>
    </row>
    <row r="287" spans="1:12" ht="12.75" outlineLevel="1">
      <c r="A287" s="359" t="s">
        <v>687</v>
      </c>
      <c r="C287" s="411"/>
      <c r="D287" s="390" t="s">
        <v>688</v>
      </c>
      <c r="E287" s="412" t="str">
        <f t="shared" si="8"/>
        <v>DICKSON CHAIR</v>
      </c>
      <c r="F287" s="398">
        <v>1156516.37</v>
      </c>
      <c r="G287" s="402">
        <v>0</v>
      </c>
      <c r="H287" s="402">
        <v>-25480.59</v>
      </c>
      <c r="I287" s="402">
        <v>213519.89</v>
      </c>
      <c r="J287" s="402">
        <v>0</v>
      </c>
      <c r="K287" s="402">
        <v>0</v>
      </c>
      <c r="L287" s="402">
        <f t="shared" si="9"/>
        <v>1344555.67</v>
      </c>
    </row>
    <row r="288" spans="1:13" ht="12.75" outlineLevel="1">
      <c r="A288" s="359" t="s">
        <v>689</v>
      </c>
      <c r="C288" s="411"/>
      <c r="D288" s="390" t="s">
        <v>690</v>
      </c>
      <c r="E288" s="381" t="str">
        <f t="shared" si="8"/>
        <v>WILLIAM &amp; FAY SOLLNER SCHP</v>
      </c>
      <c r="F288" s="401">
        <v>11571.03</v>
      </c>
      <c r="G288" s="402">
        <v>1000</v>
      </c>
      <c r="H288" s="402">
        <v>-231.07</v>
      </c>
      <c r="I288" s="402">
        <v>2105.58</v>
      </c>
      <c r="J288" s="402">
        <v>0</v>
      </c>
      <c r="K288" s="402">
        <v>0</v>
      </c>
      <c r="L288" s="402">
        <f t="shared" si="9"/>
        <v>14445.54</v>
      </c>
      <c r="M288" s="411"/>
    </row>
    <row r="289" spans="1:14" s="441" customFormat="1" ht="12.75" outlineLevel="1">
      <c r="A289" s="441" t="s">
        <v>691</v>
      </c>
      <c r="B289" s="442"/>
      <c r="C289" s="411"/>
      <c r="D289" s="411" t="s">
        <v>692</v>
      </c>
      <c r="E289" s="443" t="str">
        <f t="shared" si="8"/>
        <v>LEE MARTS SCHOLARSHIP</v>
      </c>
      <c r="F289" s="444">
        <v>5256.87</v>
      </c>
      <c r="G289" s="445">
        <v>6000</v>
      </c>
      <c r="H289" s="445">
        <v>-10.12</v>
      </c>
      <c r="I289" s="445">
        <v>1134.3</v>
      </c>
      <c r="J289" s="445">
        <v>0</v>
      </c>
      <c r="K289" s="445">
        <v>0</v>
      </c>
      <c r="L289" s="445">
        <f t="shared" si="9"/>
        <v>12381.049999999997</v>
      </c>
      <c r="M289" s="408"/>
      <c r="N289" s="446"/>
    </row>
    <row r="290" spans="1:12" ht="12.75" outlineLevel="1">
      <c r="A290" s="359" t="s">
        <v>693</v>
      </c>
      <c r="C290" s="411"/>
      <c r="D290" s="390" t="s">
        <v>694</v>
      </c>
      <c r="E290" s="412" t="str">
        <f t="shared" si="8"/>
        <v>HUBERT J. CHARTRAND PIANS SCHP</v>
      </c>
      <c r="F290" s="398">
        <v>66961.44</v>
      </c>
      <c r="G290" s="402">
        <v>0</v>
      </c>
      <c r="H290" s="402">
        <v>-1248.29</v>
      </c>
      <c r="I290" s="402">
        <v>16866.51</v>
      </c>
      <c r="J290" s="402">
        <v>0</v>
      </c>
      <c r="K290" s="402">
        <v>0</v>
      </c>
      <c r="L290" s="402">
        <f t="shared" si="9"/>
        <v>82579.66</v>
      </c>
    </row>
    <row r="291" spans="1:12" ht="12.75" outlineLevel="1">
      <c r="A291" s="359" t="s">
        <v>695</v>
      </c>
      <c r="C291" s="411"/>
      <c r="D291" s="390" t="s">
        <v>696</v>
      </c>
      <c r="E291" s="412" t="str">
        <f t="shared" si="8"/>
        <v>BUD PERSONS MEMORIAL SCHP</v>
      </c>
      <c r="F291" s="398">
        <v>1060.52</v>
      </c>
      <c r="G291" s="402">
        <v>4500</v>
      </c>
      <c r="H291" s="402">
        <v>34.63</v>
      </c>
      <c r="I291" s="402">
        <v>144.84</v>
      </c>
      <c r="J291" s="402">
        <v>0</v>
      </c>
      <c r="K291" s="402">
        <v>0</v>
      </c>
      <c r="L291" s="402">
        <f t="shared" si="9"/>
        <v>5739.990000000001</v>
      </c>
    </row>
    <row r="292" spans="1:12" ht="12.75" outlineLevel="1">
      <c r="A292" s="359" t="s">
        <v>697</v>
      </c>
      <c r="C292" s="411"/>
      <c r="D292" s="390" t="s">
        <v>698</v>
      </c>
      <c r="E292" s="412" t="str">
        <f t="shared" si="8"/>
        <v>HISTORY DEPARTMENT SCHOLARSHIP</v>
      </c>
      <c r="F292" s="398">
        <v>13525.87</v>
      </c>
      <c r="G292" s="402">
        <v>2500</v>
      </c>
      <c r="H292" s="402">
        <v>-84.74</v>
      </c>
      <c r="I292" s="402">
        <v>2226.89</v>
      </c>
      <c r="J292" s="402">
        <v>0</v>
      </c>
      <c r="K292" s="402">
        <v>0</v>
      </c>
      <c r="L292" s="402">
        <f t="shared" si="9"/>
        <v>18168.02</v>
      </c>
    </row>
    <row r="293" spans="1:12" ht="12.75" outlineLevel="1">
      <c r="A293" s="359" t="s">
        <v>699</v>
      </c>
      <c r="C293" s="411"/>
      <c r="D293" s="390" t="s">
        <v>700</v>
      </c>
      <c r="E293" s="412" t="str">
        <f t="shared" si="8"/>
        <v>EPH EHLY CHORAL CONDUCTING SCH</v>
      </c>
      <c r="F293" s="398">
        <v>11712.96</v>
      </c>
      <c r="G293" s="402">
        <v>1086.96</v>
      </c>
      <c r="H293" s="402">
        <v>-73.38</v>
      </c>
      <c r="I293" s="402">
        <v>1923.81</v>
      </c>
      <c r="J293" s="402">
        <v>0</v>
      </c>
      <c r="K293" s="402">
        <v>0</v>
      </c>
      <c r="L293" s="402">
        <f t="shared" si="9"/>
        <v>14650.349999999999</v>
      </c>
    </row>
    <row r="294" spans="1:12" ht="12.75" outlineLevel="1">
      <c r="A294" s="359" t="s">
        <v>701</v>
      </c>
      <c r="C294" s="411"/>
      <c r="D294" s="390" t="s">
        <v>702</v>
      </c>
      <c r="E294" s="412" t="str">
        <f t="shared" si="8"/>
        <v>EUGENE W J PEARCE AWARD FOR EX</v>
      </c>
      <c r="F294" s="398">
        <v>19284.28</v>
      </c>
      <c r="G294" s="402">
        <v>0</v>
      </c>
      <c r="H294" s="402">
        <v>-244.05</v>
      </c>
      <c r="I294" s="402">
        <v>3125.12</v>
      </c>
      <c r="J294" s="402">
        <v>0</v>
      </c>
      <c r="K294" s="402">
        <v>0</v>
      </c>
      <c r="L294" s="402">
        <f t="shared" si="9"/>
        <v>22165.35</v>
      </c>
    </row>
    <row r="295" spans="1:12" ht="12.75" outlineLevel="1">
      <c r="A295" s="359" t="s">
        <v>703</v>
      </c>
      <c r="C295" s="411"/>
      <c r="D295" s="390" t="s">
        <v>704</v>
      </c>
      <c r="E295" s="412" t="str">
        <f t="shared" si="8"/>
        <v>JAMES &amp; KATHERYN TAYLOR SCHLP</v>
      </c>
      <c r="F295" s="398">
        <v>10247.24</v>
      </c>
      <c r="G295" s="402">
        <v>1000</v>
      </c>
      <c r="H295" s="402">
        <v>1735.79</v>
      </c>
      <c r="I295" s="402">
        <v>9538.97</v>
      </c>
      <c r="J295" s="402">
        <v>0</v>
      </c>
      <c r="K295" s="402">
        <v>0</v>
      </c>
      <c r="L295" s="402">
        <f t="shared" si="9"/>
        <v>22522</v>
      </c>
    </row>
    <row r="296" spans="1:12" ht="12.75" outlineLevel="1">
      <c r="A296" s="359" t="s">
        <v>705</v>
      </c>
      <c r="C296" s="411"/>
      <c r="D296" s="390" t="s">
        <v>706</v>
      </c>
      <c r="E296" s="412" t="str">
        <f t="shared" si="8"/>
        <v>TERRY &amp; KATHLEEN MYERS SCHLP</v>
      </c>
      <c r="F296" s="398">
        <v>7000</v>
      </c>
      <c r="G296" s="402">
        <v>0</v>
      </c>
      <c r="H296" s="402">
        <v>36.47</v>
      </c>
      <c r="I296" s="402">
        <v>-60.08</v>
      </c>
      <c r="J296" s="402">
        <v>0</v>
      </c>
      <c r="K296" s="402">
        <v>0</v>
      </c>
      <c r="L296" s="402">
        <f t="shared" si="9"/>
        <v>6976.39</v>
      </c>
    </row>
    <row r="297" spans="1:12" ht="12.75" outlineLevel="1">
      <c r="A297" s="359" t="s">
        <v>707</v>
      </c>
      <c r="C297" s="411"/>
      <c r="D297" s="390" t="s">
        <v>708</v>
      </c>
      <c r="E297" s="412" t="str">
        <f t="shared" si="8"/>
        <v>LIBRARIAN AWARD</v>
      </c>
      <c r="F297" s="398">
        <v>358.27</v>
      </c>
      <c r="G297" s="402">
        <v>585</v>
      </c>
      <c r="H297" s="402">
        <v>18.12</v>
      </c>
      <c r="I297" s="402">
        <v>79.58</v>
      </c>
      <c r="J297" s="402">
        <v>0</v>
      </c>
      <c r="K297" s="402">
        <v>0</v>
      </c>
      <c r="L297" s="402">
        <f t="shared" si="9"/>
        <v>1040.97</v>
      </c>
    </row>
    <row r="298" spans="1:12" ht="12.75" outlineLevel="1">
      <c r="A298" s="359" t="s">
        <v>709</v>
      </c>
      <c r="C298" s="411"/>
      <c r="D298" s="390" t="s">
        <v>710</v>
      </c>
      <c r="E298" s="412" t="str">
        <f t="shared" si="8"/>
        <v>FARNSWORTH SCHOLARSHIP</v>
      </c>
      <c r="F298" s="398">
        <v>1707.95</v>
      </c>
      <c r="G298" s="402">
        <v>2001</v>
      </c>
      <c r="H298" s="402">
        <v>58.54</v>
      </c>
      <c r="I298" s="402">
        <v>326.4</v>
      </c>
      <c r="J298" s="402">
        <v>0</v>
      </c>
      <c r="K298" s="402">
        <v>0</v>
      </c>
      <c r="L298" s="402">
        <f t="shared" si="9"/>
        <v>4093.89</v>
      </c>
    </row>
    <row r="299" spans="1:12" ht="12.75" outlineLevel="1">
      <c r="A299" s="359" t="s">
        <v>711</v>
      </c>
      <c r="C299" s="411"/>
      <c r="D299" s="390" t="s">
        <v>712</v>
      </c>
      <c r="E299" s="412" t="str">
        <f t="shared" si="8"/>
        <v>GREAT PLAINS DSTNGUISH FELLOWS</v>
      </c>
      <c r="F299" s="398">
        <v>21344.21</v>
      </c>
      <c r="G299" s="402">
        <v>0</v>
      </c>
      <c r="H299" s="402">
        <v>450.3</v>
      </c>
      <c r="I299" s="402">
        <v>4003.26</v>
      </c>
      <c r="J299" s="402">
        <v>0</v>
      </c>
      <c r="K299" s="402">
        <v>0</v>
      </c>
      <c r="L299" s="402">
        <f t="shared" si="9"/>
        <v>25797.769999999997</v>
      </c>
    </row>
    <row r="300" spans="1:12" ht="12.75" outlineLevel="1">
      <c r="A300" s="359" t="s">
        <v>713</v>
      </c>
      <c r="C300" s="411"/>
      <c r="D300" s="390" t="s">
        <v>714</v>
      </c>
      <c r="E300" s="412" t="str">
        <f t="shared" si="8"/>
        <v>F. CULLINAN &amp; B. SMITH SCHLP</v>
      </c>
      <c r="F300" s="398">
        <v>10672.1</v>
      </c>
      <c r="G300" s="402">
        <v>0</v>
      </c>
      <c r="H300" s="402">
        <v>-50.57</v>
      </c>
      <c r="I300" s="402">
        <v>1987</v>
      </c>
      <c r="J300" s="402">
        <v>0</v>
      </c>
      <c r="K300" s="402">
        <v>0</v>
      </c>
      <c r="L300" s="402">
        <f t="shared" si="9"/>
        <v>12608.53</v>
      </c>
    </row>
    <row r="301" spans="1:12" ht="12.75" outlineLevel="1">
      <c r="A301" s="359" t="s">
        <v>715</v>
      </c>
      <c r="C301" s="411"/>
      <c r="D301" s="390" t="s">
        <v>716</v>
      </c>
      <c r="E301" s="412" t="str">
        <f t="shared" si="8"/>
        <v>MAIER PIANO SCHOLARSHIP FUND</v>
      </c>
      <c r="F301" s="398">
        <v>69930.89</v>
      </c>
      <c r="G301" s="402">
        <v>34518.49</v>
      </c>
      <c r="H301" s="402">
        <v>2131.06</v>
      </c>
      <c r="I301" s="402">
        <v>16290.57</v>
      </c>
      <c r="J301" s="402">
        <v>0</v>
      </c>
      <c r="K301" s="402">
        <v>0</v>
      </c>
      <c r="L301" s="402">
        <f t="shared" si="9"/>
        <v>122871.01000000001</v>
      </c>
    </row>
    <row r="302" spans="1:12" ht="12.75" outlineLevel="1">
      <c r="A302" s="359" t="s">
        <v>717</v>
      </c>
      <c r="C302" s="411"/>
      <c r="D302" s="390" t="s">
        <v>718</v>
      </c>
      <c r="E302" s="412" t="str">
        <f t="shared" si="8"/>
        <v>BIERMAN/WAMPLER SCHP</v>
      </c>
      <c r="F302" s="398">
        <v>2128.1</v>
      </c>
      <c r="G302" s="402">
        <v>1000</v>
      </c>
      <c r="H302" s="402">
        <v>48.78</v>
      </c>
      <c r="I302" s="402">
        <v>341.29</v>
      </c>
      <c r="J302" s="402">
        <v>0</v>
      </c>
      <c r="K302" s="402">
        <v>0</v>
      </c>
      <c r="L302" s="402">
        <f t="shared" si="9"/>
        <v>3518.17</v>
      </c>
    </row>
    <row r="303" spans="1:12" ht="12.75" outlineLevel="1">
      <c r="A303" s="359" t="s">
        <v>719</v>
      </c>
      <c r="C303" s="411"/>
      <c r="D303" s="390" t="s">
        <v>720</v>
      </c>
      <c r="E303" s="412" t="str">
        <f t="shared" si="8"/>
        <v>DR. AGAPITO MENDOZA SCHLP</v>
      </c>
      <c r="F303" s="398">
        <v>2099.07</v>
      </c>
      <c r="G303" s="402">
        <v>160</v>
      </c>
      <c r="H303" s="402">
        <v>46.64</v>
      </c>
      <c r="I303" s="402">
        <v>428.34</v>
      </c>
      <c r="J303" s="402">
        <v>0</v>
      </c>
      <c r="K303" s="402">
        <v>0</v>
      </c>
      <c r="L303" s="402">
        <f t="shared" si="9"/>
        <v>2734.05</v>
      </c>
    </row>
    <row r="304" spans="1:12" ht="12.75" outlineLevel="1">
      <c r="A304" s="359" t="s">
        <v>721</v>
      </c>
      <c r="C304" s="411"/>
      <c r="D304" s="390" t="s">
        <v>722</v>
      </c>
      <c r="E304" s="412" t="str">
        <f t="shared" si="8"/>
        <v>WANDA LATHOM-RADOCY MUSIC SCHL</v>
      </c>
      <c r="F304" s="398">
        <v>175.73</v>
      </c>
      <c r="G304" s="402">
        <v>0</v>
      </c>
      <c r="H304" s="402">
        <v>3.58</v>
      </c>
      <c r="I304" s="402">
        <v>27.76</v>
      </c>
      <c r="J304" s="402">
        <v>0</v>
      </c>
      <c r="K304" s="402">
        <v>0</v>
      </c>
      <c r="L304" s="402">
        <f t="shared" si="9"/>
        <v>207.07</v>
      </c>
    </row>
    <row r="305" spans="1:12" ht="12.75" outlineLevel="1">
      <c r="A305" s="359" t="s">
        <v>723</v>
      </c>
      <c r="C305" s="411"/>
      <c r="D305" s="390" t="s">
        <v>724</v>
      </c>
      <c r="E305" s="412" t="str">
        <f t="shared" si="8"/>
        <v>SUZANNE ZUBER SCHOLARSHIP</v>
      </c>
      <c r="F305" s="398">
        <v>26645.41</v>
      </c>
      <c r="G305" s="402">
        <v>0</v>
      </c>
      <c r="H305" s="402">
        <v>574.16</v>
      </c>
      <c r="I305" s="402">
        <v>5736.85</v>
      </c>
      <c r="J305" s="402">
        <v>0</v>
      </c>
      <c r="K305" s="402">
        <v>0</v>
      </c>
      <c r="L305" s="402">
        <f t="shared" si="9"/>
        <v>32956.42</v>
      </c>
    </row>
    <row r="306" spans="1:12" ht="12.75" outlineLevel="1">
      <c r="A306" s="359" t="s">
        <v>725</v>
      </c>
      <c r="C306" s="411"/>
      <c r="D306" s="390" t="s">
        <v>838</v>
      </c>
      <c r="E306" s="412" t="str">
        <f t="shared" si="8"/>
        <v>AMANDA HARMAN SCHOLARSHIP</v>
      </c>
      <c r="F306" s="398">
        <v>10658.17</v>
      </c>
      <c r="G306" s="402">
        <v>0</v>
      </c>
      <c r="H306" s="402">
        <v>-4.17</v>
      </c>
      <c r="I306" s="402">
        <v>2282.33</v>
      </c>
      <c r="J306" s="402">
        <v>0</v>
      </c>
      <c r="K306" s="402">
        <v>0</v>
      </c>
      <c r="L306" s="402">
        <f t="shared" si="9"/>
        <v>12936.33</v>
      </c>
    </row>
    <row r="307" spans="1:12" ht="12.75" outlineLevel="1">
      <c r="A307" s="359" t="s">
        <v>839</v>
      </c>
      <c r="C307" s="411"/>
      <c r="D307" s="390" t="s">
        <v>840</v>
      </c>
      <c r="E307" s="412" t="str">
        <f t="shared" si="8"/>
        <v>LEROY POGEMILLER SCHOLARSHIP</v>
      </c>
      <c r="F307" s="398">
        <v>3857.98</v>
      </c>
      <c r="G307" s="402">
        <v>5355</v>
      </c>
      <c r="H307" s="402">
        <v>219.15</v>
      </c>
      <c r="I307" s="402">
        <v>812.56</v>
      </c>
      <c r="J307" s="402">
        <v>0</v>
      </c>
      <c r="K307" s="402">
        <v>1500</v>
      </c>
      <c r="L307" s="402">
        <f t="shared" si="9"/>
        <v>11744.689999999999</v>
      </c>
    </row>
    <row r="308" spans="1:12" ht="12.75" outlineLevel="1">
      <c r="A308" s="359" t="s">
        <v>841</v>
      </c>
      <c r="C308" s="411"/>
      <c r="D308" s="390" t="s">
        <v>842</v>
      </c>
      <c r="E308" s="412" t="str">
        <f t="shared" si="8"/>
        <v>JOANNE BAKER SCHOLARSHIP</v>
      </c>
      <c r="F308" s="398">
        <v>15814.67</v>
      </c>
      <c r="G308" s="402">
        <v>1440</v>
      </c>
      <c r="H308" s="402">
        <v>150.35</v>
      </c>
      <c r="I308" s="402">
        <v>2323.59</v>
      </c>
      <c r="J308" s="402">
        <v>0</v>
      </c>
      <c r="K308" s="402">
        <v>0</v>
      </c>
      <c r="L308" s="402">
        <f t="shared" si="9"/>
        <v>19728.609999999997</v>
      </c>
    </row>
    <row r="309" spans="1:12" ht="12.75" outlineLevel="1">
      <c r="A309" s="359" t="s">
        <v>843</v>
      </c>
      <c r="C309" s="411"/>
      <c r="D309" s="390" t="s">
        <v>844</v>
      </c>
      <c r="E309" s="412" t="str">
        <f t="shared" si="8"/>
        <v>DR. DOWGRAY MEMORIAL FUND</v>
      </c>
      <c r="F309" s="398">
        <v>334.06</v>
      </c>
      <c r="G309" s="402">
        <v>0</v>
      </c>
      <c r="H309" s="402">
        <v>6.59</v>
      </c>
      <c r="I309" s="402">
        <v>38.03</v>
      </c>
      <c r="J309" s="402">
        <v>0</v>
      </c>
      <c r="K309" s="402">
        <v>0</v>
      </c>
      <c r="L309" s="402">
        <f t="shared" si="9"/>
        <v>378.67999999999995</v>
      </c>
    </row>
    <row r="310" spans="1:12" ht="12.75" outlineLevel="1">
      <c r="A310" s="359" t="s">
        <v>845</v>
      </c>
      <c r="C310" s="411"/>
      <c r="D310" s="390" t="s">
        <v>846</v>
      </c>
      <c r="E310" s="412" t="str">
        <f t="shared" si="8"/>
        <v>FRANCIS J SCHINDLER PIANO SCHL</v>
      </c>
      <c r="F310" s="398">
        <v>2659.22</v>
      </c>
      <c r="G310" s="402">
        <v>12014</v>
      </c>
      <c r="H310" s="402">
        <v>159.41</v>
      </c>
      <c r="I310" s="402">
        <v>310.6</v>
      </c>
      <c r="J310" s="402">
        <v>0</v>
      </c>
      <c r="K310" s="402">
        <v>0</v>
      </c>
      <c r="L310" s="402">
        <f t="shared" si="9"/>
        <v>15143.23</v>
      </c>
    </row>
    <row r="311" spans="1:12" ht="12.75" outlineLevel="1">
      <c r="A311" s="359" t="s">
        <v>847</v>
      </c>
      <c r="C311" s="411"/>
      <c r="D311" s="390" t="s">
        <v>848</v>
      </c>
      <c r="E311" s="412" t="str">
        <f t="shared" si="8"/>
        <v>TIBERIUS KLAUSNER SCHOLARSHIP</v>
      </c>
      <c r="F311" s="398">
        <v>33723.58</v>
      </c>
      <c r="G311" s="402">
        <v>19372</v>
      </c>
      <c r="H311" s="402">
        <v>1176.04</v>
      </c>
      <c r="I311" s="402">
        <v>5537.06</v>
      </c>
      <c r="J311" s="402">
        <v>0</v>
      </c>
      <c r="K311" s="402">
        <v>0</v>
      </c>
      <c r="L311" s="402">
        <f t="shared" si="9"/>
        <v>59808.68</v>
      </c>
    </row>
    <row r="312" spans="1:13" ht="12.75" outlineLevel="1">
      <c r="A312" s="359" t="s">
        <v>1096</v>
      </c>
      <c r="C312" s="411"/>
      <c r="D312" s="390" t="s">
        <v>1097</v>
      </c>
      <c r="E312" s="381" t="str">
        <f t="shared" si="8"/>
        <v>GOPPERT FOUNDATION</v>
      </c>
      <c r="F312" s="401">
        <v>0</v>
      </c>
      <c r="G312" s="402">
        <v>300098.89</v>
      </c>
      <c r="H312" s="402">
        <v>0</v>
      </c>
      <c r="I312" s="402">
        <v>0</v>
      </c>
      <c r="J312" s="402">
        <v>0</v>
      </c>
      <c r="K312" s="402">
        <v>0</v>
      </c>
      <c r="L312" s="402">
        <f t="shared" si="9"/>
        <v>300098.89</v>
      </c>
      <c r="M312" s="411"/>
    </row>
    <row r="313" spans="1:14" s="441" customFormat="1" ht="12.75" outlineLevel="1">
      <c r="A313" s="441" t="s">
        <v>849</v>
      </c>
      <c r="B313" s="442"/>
      <c r="C313" s="411"/>
      <c r="D313" s="411" t="s">
        <v>850</v>
      </c>
      <c r="E313" s="443" t="str">
        <f t="shared" si="8"/>
        <v>ALUMNI ASSURING FUTURE SCHLP</v>
      </c>
      <c r="F313" s="444">
        <v>1137.08</v>
      </c>
      <c r="G313" s="445">
        <v>8229.47</v>
      </c>
      <c r="H313" s="445">
        <v>286.79</v>
      </c>
      <c r="I313" s="445">
        <v>681.83</v>
      </c>
      <c r="J313" s="445">
        <v>0</v>
      </c>
      <c r="K313" s="445">
        <v>1400</v>
      </c>
      <c r="L313" s="445">
        <f t="shared" si="9"/>
        <v>11735.17</v>
      </c>
      <c r="M313" s="408"/>
      <c r="N313" s="446"/>
    </row>
    <row r="314" spans="1:12" ht="12.75" outlineLevel="1">
      <c r="A314" s="359" t="s">
        <v>851</v>
      </c>
      <c r="C314" s="411"/>
      <c r="D314" s="390" t="s">
        <v>852</v>
      </c>
      <c r="E314" s="412" t="str">
        <f t="shared" si="8"/>
        <v>FERNE WELLS NATIVE AMER ENDOW</v>
      </c>
      <c r="F314" s="398">
        <v>16140.14</v>
      </c>
      <c r="G314" s="402">
        <v>0</v>
      </c>
      <c r="H314" s="402">
        <v>181.63</v>
      </c>
      <c r="I314" s="402">
        <v>1651.07</v>
      </c>
      <c r="J314" s="402">
        <v>0</v>
      </c>
      <c r="K314" s="402">
        <v>0</v>
      </c>
      <c r="L314" s="402">
        <f t="shared" si="9"/>
        <v>17972.84</v>
      </c>
    </row>
    <row r="315" spans="1:12" ht="12.75" outlineLevel="1">
      <c r="A315" s="359" t="s">
        <v>853</v>
      </c>
      <c r="C315" s="411"/>
      <c r="D315" s="390" t="s">
        <v>854</v>
      </c>
      <c r="E315" s="412" t="str">
        <f t="shared" si="8"/>
        <v>NANCY MILLS HONORARY FUND</v>
      </c>
      <c r="F315" s="398">
        <v>121.64</v>
      </c>
      <c r="G315" s="402">
        <v>7710</v>
      </c>
      <c r="H315" s="402">
        <v>110.56</v>
      </c>
      <c r="I315" s="402">
        <v>199.76</v>
      </c>
      <c r="J315" s="402">
        <v>0</v>
      </c>
      <c r="K315" s="402">
        <v>0</v>
      </c>
      <c r="L315" s="402">
        <f t="shared" si="9"/>
        <v>8141.960000000001</v>
      </c>
    </row>
    <row r="316" spans="1:12" ht="12.75" outlineLevel="1">
      <c r="A316" s="359" t="s">
        <v>1098</v>
      </c>
      <c r="C316" s="411"/>
      <c r="D316" s="390" t="s">
        <v>1099</v>
      </c>
      <c r="E316" s="412" t="str">
        <f t="shared" si="8"/>
        <v>HUIZENGA STDNT LEADERSHP FUND</v>
      </c>
      <c r="F316" s="398">
        <v>0</v>
      </c>
      <c r="G316" s="402">
        <v>0</v>
      </c>
      <c r="H316" s="402">
        <v>1337.4</v>
      </c>
      <c r="I316" s="402">
        <v>2622.37</v>
      </c>
      <c r="J316" s="402">
        <v>26.98</v>
      </c>
      <c r="K316" s="402">
        <v>48000</v>
      </c>
      <c r="L316" s="402">
        <f t="shared" si="9"/>
        <v>51932.79</v>
      </c>
    </row>
    <row r="317" spans="1:12" ht="12.75" outlineLevel="1">
      <c r="A317" s="359" t="s">
        <v>1100</v>
      </c>
      <c r="C317" s="411"/>
      <c r="D317" s="390" t="s">
        <v>1101</v>
      </c>
      <c r="E317" s="412" t="str">
        <f t="shared" si="8"/>
        <v>KPMG ACCOUNTING SCHOLARSHIP</v>
      </c>
      <c r="F317" s="398">
        <v>0</v>
      </c>
      <c r="G317" s="402">
        <v>2100</v>
      </c>
      <c r="H317" s="402">
        <v>58.54</v>
      </c>
      <c r="I317" s="402">
        <v>114.71</v>
      </c>
      <c r="J317" s="402">
        <v>0</v>
      </c>
      <c r="K317" s="402">
        <v>0</v>
      </c>
      <c r="L317" s="402">
        <f t="shared" si="9"/>
        <v>2273.25</v>
      </c>
    </row>
    <row r="318" spans="1:12" ht="12.75" outlineLevel="1">
      <c r="A318" s="359" t="s">
        <v>1102</v>
      </c>
      <c r="C318" s="411"/>
      <c r="D318" s="390" t="s">
        <v>1103</v>
      </c>
      <c r="E318" s="412" t="str">
        <f t="shared" si="8"/>
        <v>WILLIAM B. EDDY/EMBA FUND</v>
      </c>
      <c r="F318" s="398">
        <v>0</v>
      </c>
      <c r="G318" s="402">
        <v>4520</v>
      </c>
      <c r="H318" s="402">
        <v>287.2</v>
      </c>
      <c r="I318" s="402">
        <v>557.81</v>
      </c>
      <c r="J318" s="402">
        <v>0</v>
      </c>
      <c r="K318" s="402">
        <v>5944.64</v>
      </c>
      <c r="L318" s="402">
        <f t="shared" si="9"/>
        <v>11309.650000000001</v>
      </c>
    </row>
    <row r="319" spans="1:12" ht="12.75" outlineLevel="1">
      <c r="A319" s="359" t="s">
        <v>1104</v>
      </c>
      <c r="C319" s="411"/>
      <c r="D319" s="390" t="s">
        <v>1105</v>
      </c>
      <c r="E319" s="412" t="str">
        <f t="shared" si="8"/>
        <v>FOUNDERS' SCHOLARSHIP ENDOW</v>
      </c>
      <c r="F319" s="398">
        <v>0</v>
      </c>
      <c r="G319" s="402">
        <v>0</v>
      </c>
      <c r="H319" s="402">
        <v>601.6</v>
      </c>
      <c r="I319" s="402">
        <v>1013.35</v>
      </c>
      <c r="J319" s="402">
        <v>0</v>
      </c>
      <c r="K319" s="402">
        <v>25000</v>
      </c>
      <c r="L319" s="402">
        <f t="shared" si="9"/>
        <v>26614.95</v>
      </c>
    </row>
    <row r="320" spans="1:12" ht="12.75" outlineLevel="1">
      <c r="A320" s="359" t="s">
        <v>1106</v>
      </c>
      <c r="C320" s="411"/>
      <c r="D320" s="390" t="s">
        <v>1107</v>
      </c>
      <c r="E320" s="412" t="str">
        <f t="shared" si="8"/>
        <v>TATIANA DOKOUDOVSKA DANCE SCH</v>
      </c>
      <c r="F320" s="398">
        <v>0</v>
      </c>
      <c r="G320" s="402">
        <v>7760</v>
      </c>
      <c r="H320" s="402">
        <v>236.54</v>
      </c>
      <c r="I320" s="402">
        <v>391.8</v>
      </c>
      <c r="J320" s="402">
        <v>0</v>
      </c>
      <c r="K320" s="402">
        <v>3000</v>
      </c>
      <c r="L320" s="402">
        <f t="shared" si="9"/>
        <v>11388.34</v>
      </c>
    </row>
    <row r="321" spans="1:12" ht="12.75" outlineLevel="1">
      <c r="A321" s="359" t="s">
        <v>1108</v>
      </c>
      <c r="C321" s="411"/>
      <c r="D321" s="390" t="s">
        <v>1109</v>
      </c>
      <c r="E321" s="412" t="str">
        <f t="shared" si="8"/>
        <v>EDWARD A. SMITH URBAN LDRSHP</v>
      </c>
      <c r="F321" s="398">
        <v>0</v>
      </c>
      <c r="G321" s="402">
        <v>250000</v>
      </c>
      <c r="H321" s="402">
        <v>4590.6</v>
      </c>
      <c r="I321" s="402">
        <v>4846.72</v>
      </c>
      <c r="J321" s="402">
        <v>0</v>
      </c>
      <c r="K321" s="402">
        <v>0</v>
      </c>
      <c r="L321" s="402">
        <f t="shared" si="9"/>
        <v>259437.32</v>
      </c>
    </row>
    <row r="322" spans="1:12" ht="12.75" outlineLevel="1">
      <c r="A322" s="359" t="s">
        <v>1110</v>
      </c>
      <c r="C322" s="411"/>
      <c r="D322" s="390" t="s">
        <v>1111</v>
      </c>
      <c r="E322" s="412" t="str">
        <f t="shared" si="8"/>
        <v>BILL ROSS SCHOLARSHIP</v>
      </c>
      <c r="F322" s="398">
        <v>0</v>
      </c>
      <c r="G322" s="402">
        <v>4730</v>
      </c>
      <c r="H322" s="402">
        <v>71.25</v>
      </c>
      <c r="I322" s="402">
        <v>125.61</v>
      </c>
      <c r="J322" s="402">
        <v>0</v>
      </c>
      <c r="K322" s="402">
        <v>0</v>
      </c>
      <c r="L322" s="402">
        <f t="shared" si="9"/>
        <v>4926.86</v>
      </c>
    </row>
    <row r="323" spans="1:12" ht="12.75" outlineLevel="1">
      <c r="A323" s="359" t="s">
        <v>1112</v>
      </c>
      <c r="C323" s="411"/>
      <c r="D323" s="390" t="s">
        <v>1113</v>
      </c>
      <c r="E323" s="412" t="str">
        <f t="shared" si="8"/>
        <v>CAMPUS FAC MANAGEMENT SCHP</v>
      </c>
      <c r="F323" s="398">
        <v>0</v>
      </c>
      <c r="G323" s="402">
        <v>8747</v>
      </c>
      <c r="H323" s="402">
        <v>82.02</v>
      </c>
      <c r="I323" s="402">
        <v>89.42</v>
      </c>
      <c r="J323" s="402">
        <v>0</v>
      </c>
      <c r="K323" s="402">
        <v>0</v>
      </c>
      <c r="L323" s="402">
        <f t="shared" si="9"/>
        <v>8918.44</v>
      </c>
    </row>
    <row r="324" spans="1:12" ht="12.75" outlineLevel="1">
      <c r="A324" s="359" t="s">
        <v>1114</v>
      </c>
      <c r="C324" s="411"/>
      <c r="D324" s="390" t="s">
        <v>1115</v>
      </c>
      <c r="E324" s="412" t="str">
        <f t="shared" si="8"/>
        <v>RICHARD HETHERINGTON SCHP</v>
      </c>
      <c r="F324" s="398">
        <v>0</v>
      </c>
      <c r="G324" s="402">
        <v>3760</v>
      </c>
      <c r="H324" s="402">
        <v>131.46</v>
      </c>
      <c r="I324" s="402">
        <v>136.17</v>
      </c>
      <c r="J324" s="402">
        <v>0</v>
      </c>
      <c r="K324" s="402">
        <v>7210</v>
      </c>
      <c r="L324" s="402">
        <f t="shared" si="9"/>
        <v>11237.630000000001</v>
      </c>
    </row>
    <row r="325" spans="1:12" ht="12.75" outlineLevel="1">
      <c r="A325" s="359" t="s">
        <v>1116</v>
      </c>
      <c r="C325" s="411"/>
      <c r="D325" s="390" t="s">
        <v>1117</v>
      </c>
      <c r="E325" s="412" t="str">
        <f t="shared" si="8"/>
        <v>NEAL WILLIS MEMORIAL FUND</v>
      </c>
      <c r="F325" s="398">
        <v>0</v>
      </c>
      <c r="G325" s="402">
        <v>10500</v>
      </c>
      <c r="H325" s="402">
        <v>129.7</v>
      </c>
      <c r="I325" s="402">
        <v>132.1</v>
      </c>
      <c r="J325" s="402">
        <v>0</v>
      </c>
      <c r="K325" s="402">
        <v>0</v>
      </c>
      <c r="L325" s="402">
        <f t="shared" si="9"/>
        <v>10761.800000000001</v>
      </c>
    </row>
    <row r="326" spans="1:12" ht="12.75" outlineLevel="1">
      <c r="A326" s="359" t="s">
        <v>1118</v>
      </c>
      <c r="C326" s="411"/>
      <c r="D326" s="390" t="s">
        <v>1119</v>
      </c>
      <c r="E326" s="412" t="str">
        <f t="shared" si="8"/>
        <v>ROBERT B. VAUGHAN SCHOLARSHIP</v>
      </c>
      <c r="F326" s="398">
        <v>0</v>
      </c>
      <c r="G326" s="402">
        <v>10000</v>
      </c>
      <c r="H326" s="402">
        <v>100.42</v>
      </c>
      <c r="I326" s="402">
        <v>-53.08</v>
      </c>
      <c r="J326" s="402">
        <v>0</v>
      </c>
      <c r="K326" s="402">
        <v>0</v>
      </c>
      <c r="L326" s="402">
        <f t="shared" si="9"/>
        <v>10047.34</v>
      </c>
    </row>
    <row r="327" spans="1:12" ht="12.75" outlineLevel="1">
      <c r="A327" s="359" t="s">
        <v>1120</v>
      </c>
      <c r="C327" s="411"/>
      <c r="D327" s="390" t="s">
        <v>1121</v>
      </c>
      <c r="E327" s="412" t="str">
        <f t="shared" si="8"/>
        <v>THOMAS &amp; TERESA SULLIVAN SCHP</v>
      </c>
      <c r="F327" s="398">
        <v>0</v>
      </c>
      <c r="G327" s="402">
        <v>10000</v>
      </c>
      <c r="H327" s="402">
        <v>89.68</v>
      </c>
      <c r="I327" s="402">
        <v>-69.2</v>
      </c>
      <c r="J327" s="402">
        <v>0</v>
      </c>
      <c r="K327" s="402">
        <v>0</v>
      </c>
      <c r="L327" s="402">
        <f t="shared" si="9"/>
        <v>10020.48</v>
      </c>
    </row>
    <row r="328" spans="1:12" ht="12.75" outlineLevel="1">
      <c r="A328" s="359" t="s">
        <v>1122</v>
      </c>
      <c r="C328" s="411"/>
      <c r="D328" s="390" t="s">
        <v>1123</v>
      </c>
      <c r="E328" s="412" t="str">
        <f t="shared" si="8"/>
        <v>DANIEL L. BRENNER JUDAIC COLL</v>
      </c>
      <c r="F328" s="398">
        <v>0</v>
      </c>
      <c r="G328" s="402">
        <v>31485</v>
      </c>
      <c r="H328" s="402">
        <v>316.16</v>
      </c>
      <c r="I328" s="402">
        <v>-167.06</v>
      </c>
      <c r="J328" s="402">
        <v>0</v>
      </c>
      <c r="K328" s="402">
        <v>0</v>
      </c>
      <c r="L328" s="402">
        <f t="shared" si="9"/>
        <v>31634.1</v>
      </c>
    </row>
    <row r="329" spans="1:12" ht="12.75" outlineLevel="1">
      <c r="A329" s="359" t="s">
        <v>1124</v>
      </c>
      <c r="C329" s="411"/>
      <c r="D329" s="390" t="s">
        <v>1125</v>
      </c>
      <c r="E329" s="412" t="str">
        <f t="shared" si="8"/>
        <v>MARTHA LONGMIRE WOMEN'S SCHP</v>
      </c>
      <c r="F329" s="398">
        <v>0</v>
      </c>
      <c r="G329" s="402">
        <v>15270</v>
      </c>
      <c r="H329" s="402">
        <v>134.79</v>
      </c>
      <c r="I329" s="402">
        <v>-28.51</v>
      </c>
      <c r="J329" s="402">
        <v>0</v>
      </c>
      <c r="K329" s="402">
        <v>0</v>
      </c>
      <c r="L329" s="402">
        <f t="shared" si="9"/>
        <v>15376.28</v>
      </c>
    </row>
    <row r="330" spans="1:12" ht="12.75" outlineLevel="1">
      <c r="A330" s="359" t="s">
        <v>1126</v>
      </c>
      <c r="C330" s="411"/>
      <c r="D330" s="390" t="s">
        <v>1127</v>
      </c>
      <c r="E330" s="412" t="str">
        <f aca="true" t="shared" si="10" ref="E330:E344">UPPER(D330)</f>
        <v>PATRICIA Z THOMPSON LIBR ENDOW</v>
      </c>
      <c r="F330" s="398">
        <v>0</v>
      </c>
      <c r="G330" s="402">
        <v>10000</v>
      </c>
      <c r="H330" s="402">
        <v>78.94</v>
      </c>
      <c r="I330" s="402">
        <v>-85.32</v>
      </c>
      <c r="J330" s="402">
        <v>0</v>
      </c>
      <c r="K330" s="402">
        <v>0</v>
      </c>
      <c r="L330" s="402">
        <f aca="true" t="shared" si="11" ref="L330:L344">F330+G330+H330+I330-J330+K330</f>
        <v>9993.62</v>
      </c>
    </row>
    <row r="331" spans="1:12" ht="12.75" outlineLevel="1">
      <c r="A331" s="359" t="s">
        <v>1128</v>
      </c>
      <c r="C331" s="411"/>
      <c r="D331" s="390" t="s">
        <v>1129</v>
      </c>
      <c r="E331" s="412" t="str">
        <f t="shared" si="10"/>
        <v>GOODALE SCHOLARSHIP</v>
      </c>
      <c r="F331" s="398">
        <v>0</v>
      </c>
      <c r="G331" s="402">
        <v>0</v>
      </c>
      <c r="H331" s="402">
        <v>746.3</v>
      </c>
      <c r="I331" s="402">
        <v>-1745.18</v>
      </c>
      <c r="J331" s="402">
        <v>0</v>
      </c>
      <c r="K331" s="402">
        <v>110168.24</v>
      </c>
      <c r="L331" s="402">
        <f t="shared" si="11"/>
        <v>109169.36</v>
      </c>
    </row>
    <row r="332" spans="1:12" ht="12.75" outlineLevel="1">
      <c r="A332" s="359" t="s">
        <v>1130</v>
      </c>
      <c r="C332" s="411"/>
      <c r="D332" s="390" t="s">
        <v>1131</v>
      </c>
      <c r="E332" s="412" t="str">
        <f t="shared" si="10"/>
        <v>ORENE V CROCKETT SCHP FUND</v>
      </c>
      <c r="F332" s="398">
        <v>0</v>
      </c>
      <c r="G332" s="402">
        <v>10050</v>
      </c>
      <c r="H332" s="402">
        <v>79.2</v>
      </c>
      <c r="I332" s="402">
        <v>-84.41</v>
      </c>
      <c r="J332" s="402">
        <v>0</v>
      </c>
      <c r="K332" s="402">
        <v>0</v>
      </c>
      <c r="L332" s="402">
        <f t="shared" si="11"/>
        <v>10044.79</v>
      </c>
    </row>
    <row r="333" spans="1:12" ht="12.75" outlineLevel="1">
      <c r="A333" s="359" t="s">
        <v>1132</v>
      </c>
      <c r="C333" s="411"/>
      <c r="D333" s="390" t="s">
        <v>1133</v>
      </c>
      <c r="E333" s="412" t="str">
        <f t="shared" si="10"/>
        <v>CATHERINE C MACKAY SCHOLARSHIP</v>
      </c>
      <c r="F333" s="398">
        <v>0</v>
      </c>
      <c r="G333" s="402">
        <v>283515.11</v>
      </c>
      <c r="H333" s="402">
        <v>839.58</v>
      </c>
      <c r="I333" s="402">
        <v>5062.82</v>
      </c>
      <c r="J333" s="402">
        <v>0</v>
      </c>
      <c r="K333" s="402">
        <v>0</v>
      </c>
      <c r="L333" s="402">
        <f t="shared" si="11"/>
        <v>289417.51</v>
      </c>
    </row>
    <row r="334" spans="1:12" ht="12.75" outlineLevel="1">
      <c r="A334" s="359" t="s">
        <v>1134</v>
      </c>
      <c r="C334" s="411"/>
      <c r="D334" s="390" t="s">
        <v>1135</v>
      </c>
      <c r="E334" s="412" t="str">
        <f t="shared" si="10"/>
        <v>LGBT SCHOLARSHIP</v>
      </c>
      <c r="F334" s="398">
        <v>0</v>
      </c>
      <c r="G334" s="402">
        <v>1544.3</v>
      </c>
      <c r="H334" s="402">
        <v>8.18</v>
      </c>
      <c r="I334" s="402">
        <v>28.21</v>
      </c>
      <c r="J334" s="402">
        <v>0</v>
      </c>
      <c r="K334" s="402">
        <v>0</v>
      </c>
      <c r="L334" s="402">
        <f t="shared" si="11"/>
        <v>1580.69</v>
      </c>
    </row>
    <row r="335" spans="1:13" ht="12.75" outlineLevel="1">
      <c r="A335" s="359" t="s">
        <v>1136</v>
      </c>
      <c r="C335" s="411"/>
      <c r="D335" s="390" t="s">
        <v>1137</v>
      </c>
      <c r="E335" s="381" t="str">
        <f t="shared" si="10"/>
        <v>CALLISON LIBRARY ENDOWMENT</v>
      </c>
      <c r="F335" s="401">
        <v>0</v>
      </c>
      <c r="G335" s="402">
        <v>11130</v>
      </c>
      <c r="H335" s="402">
        <v>32.17</v>
      </c>
      <c r="I335" s="402">
        <v>202.96</v>
      </c>
      <c r="J335" s="402">
        <v>0</v>
      </c>
      <c r="K335" s="402">
        <v>0</v>
      </c>
      <c r="L335" s="402">
        <f t="shared" si="11"/>
        <v>11365.13</v>
      </c>
      <c r="M335" s="411"/>
    </row>
    <row r="336" spans="1:14" s="441" customFormat="1" ht="12.75" outlineLevel="1">
      <c r="A336" s="441" t="s">
        <v>1138</v>
      </c>
      <c r="B336" s="442"/>
      <c r="C336" s="411"/>
      <c r="D336" s="411" t="s">
        <v>1139</v>
      </c>
      <c r="E336" s="443" t="str">
        <f t="shared" si="10"/>
        <v>HERMAN JOHNSON MEMORIAL SCSP</v>
      </c>
      <c r="F336" s="444">
        <v>0</v>
      </c>
      <c r="G336" s="445">
        <v>4000</v>
      </c>
      <c r="H336" s="445">
        <v>13.88</v>
      </c>
      <c r="I336" s="445">
        <v>0</v>
      </c>
      <c r="J336" s="445">
        <v>0</v>
      </c>
      <c r="K336" s="445">
        <v>0</v>
      </c>
      <c r="L336" s="445">
        <f t="shared" si="11"/>
        <v>4013.88</v>
      </c>
      <c r="M336" s="408"/>
      <c r="N336" s="446"/>
    </row>
    <row r="337" spans="1:12" ht="12.75" outlineLevel="1">
      <c r="A337" s="359" t="s">
        <v>1140</v>
      </c>
      <c r="C337" s="411"/>
      <c r="D337" s="390" t="s">
        <v>1141</v>
      </c>
      <c r="E337" s="412" t="str">
        <f t="shared" si="10"/>
        <v>JIM WHITE FUND</v>
      </c>
      <c r="F337" s="398">
        <v>0</v>
      </c>
      <c r="G337" s="402">
        <v>1358</v>
      </c>
      <c r="H337" s="402">
        <v>4.71</v>
      </c>
      <c r="I337" s="402">
        <v>0</v>
      </c>
      <c r="J337" s="402">
        <v>0</v>
      </c>
      <c r="K337" s="402">
        <v>0</v>
      </c>
      <c r="L337" s="402">
        <f t="shared" si="11"/>
        <v>1362.71</v>
      </c>
    </row>
    <row r="338" spans="1:12" ht="12.75" outlineLevel="1">
      <c r="A338" s="359" t="s">
        <v>1142</v>
      </c>
      <c r="C338" s="411"/>
      <c r="D338" s="390" t="s">
        <v>1143</v>
      </c>
      <c r="E338" s="412" t="str">
        <f t="shared" si="10"/>
        <v>ASCE GEOTECHNICAL GROUP SCSP</v>
      </c>
      <c r="F338" s="398">
        <v>0</v>
      </c>
      <c r="G338" s="402">
        <v>14000</v>
      </c>
      <c r="H338" s="402">
        <v>48.58</v>
      </c>
      <c r="I338" s="402">
        <v>0</v>
      </c>
      <c r="J338" s="402">
        <v>0</v>
      </c>
      <c r="K338" s="402">
        <v>0</v>
      </c>
      <c r="L338" s="402">
        <f t="shared" si="11"/>
        <v>14048.58</v>
      </c>
    </row>
    <row r="339" spans="1:12" ht="12.75" outlineLevel="1">
      <c r="A339" s="359" t="s">
        <v>1144</v>
      </c>
      <c r="C339" s="411"/>
      <c r="D339" s="390" t="s">
        <v>1145</v>
      </c>
      <c r="E339" s="412" t="str">
        <f t="shared" si="10"/>
        <v>BARBARA KAMEL MEMORIAL FUND</v>
      </c>
      <c r="F339" s="398">
        <v>0</v>
      </c>
      <c r="G339" s="402">
        <v>100</v>
      </c>
      <c r="H339" s="402">
        <v>0</v>
      </c>
      <c r="I339" s="402">
        <v>0</v>
      </c>
      <c r="J339" s="402">
        <v>0</v>
      </c>
      <c r="K339" s="402">
        <v>0</v>
      </c>
      <c r="L339" s="402">
        <f t="shared" si="11"/>
        <v>100</v>
      </c>
    </row>
    <row r="340" spans="1:12" ht="12.75" outlineLevel="1">
      <c r="A340" s="359" t="s">
        <v>1146</v>
      </c>
      <c r="C340" s="411"/>
      <c r="D340" s="390" t="s">
        <v>1147</v>
      </c>
      <c r="E340" s="412" t="str">
        <f t="shared" si="10"/>
        <v>CORKY PFEIFFER MEMORIAL</v>
      </c>
      <c r="F340" s="398">
        <v>0</v>
      </c>
      <c r="G340" s="402">
        <v>1235</v>
      </c>
      <c r="H340" s="402">
        <v>15.36</v>
      </c>
      <c r="I340" s="402">
        <v>57.12</v>
      </c>
      <c r="J340" s="402">
        <v>0</v>
      </c>
      <c r="K340" s="402">
        <v>0</v>
      </c>
      <c r="L340" s="402">
        <f t="shared" si="11"/>
        <v>1307.4799999999998</v>
      </c>
    </row>
    <row r="341" spans="1:12" ht="12.75" outlineLevel="1">
      <c r="A341" s="359" t="s">
        <v>1148</v>
      </c>
      <c r="C341" s="411"/>
      <c r="D341" s="390" t="s">
        <v>1149</v>
      </c>
      <c r="E341" s="412" t="str">
        <f t="shared" si="10"/>
        <v>GEORGE EHRLICH SCHOLARSHIP</v>
      </c>
      <c r="F341" s="398">
        <v>0</v>
      </c>
      <c r="G341" s="402">
        <v>2000</v>
      </c>
      <c r="H341" s="402">
        <v>4343.74</v>
      </c>
      <c r="I341" s="402">
        <v>-40.85</v>
      </c>
      <c r="J341" s="402">
        <v>0</v>
      </c>
      <c r="K341" s="402">
        <v>0</v>
      </c>
      <c r="L341" s="402">
        <f t="shared" si="11"/>
        <v>6302.889999999999</v>
      </c>
    </row>
    <row r="342" spans="1:12" ht="12.75" outlineLevel="1">
      <c r="A342" s="359" t="s">
        <v>2539</v>
      </c>
      <c r="C342" s="411"/>
      <c r="D342" s="390" t="s">
        <v>2540</v>
      </c>
      <c r="E342" s="412" t="str">
        <f t="shared" si="10"/>
        <v>H E &amp; D D LOUGH LOAN</v>
      </c>
      <c r="F342" s="398">
        <v>25300.25</v>
      </c>
      <c r="G342" s="402">
        <v>0</v>
      </c>
      <c r="H342" s="402">
        <v>-550.65</v>
      </c>
      <c r="I342" s="402">
        <v>5692.13</v>
      </c>
      <c r="J342" s="402">
        <v>45.5</v>
      </c>
      <c r="K342" s="402">
        <v>0</v>
      </c>
      <c r="L342" s="402">
        <f t="shared" si="11"/>
        <v>30396.23</v>
      </c>
    </row>
    <row r="343" spans="1:12" ht="12.75" outlineLevel="1">
      <c r="A343" s="359" t="s">
        <v>2561</v>
      </c>
      <c r="C343" s="411"/>
      <c r="D343" s="390" t="s">
        <v>2562</v>
      </c>
      <c r="E343" s="412" t="str">
        <f t="shared" si="10"/>
        <v>MURRAY STUDENT LOAN</v>
      </c>
      <c r="F343" s="398">
        <v>251142.33</v>
      </c>
      <c r="G343" s="402">
        <v>0</v>
      </c>
      <c r="H343" s="402">
        <v>-1030.34</v>
      </c>
      <c r="I343" s="402">
        <v>-13752.1</v>
      </c>
      <c r="J343" s="402">
        <v>0</v>
      </c>
      <c r="K343" s="402">
        <v>0</v>
      </c>
      <c r="L343" s="402">
        <f t="shared" si="11"/>
        <v>236359.88999999998</v>
      </c>
    </row>
    <row r="344" spans="1:12" ht="12.75" customHeight="1">
      <c r="A344" s="359" t="s">
        <v>855</v>
      </c>
      <c r="D344" s="403" t="s">
        <v>856</v>
      </c>
      <c r="E344" s="447" t="str">
        <f t="shared" si="10"/>
        <v>TOTAL INCOME RESTRICTED</v>
      </c>
      <c r="F344" s="301">
        <v>53488510.640000045</v>
      </c>
      <c r="G344" s="300">
        <v>2817186.32</v>
      </c>
      <c r="H344" s="300">
        <v>-1149131.72</v>
      </c>
      <c r="I344" s="300">
        <v>6668592.02</v>
      </c>
      <c r="J344" s="300">
        <v>79156.93</v>
      </c>
      <c r="K344" s="300">
        <v>124294.44</v>
      </c>
      <c r="L344" s="300">
        <f t="shared" si="11"/>
        <v>61870294.77000005</v>
      </c>
    </row>
    <row r="345" spans="6:12" ht="12.75" customHeight="1">
      <c r="F345" s="301"/>
      <c r="G345" s="300"/>
      <c r="H345" s="300"/>
      <c r="I345" s="300"/>
      <c r="J345" s="300"/>
      <c r="K345" s="300"/>
      <c r="L345" s="300"/>
    </row>
    <row r="346" spans="4:12" ht="12.75" customHeight="1">
      <c r="D346" s="448"/>
      <c r="E346" s="434" t="s">
        <v>1150</v>
      </c>
      <c r="F346" s="301">
        <f aca="true" t="shared" si="12" ref="F346:L346">F344</f>
        <v>53488510.640000045</v>
      </c>
      <c r="G346" s="300">
        <f t="shared" si="12"/>
        <v>2817186.32</v>
      </c>
      <c r="H346" s="300">
        <f t="shared" si="12"/>
        <v>-1149131.72</v>
      </c>
      <c r="I346" s="300">
        <f t="shared" si="12"/>
        <v>6668592.02</v>
      </c>
      <c r="J346" s="300">
        <f t="shared" si="12"/>
        <v>79156.93</v>
      </c>
      <c r="K346" s="300">
        <f t="shared" si="12"/>
        <v>124294.44</v>
      </c>
      <c r="L346" s="300">
        <f t="shared" si="12"/>
        <v>61870294.77000005</v>
      </c>
    </row>
    <row r="347" spans="4:12" ht="12.75" customHeight="1">
      <c r="D347" s="389"/>
      <c r="E347" s="321"/>
      <c r="F347" s="401"/>
      <c r="G347" s="402"/>
      <c r="H347" s="402"/>
      <c r="I347" s="402"/>
      <c r="J347" s="402"/>
      <c r="K347" s="402"/>
      <c r="L347" s="402"/>
    </row>
    <row r="348" spans="2:12" ht="12.75" customHeight="1">
      <c r="B348" s="320" t="s">
        <v>857</v>
      </c>
      <c r="F348" s="401"/>
      <c r="G348" s="402"/>
      <c r="H348" s="402"/>
      <c r="I348" s="402"/>
      <c r="J348" s="402"/>
      <c r="K348" s="402"/>
      <c r="L348" s="402"/>
    </row>
    <row r="349" spans="3:12" ht="12.75" customHeight="1">
      <c r="C349" s="389" t="s">
        <v>138</v>
      </c>
      <c r="F349" s="401"/>
      <c r="G349" s="402"/>
      <c r="H349" s="402"/>
      <c r="I349" s="402"/>
      <c r="J349" s="402"/>
      <c r="K349" s="402"/>
      <c r="L349" s="402"/>
    </row>
    <row r="350" spans="1:12" ht="12.75" outlineLevel="1">
      <c r="A350" s="359" t="s">
        <v>858</v>
      </c>
      <c r="C350" s="411"/>
      <c r="D350" s="390" t="s">
        <v>859</v>
      </c>
      <c r="E350" s="412" t="str">
        <f aca="true" t="shared" si="13" ref="E350:E391">UPPER(D350)</f>
        <v>WARD ADAMS DENTAL S</v>
      </c>
      <c r="F350" s="398">
        <v>68493.14</v>
      </c>
      <c r="G350" s="402">
        <v>0</v>
      </c>
      <c r="H350" s="402">
        <v>-2042.33</v>
      </c>
      <c r="I350" s="402">
        <v>10323.73</v>
      </c>
      <c r="J350" s="402">
        <v>0</v>
      </c>
      <c r="K350" s="402">
        <v>0</v>
      </c>
      <c r="L350" s="402">
        <f aca="true" t="shared" si="14" ref="L350:L391">F350+G350+H350+I350-J350+K350</f>
        <v>76774.54</v>
      </c>
    </row>
    <row r="351" spans="1:12" ht="12.75" outlineLevel="1">
      <c r="A351" s="359" t="s">
        <v>860</v>
      </c>
      <c r="C351" s="411"/>
      <c r="D351" s="390" t="s">
        <v>861</v>
      </c>
      <c r="E351" s="412" t="str">
        <f t="shared" si="13"/>
        <v>HELEN BOYLAND FDTN</v>
      </c>
      <c r="F351" s="398">
        <v>14120.11</v>
      </c>
      <c r="G351" s="402">
        <v>0</v>
      </c>
      <c r="H351" s="402">
        <v>-421.02</v>
      </c>
      <c r="I351" s="402">
        <v>2128.29</v>
      </c>
      <c r="J351" s="402">
        <v>0</v>
      </c>
      <c r="K351" s="402">
        <v>0</v>
      </c>
      <c r="L351" s="402">
        <f t="shared" si="14"/>
        <v>15827.380000000001</v>
      </c>
    </row>
    <row r="352" spans="1:12" ht="12.75" outlineLevel="1">
      <c r="A352" s="359" t="s">
        <v>862</v>
      </c>
      <c r="C352" s="411"/>
      <c r="D352" s="390" t="s">
        <v>1485</v>
      </c>
      <c r="E352" s="412" t="str">
        <f t="shared" si="13"/>
        <v>D BROOKFIELD SCHP</v>
      </c>
      <c r="F352" s="398">
        <v>229889.42</v>
      </c>
      <c r="G352" s="402">
        <v>0</v>
      </c>
      <c r="H352" s="402">
        <v>-7870.88</v>
      </c>
      <c r="I352" s="402">
        <v>37026.63</v>
      </c>
      <c r="J352" s="402">
        <v>0</v>
      </c>
      <c r="K352" s="402">
        <v>-150000</v>
      </c>
      <c r="L352" s="402">
        <f t="shared" si="14"/>
        <v>109045.17000000001</v>
      </c>
    </row>
    <row r="353" spans="1:12" ht="12.75" outlineLevel="1">
      <c r="A353" s="359" t="s">
        <v>1486</v>
      </c>
      <c r="C353" s="411"/>
      <c r="D353" s="390" t="s">
        <v>1487</v>
      </c>
      <c r="E353" s="412" t="str">
        <f t="shared" si="13"/>
        <v>E CRAVENS MEMORIAL</v>
      </c>
      <c r="F353" s="398">
        <v>13563.81</v>
      </c>
      <c r="G353" s="402">
        <v>0</v>
      </c>
      <c r="H353" s="402">
        <v>-404.43</v>
      </c>
      <c r="I353" s="402">
        <v>2044.44</v>
      </c>
      <c r="J353" s="402">
        <v>0</v>
      </c>
      <c r="K353" s="402">
        <v>0</v>
      </c>
      <c r="L353" s="402">
        <f t="shared" si="14"/>
        <v>15203.82</v>
      </c>
    </row>
    <row r="354" spans="1:12" ht="12.75" outlineLevel="1">
      <c r="A354" s="359" t="s">
        <v>1488</v>
      </c>
      <c r="C354" s="411"/>
      <c r="D354" s="390" t="s">
        <v>1489</v>
      </c>
      <c r="E354" s="412" t="str">
        <f t="shared" si="13"/>
        <v>JAMES LYNN MEMORIAL</v>
      </c>
      <c r="F354" s="398">
        <v>1000025.82</v>
      </c>
      <c r="G354" s="402">
        <v>0</v>
      </c>
      <c r="H354" s="402">
        <v>-29818.52</v>
      </c>
      <c r="I354" s="402">
        <v>150730.51</v>
      </c>
      <c r="J354" s="402">
        <v>0</v>
      </c>
      <c r="K354" s="402">
        <v>0</v>
      </c>
      <c r="L354" s="402">
        <f t="shared" si="14"/>
        <v>1120937.81</v>
      </c>
    </row>
    <row r="355" spans="1:12" ht="12.75" outlineLevel="1">
      <c r="A355" s="359" t="s">
        <v>1490</v>
      </c>
      <c r="C355" s="411"/>
      <c r="D355" s="390" t="s">
        <v>1491</v>
      </c>
      <c r="E355" s="412" t="str">
        <f t="shared" si="13"/>
        <v>MARGOLIS PHARMACY FD</v>
      </c>
      <c r="F355" s="398">
        <v>39054.2</v>
      </c>
      <c r="G355" s="402">
        <v>0</v>
      </c>
      <c r="H355" s="402">
        <v>-1164.51</v>
      </c>
      <c r="I355" s="402">
        <v>5886.53</v>
      </c>
      <c r="J355" s="402">
        <v>0</v>
      </c>
      <c r="K355" s="402">
        <v>0</v>
      </c>
      <c r="L355" s="402">
        <f t="shared" si="14"/>
        <v>43776.219999999994</v>
      </c>
    </row>
    <row r="356" spans="1:12" ht="12.75" outlineLevel="1">
      <c r="A356" s="359" t="s">
        <v>1492</v>
      </c>
      <c r="C356" s="411"/>
      <c r="D356" s="390" t="s">
        <v>1493</v>
      </c>
      <c r="E356" s="412" t="str">
        <f t="shared" si="13"/>
        <v>MED SCHOOL SCHP FUND</v>
      </c>
      <c r="F356" s="398">
        <v>63274.96</v>
      </c>
      <c r="G356" s="402">
        <v>5330.7</v>
      </c>
      <c r="H356" s="402">
        <v>-1809.14</v>
      </c>
      <c r="I356" s="402">
        <v>9546.86</v>
      </c>
      <c r="J356" s="402">
        <v>0</v>
      </c>
      <c r="K356" s="402">
        <v>0</v>
      </c>
      <c r="L356" s="402">
        <f t="shared" si="14"/>
        <v>76343.38</v>
      </c>
    </row>
    <row r="357" spans="1:12" ht="12.75" outlineLevel="1">
      <c r="A357" s="359" t="s">
        <v>1494</v>
      </c>
      <c r="C357" s="411"/>
      <c r="D357" s="390" t="s">
        <v>1495</v>
      </c>
      <c r="E357" s="412" t="str">
        <f t="shared" si="13"/>
        <v>G MORGOLUS MEM SCHP</v>
      </c>
      <c r="F357" s="398">
        <v>5346</v>
      </c>
      <c r="G357" s="402">
        <v>0</v>
      </c>
      <c r="H357" s="402">
        <v>-159.41</v>
      </c>
      <c r="I357" s="402">
        <v>805.79</v>
      </c>
      <c r="J357" s="402">
        <v>0</v>
      </c>
      <c r="K357" s="402">
        <v>0</v>
      </c>
      <c r="L357" s="402">
        <f t="shared" si="14"/>
        <v>5992.38</v>
      </c>
    </row>
    <row r="358" spans="1:12" ht="12.75" outlineLevel="1">
      <c r="A358" s="359" t="s">
        <v>1496</v>
      </c>
      <c r="C358" s="411"/>
      <c r="D358" s="390" t="s">
        <v>1497</v>
      </c>
      <c r="E358" s="412" t="str">
        <f t="shared" si="13"/>
        <v>WM &amp; CATH REPP MEM</v>
      </c>
      <c r="F358" s="398">
        <v>115983.56</v>
      </c>
      <c r="G358" s="402">
        <v>0</v>
      </c>
      <c r="H358" s="402">
        <v>-475.83</v>
      </c>
      <c r="I358" s="402">
        <v>-6351.06</v>
      </c>
      <c r="J358" s="402">
        <v>0</v>
      </c>
      <c r="K358" s="402">
        <v>0</v>
      </c>
      <c r="L358" s="402">
        <f t="shared" si="14"/>
        <v>109156.67</v>
      </c>
    </row>
    <row r="359" spans="1:12" ht="12.75" outlineLevel="1">
      <c r="A359" s="359" t="s">
        <v>1498</v>
      </c>
      <c r="C359" s="411"/>
      <c r="D359" s="390" t="s">
        <v>1499</v>
      </c>
      <c r="E359" s="412" t="str">
        <f t="shared" si="13"/>
        <v>HUGH SPEER FELLOW</v>
      </c>
      <c r="F359" s="398">
        <v>29099.55</v>
      </c>
      <c r="G359" s="402">
        <v>20</v>
      </c>
      <c r="H359" s="402">
        <v>-867.44</v>
      </c>
      <c r="I359" s="402">
        <v>4386.35</v>
      </c>
      <c r="J359" s="402">
        <v>0</v>
      </c>
      <c r="K359" s="402">
        <v>0</v>
      </c>
      <c r="L359" s="402">
        <f t="shared" si="14"/>
        <v>32638.46</v>
      </c>
    </row>
    <row r="360" spans="1:12" ht="12.75" outlineLevel="1">
      <c r="A360" s="359" t="s">
        <v>1500</v>
      </c>
      <c r="C360" s="411"/>
      <c r="D360" s="390" t="s">
        <v>1501</v>
      </c>
      <c r="E360" s="412" t="str">
        <f t="shared" si="13"/>
        <v>UMKC TALENT SCHOLARS</v>
      </c>
      <c r="F360" s="398">
        <v>193026.35</v>
      </c>
      <c r="G360" s="402">
        <v>0</v>
      </c>
      <c r="H360" s="402">
        <v>-5755.61</v>
      </c>
      <c r="I360" s="402">
        <v>29094.19</v>
      </c>
      <c r="J360" s="402">
        <v>0</v>
      </c>
      <c r="K360" s="402">
        <v>0</v>
      </c>
      <c r="L360" s="402">
        <f t="shared" si="14"/>
        <v>216364.93000000002</v>
      </c>
    </row>
    <row r="361" spans="1:12" ht="12.75" outlineLevel="1">
      <c r="A361" s="359" t="s">
        <v>1502</v>
      </c>
      <c r="C361" s="411"/>
      <c r="D361" s="390" t="s">
        <v>1503</v>
      </c>
      <c r="E361" s="412" t="str">
        <f t="shared" si="13"/>
        <v>DAVID WILLOCK FUND</v>
      </c>
      <c r="F361" s="398">
        <v>105354.07</v>
      </c>
      <c r="G361" s="402">
        <v>0</v>
      </c>
      <c r="H361" s="402">
        <v>-432.23</v>
      </c>
      <c r="I361" s="402">
        <v>-5769</v>
      </c>
      <c r="J361" s="402">
        <v>0</v>
      </c>
      <c r="K361" s="402">
        <v>0</v>
      </c>
      <c r="L361" s="402">
        <f t="shared" si="14"/>
        <v>99152.84000000001</v>
      </c>
    </row>
    <row r="362" spans="1:12" ht="12.75" outlineLevel="1">
      <c r="A362" s="359" t="s">
        <v>1504</v>
      </c>
      <c r="C362" s="411"/>
      <c r="D362" s="390" t="s">
        <v>1505</v>
      </c>
      <c r="E362" s="412" t="str">
        <f t="shared" si="13"/>
        <v>BEISTLE MEM RESCH FD</v>
      </c>
      <c r="F362" s="398">
        <v>110804.46</v>
      </c>
      <c r="G362" s="402">
        <v>0</v>
      </c>
      <c r="H362" s="402">
        <v>-454.6</v>
      </c>
      <c r="I362" s="402">
        <v>-6067.45</v>
      </c>
      <c r="J362" s="402">
        <v>0</v>
      </c>
      <c r="K362" s="402">
        <v>0</v>
      </c>
      <c r="L362" s="402">
        <f t="shared" si="14"/>
        <v>104282.41</v>
      </c>
    </row>
    <row r="363" spans="1:13" ht="12.75" outlineLevel="1">
      <c r="A363" s="359" t="s">
        <v>1506</v>
      </c>
      <c r="C363" s="411"/>
      <c r="D363" s="390" t="s">
        <v>1507</v>
      </c>
      <c r="E363" s="381" t="str">
        <f t="shared" si="13"/>
        <v>R K BERNARD LIBR FD</v>
      </c>
      <c r="F363" s="401">
        <v>9031.18</v>
      </c>
      <c r="G363" s="402">
        <v>0</v>
      </c>
      <c r="H363" s="402">
        <v>-269.27</v>
      </c>
      <c r="I363" s="402">
        <v>1361.23</v>
      </c>
      <c r="J363" s="402">
        <v>0</v>
      </c>
      <c r="K363" s="402">
        <v>0</v>
      </c>
      <c r="L363" s="402">
        <f t="shared" si="14"/>
        <v>10123.14</v>
      </c>
      <c r="M363" s="411"/>
    </row>
    <row r="364" spans="1:14" s="441" customFormat="1" ht="12.75" outlineLevel="1">
      <c r="A364" s="441" t="s">
        <v>1508</v>
      </c>
      <c r="B364" s="442"/>
      <c r="C364" s="411"/>
      <c r="D364" s="411" t="s">
        <v>1509</v>
      </c>
      <c r="E364" s="443" t="str">
        <f t="shared" si="13"/>
        <v>NEW HORIZONS ENDOW</v>
      </c>
      <c r="F364" s="444">
        <v>601582.03</v>
      </c>
      <c r="G364" s="445">
        <v>0</v>
      </c>
      <c r="H364" s="445">
        <v>-17937.84</v>
      </c>
      <c r="I364" s="445">
        <v>90674.44</v>
      </c>
      <c r="J364" s="445">
        <v>0</v>
      </c>
      <c r="K364" s="445">
        <v>0</v>
      </c>
      <c r="L364" s="445">
        <f t="shared" si="14"/>
        <v>674318.6300000001</v>
      </c>
      <c r="M364" s="408"/>
      <c r="N364" s="446"/>
    </row>
    <row r="365" spans="1:12" ht="12.75" outlineLevel="1">
      <c r="A365" s="359" t="s">
        <v>1510</v>
      </c>
      <c r="C365" s="411"/>
      <c r="D365" s="390" t="s">
        <v>1511</v>
      </c>
      <c r="E365" s="412" t="str">
        <f t="shared" si="13"/>
        <v>ELIZABETH EGE FUND</v>
      </c>
      <c r="F365" s="398">
        <v>62474.44</v>
      </c>
      <c r="G365" s="402">
        <v>0</v>
      </c>
      <c r="H365" s="402">
        <v>-1862.85</v>
      </c>
      <c r="I365" s="402">
        <v>9416.57</v>
      </c>
      <c r="J365" s="402">
        <v>0</v>
      </c>
      <c r="K365" s="402">
        <v>0</v>
      </c>
      <c r="L365" s="402">
        <f t="shared" si="14"/>
        <v>70028.16</v>
      </c>
    </row>
    <row r="366" spans="1:12" ht="12.75" outlineLevel="1">
      <c r="A366" s="359" t="s">
        <v>1512</v>
      </c>
      <c r="C366" s="411"/>
      <c r="D366" s="390" t="s">
        <v>1513</v>
      </c>
      <c r="E366" s="412" t="str">
        <f t="shared" si="13"/>
        <v>DEAN ELLISON PROFLAW</v>
      </c>
      <c r="F366" s="398">
        <v>37480.54</v>
      </c>
      <c r="G366" s="402">
        <v>0</v>
      </c>
      <c r="H366" s="402">
        <v>-1117.57</v>
      </c>
      <c r="I366" s="402">
        <v>5649.31</v>
      </c>
      <c r="J366" s="402">
        <v>0</v>
      </c>
      <c r="K366" s="402">
        <v>0</v>
      </c>
      <c r="L366" s="402">
        <f t="shared" si="14"/>
        <v>42012.28</v>
      </c>
    </row>
    <row r="367" spans="1:12" ht="12.75" outlineLevel="1">
      <c r="A367" s="359" t="s">
        <v>1514</v>
      </c>
      <c r="C367" s="411"/>
      <c r="D367" s="390" t="s">
        <v>1515</v>
      </c>
      <c r="E367" s="412" t="str">
        <f t="shared" si="13"/>
        <v>FLARSHEIM BEUTIF FD</v>
      </c>
      <c r="F367" s="398">
        <v>14379718.04</v>
      </c>
      <c r="G367" s="402">
        <v>80</v>
      </c>
      <c r="H367" s="402">
        <v>-456853.09</v>
      </c>
      <c r="I367" s="402">
        <v>2213078.48</v>
      </c>
      <c r="J367" s="402">
        <v>0</v>
      </c>
      <c r="K367" s="402">
        <v>-4125644</v>
      </c>
      <c r="L367" s="402">
        <f t="shared" si="14"/>
        <v>12010379.43</v>
      </c>
    </row>
    <row r="368" spans="1:12" ht="12.75" outlineLevel="1">
      <c r="A368" s="359" t="s">
        <v>1516</v>
      </c>
      <c r="C368" s="411"/>
      <c r="D368" s="390" t="s">
        <v>1517</v>
      </c>
      <c r="E368" s="412" t="str">
        <f t="shared" si="13"/>
        <v>H HASKELL PROF-SOCSC</v>
      </c>
      <c r="F368" s="398">
        <v>285852.44</v>
      </c>
      <c r="G368" s="402">
        <v>0</v>
      </c>
      <c r="H368" s="402">
        <v>-9231.91</v>
      </c>
      <c r="I368" s="402">
        <v>37693.82</v>
      </c>
      <c r="J368" s="402">
        <v>0</v>
      </c>
      <c r="K368" s="402">
        <v>-34935.27</v>
      </c>
      <c r="L368" s="402">
        <f t="shared" si="14"/>
        <v>279379.08</v>
      </c>
    </row>
    <row r="369" spans="1:12" ht="12.75" outlineLevel="1">
      <c r="A369" s="359" t="s">
        <v>1518</v>
      </c>
      <c r="C369" s="411"/>
      <c r="D369" s="390" t="s">
        <v>1519</v>
      </c>
      <c r="E369" s="412" t="str">
        <f t="shared" si="13"/>
        <v>B MCCOLLUM - DENT</v>
      </c>
      <c r="F369" s="398">
        <v>291683.03</v>
      </c>
      <c r="G369" s="402">
        <v>0</v>
      </c>
      <c r="H369" s="402">
        <v>-8697.35</v>
      </c>
      <c r="I369" s="402">
        <v>43964.39</v>
      </c>
      <c r="J369" s="402">
        <v>0</v>
      </c>
      <c r="K369" s="402">
        <v>0</v>
      </c>
      <c r="L369" s="402">
        <f t="shared" si="14"/>
        <v>326950.07000000007</v>
      </c>
    </row>
    <row r="370" spans="1:12" ht="12.75" outlineLevel="1">
      <c r="A370" s="359" t="s">
        <v>1520</v>
      </c>
      <c r="C370" s="411"/>
      <c r="D370" s="390" t="s">
        <v>1521</v>
      </c>
      <c r="E370" s="412" t="str">
        <f t="shared" si="13"/>
        <v>S MORRISON INT MED</v>
      </c>
      <c r="F370" s="398">
        <v>1852053.05</v>
      </c>
      <c r="G370" s="402">
        <v>6311.3</v>
      </c>
      <c r="H370" s="402">
        <v>-55047.26</v>
      </c>
      <c r="I370" s="402">
        <v>279497.99</v>
      </c>
      <c r="J370" s="402">
        <v>0</v>
      </c>
      <c r="K370" s="402">
        <v>48.06</v>
      </c>
      <c r="L370" s="402">
        <f t="shared" si="14"/>
        <v>2082863.1400000001</v>
      </c>
    </row>
    <row r="371" spans="1:12" ht="12.75" outlineLevel="1">
      <c r="A371" s="359" t="s">
        <v>1522</v>
      </c>
      <c r="C371" s="411"/>
      <c r="D371" s="390" t="s">
        <v>1523</v>
      </c>
      <c r="E371" s="412" t="str">
        <f t="shared" si="13"/>
        <v>E PIERSON FUND</v>
      </c>
      <c r="F371" s="398">
        <v>203563.37</v>
      </c>
      <c r="G371" s="402">
        <v>0</v>
      </c>
      <c r="H371" s="402">
        <v>-6069.81</v>
      </c>
      <c r="I371" s="402">
        <v>30682.45</v>
      </c>
      <c r="J371" s="402">
        <v>0</v>
      </c>
      <c r="K371" s="402">
        <v>0</v>
      </c>
      <c r="L371" s="402">
        <f t="shared" si="14"/>
        <v>228176.01</v>
      </c>
    </row>
    <row r="372" spans="1:12" ht="12.75" outlineLevel="1">
      <c r="A372" s="359" t="s">
        <v>1524</v>
      </c>
      <c r="C372" s="411"/>
      <c r="D372" s="390" t="s">
        <v>1525</v>
      </c>
      <c r="E372" s="412" t="str">
        <f t="shared" si="13"/>
        <v>PIERSON MAINT &amp; LEC</v>
      </c>
      <c r="F372" s="398">
        <v>97939.71</v>
      </c>
      <c r="G372" s="402">
        <v>0</v>
      </c>
      <c r="H372" s="402">
        <v>-2920.34</v>
      </c>
      <c r="I372" s="402">
        <v>14762.12</v>
      </c>
      <c r="J372" s="402">
        <v>0</v>
      </c>
      <c r="K372" s="402">
        <v>0</v>
      </c>
      <c r="L372" s="402">
        <f t="shared" si="14"/>
        <v>109781.49</v>
      </c>
    </row>
    <row r="373" spans="1:12" ht="12.75" outlineLevel="1">
      <c r="A373" s="359" t="s">
        <v>1526</v>
      </c>
      <c r="C373" s="411"/>
      <c r="D373" s="390" t="s">
        <v>1527</v>
      </c>
      <c r="E373" s="412" t="str">
        <f t="shared" si="13"/>
        <v>PHMC EDUCATION FUND</v>
      </c>
      <c r="F373" s="398">
        <v>75392.51</v>
      </c>
      <c r="G373" s="402">
        <v>0</v>
      </c>
      <c r="H373" s="402">
        <v>-2248.04</v>
      </c>
      <c r="I373" s="402">
        <v>11363.68</v>
      </c>
      <c r="J373" s="402">
        <v>0</v>
      </c>
      <c r="K373" s="402">
        <v>0</v>
      </c>
      <c r="L373" s="402">
        <f t="shared" si="14"/>
        <v>84508.15</v>
      </c>
    </row>
    <row r="374" spans="1:12" ht="12.75" outlineLevel="1">
      <c r="A374" s="359" t="s">
        <v>1528</v>
      </c>
      <c r="C374" s="411"/>
      <c r="D374" s="390" t="s">
        <v>1529</v>
      </c>
      <c r="E374" s="412" t="str">
        <f t="shared" si="13"/>
        <v>M RINEHART FAC DEV</v>
      </c>
      <c r="F374" s="398">
        <v>707055.32</v>
      </c>
      <c r="G374" s="402">
        <v>0</v>
      </c>
      <c r="H374" s="402">
        <v>-21082.79</v>
      </c>
      <c r="I374" s="402">
        <v>106572.07</v>
      </c>
      <c r="J374" s="402">
        <v>0</v>
      </c>
      <c r="K374" s="402">
        <v>0</v>
      </c>
      <c r="L374" s="402">
        <f t="shared" si="14"/>
        <v>792544.5999999999</v>
      </c>
    </row>
    <row r="375" spans="1:12" ht="12.75" outlineLevel="1">
      <c r="A375" s="359" t="s">
        <v>1530</v>
      </c>
      <c r="C375" s="411"/>
      <c r="D375" s="390" t="s">
        <v>1531</v>
      </c>
      <c r="E375" s="412" t="str">
        <f t="shared" si="13"/>
        <v>NORMAN H ROYALL FUND</v>
      </c>
      <c r="F375" s="398">
        <v>6794.36</v>
      </c>
      <c r="G375" s="402">
        <v>0</v>
      </c>
      <c r="H375" s="402">
        <v>-27.86</v>
      </c>
      <c r="I375" s="402">
        <v>-372.07</v>
      </c>
      <c r="J375" s="402">
        <v>0</v>
      </c>
      <c r="K375" s="402">
        <v>0</v>
      </c>
      <c r="L375" s="402">
        <f t="shared" si="14"/>
        <v>6394.43</v>
      </c>
    </row>
    <row r="376" spans="1:12" ht="12.75" outlineLevel="1">
      <c r="A376" s="359" t="s">
        <v>1532</v>
      </c>
      <c r="C376" s="411"/>
      <c r="D376" s="390" t="s">
        <v>1533</v>
      </c>
      <c r="E376" s="412" t="str">
        <f t="shared" si="13"/>
        <v>BIO SCI RESEARCH ENH</v>
      </c>
      <c r="F376" s="398">
        <v>843860.94</v>
      </c>
      <c r="G376" s="402">
        <v>0</v>
      </c>
      <c r="H376" s="402">
        <v>-25162.05</v>
      </c>
      <c r="I376" s="402">
        <v>127192.3</v>
      </c>
      <c r="J376" s="402">
        <v>0</v>
      </c>
      <c r="K376" s="402">
        <v>0</v>
      </c>
      <c r="L376" s="402">
        <f t="shared" si="14"/>
        <v>945891.19</v>
      </c>
    </row>
    <row r="377" spans="1:12" ht="12.75" outlineLevel="1">
      <c r="A377" s="359" t="s">
        <v>1534</v>
      </c>
      <c r="C377" s="411"/>
      <c r="D377" s="390" t="s">
        <v>1535</v>
      </c>
      <c r="E377" s="412" t="str">
        <f t="shared" si="13"/>
        <v>JOHN STRANDBERG LIB</v>
      </c>
      <c r="F377" s="398">
        <v>57167.21</v>
      </c>
      <c r="G377" s="402">
        <v>55712.65</v>
      </c>
      <c r="H377" s="402">
        <v>-1396.42</v>
      </c>
      <c r="I377" s="402">
        <v>9507.8</v>
      </c>
      <c r="J377" s="402">
        <v>0</v>
      </c>
      <c r="K377" s="402">
        <v>0</v>
      </c>
      <c r="L377" s="402">
        <f t="shared" si="14"/>
        <v>120991.24</v>
      </c>
    </row>
    <row r="378" spans="1:12" ht="12.75" outlineLevel="1">
      <c r="A378" s="359" t="s">
        <v>1536</v>
      </c>
      <c r="C378" s="411"/>
      <c r="D378" s="390" t="s">
        <v>1537</v>
      </c>
      <c r="E378" s="412" t="str">
        <f t="shared" si="13"/>
        <v>NELL STEVENSON FUND</v>
      </c>
      <c r="F378" s="398">
        <v>47134.73</v>
      </c>
      <c r="G378" s="402">
        <v>0</v>
      </c>
      <c r="H378" s="402">
        <v>-1405.44</v>
      </c>
      <c r="I378" s="402">
        <v>7104.45</v>
      </c>
      <c r="J378" s="402">
        <v>0</v>
      </c>
      <c r="K378" s="402">
        <v>0</v>
      </c>
      <c r="L378" s="402">
        <f t="shared" si="14"/>
        <v>52833.74</v>
      </c>
    </row>
    <row r="379" spans="1:12" ht="12.75" outlineLevel="1">
      <c r="A379" s="359" t="s">
        <v>1538</v>
      </c>
      <c r="C379" s="411"/>
      <c r="D379" s="390" t="s">
        <v>1539</v>
      </c>
      <c r="E379" s="412" t="str">
        <f t="shared" si="13"/>
        <v>TYLER CHILDREN FUND</v>
      </c>
      <c r="F379" s="398">
        <v>14620.88</v>
      </c>
      <c r="G379" s="402">
        <v>0</v>
      </c>
      <c r="H379" s="402">
        <v>-435.96</v>
      </c>
      <c r="I379" s="402">
        <v>2203.78</v>
      </c>
      <c r="J379" s="402">
        <v>0</v>
      </c>
      <c r="K379" s="402">
        <v>0</v>
      </c>
      <c r="L379" s="402">
        <f t="shared" si="14"/>
        <v>16388.7</v>
      </c>
    </row>
    <row r="380" spans="1:12" ht="12.75" outlineLevel="1">
      <c r="A380" s="359" t="s">
        <v>1540</v>
      </c>
      <c r="C380" s="411"/>
      <c r="D380" s="390" t="s">
        <v>1541</v>
      </c>
      <c r="E380" s="412" t="str">
        <f t="shared" si="13"/>
        <v>UNIV LIBR SOUND ARCH</v>
      </c>
      <c r="F380" s="398">
        <v>78905.96</v>
      </c>
      <c r="G380" s="402">
        <v>0</v>
      </c>
      <c r="H380" s="402">
        <v>-2347.7</v>
      </c>
      <c r="I380" s="402">
        <v>11896.89</v>
      </c>
      <c r="J380" s="402">
        <v>0</v>
      </c>
      <c r="K380" s="402">
        <v>0</v>
      </c>
      <c r="L380" s="402">
        <f t="shared" si="14"/>
        <v>88455.15000000001</v>
      </c>
    </row>
    <row r="381" spans="1:12" ht="12.75" outlineLevel="1">
      <c r="A381" s="359" t="s">
        <v>1542</v>
      </c>
      <c r="C381" s="411"/>
      <c r="D381" s="390" t="s">
        <v>1543</v>
      </c>
      <c r="E381" s="412" t="str">
        <f t="shared" si="13"/>
        <v>RHETA SOSLAND CHLD &amp; FAM DVLP</v>
      </c>
      <c r="F381" s="398">
        <v>181669.97</v>
      </c>
      <c r="G381" s="402">
        <v>0</v>
      </c>
      <c r="H381" s="402">
        <v>-5774.12</v>
      </c>
      <c r="I381" s="402">
        <v>24599.94</v>
      </c>
      <c r="J381" s="402">
        <v>0</v>
      </c>
      <c r="K381" s="402">
        <v>0</v>
      </c>
      <c r="L381" s="402">
        <f t="shared" si="14"/>
        <v>200495.79</v>
      </c>
    </row>
    <row r="382" spans="1:13" ht="12.75" outlineLevel="1">
      <c r="A382" s="359" t="s">
        <v>566</v>
      </c>
      <c r="C382" s="411"/>
      <c r="D382" s="390" t="s">
        <v>567</v>
      </c>
      <c r="E382" s="381" t="str">
        <f t="shared" si="13"/>
        <v>M SIRRIDGE LECT FUND</v>
      </c>
      <c r="F382" s="401">
        <v>15545.22</v>
      </c>
      <c r="G382" s="402">
        <v>0</v>
      </c>
      <c r="H382" s="402">
        <v>-463.52</v>
      </c>
      <c r="I382" s="402">
        <v>2343.1</v>
      </c>
      <c r="J382" s="402">
        <v>0</v>
      </c>
      <c r="K382" s="402">
        <v>0</v>
      </c>
      <c r="L382" s="402">
        <f t="shared" si="14"/>
        <v>17424.8</v>
      </c>
      <c r="M382" s="411"/>
    </row>
    <row r="383" spans="1:14" s="441" customFormat="1" ht="12.75" outlineLevel="1">
      <c r="A383" s="441" t="s">
        <v>1544</v>
      </c>
      <c r="B383" s="442"/>
      <c r="C383" s="411"/>
      <c r="D383" s="411" t="s">
        <v>1545</v>
      </c>
      <c r="E383" s="443" t="str">
        <f t="shared" si="13"/>
        <v>BARTHOLOMEW FUND</v>
      </c>
      <c r="F383" s="444">
        <v>8167.78</v>
      </c>
      <c r="G383" s="445">
        <v>0</v>
      </c>
      <c r="H383" s="445">
        <v>-245.03</v>
      </c>
      <c r="I383" s="445">
        <v>1246.58</v>
      </c>
      <c r="J383" s="445">
        <v>0</v>
      </c>
      <c r="K383" s="445">
        <v>0</v>
      </c>
      <c r="L383" s="445">
        <f t="shared" si="14"/>
        <v>9169.33</v>
      </c>
      <c r="M383" s="408"/>
      <c r="N383" s="446"/>
    </row>
    <row r="384" spans="1:12" ht="12.75" outlineLevel="1">
      <c r="A384" s="359" t="s">
        <v>1546</v>
      </c>
      <c r="C384" s="411"/>
      <c r="D384" s="390" t="s">
        <v>1547</v>
      </c>
      <c r="E384" s="412" t="str">
        <f t="shared" si="13"/>
        <v>UMKC BLACK SCHP</v>
      </c>
      <c r="F384" s="398">
        <v>177810.79</v>
      </c>
      <c r="G384" s="402">
        <v>2000</v>
      </c>
      <c r="H384" s="402">
        <v>-5246.17</v>
      </c>
      <c r="I384" s="402">
        <v>26910.09</v>
      </c>
      <c r="J384" s="402">
        <v>0</v>
      </c>
      <c r="K384" s="402">
        <v>0</v>
      </c>
      <c r="L384" s="402">
        <f t="shared" si="14"/>
        <v>201474.71</v>
      </c>
    </row>
    <row r="385" spans="1:12" ht="12.75" outlineLevel="1">
      <c r="A385" s="359" t="s">
        <v>649</v>
      </c>
      <c r="C385" s="411"/>
      <c r="D385" s="390" t="s">
        <v>650</v>
      </c>
      <c r="E385" s="412" t="str">
        <f t="shared" si="13"/>
        <v>DIV ACCOUNTANCY RESOURCE ENDW</v>
      </c>
      <c r="F385" s="398">
        <v>0</v>
      </c>
      <c r="G385" s="402">
        <v>0</v>
      </c>
      <c r="H385" s="402">
        <v>648.26</v>
      </c>
      <c r="I385" s="402">
        <v>14646.01</v>
      </c>
      <c r="J385" s="402">
        <v>0</v>
      </c>
      <c r="K385" s="402">
        <v>92806.52</v>
      </c>
      <c r="L385" s="402">
        <f t="shared" si="14"/>
        <v>108100.79000000001</v>
      </c>
    </row>
    <row r="386" spans="1:12" ht="12.75" outlineLevel="1">
      <c r="A386" s="359" t="s">
        <v>1548</v>
      </c>
      <c r="C386" s="411"/>
      <c r="D386" s="390" t="s">
        <v>1549</v>
      </c>
      <c r="E386" s="412" t="str">
        <f t="shared" si="13"/>
        <v>LIFE MEMBER FUND</v>
      </c>
      <c r="F386" s="398">
        <v>133401.36</v>
      </c>
      <c r="G386" s="402">
        <v>12550</v>
      </c>
      <c r="H386" s="402">
        <v>-473.37</v>
      </c>
      <c r="I386" s="402">
        <v>25101.11</v>
      </c>
      <c r="J386" s="402">
        <v>0</v>
      </c>
      <c r="K386" s="402">
        <v>0</v>
      </c>
      <c r="L386" s="402">
        <f t="shared" si="14"/>
        <v>170579.09999999998</v>
      </c>
    </row>
    <row r="387" spans="1:12" ht="12.75" outlineLevel="1">
      <c r="A387" s="359" t="s">
        <v>1550</v>
      </c>
      <c r="C387" s="411"/>
      <c r="D387" s="390" t="s">
        <v>1551</v>
      </c>
      <c r="E387" s="412" t="str">
        <f t="shared" si="13"/>
        <v>NORMAN L. SCHWARTZ MEM FUND</v>
      </c>
      <c r="F387" s="398">
        <v>10672.1</v>
      </c>
      <c r="G387" s="402">
        <v>0</v>
      </c>
      <c r="H387" s="402">
        <v>-50.57</v>
      </c>
      <c r="I387" s="402">
        <v>1987</v>
      </c>
      <c r="J387" s="402">
        <v>0</v>
      </c>
      <c r="K387" s="402">
        <v>0</v>
      </c>
      <c r="L387" s="402">
        <f t="shared" si="14"/>
        <v>12608.53</v>
      </c>
    </row>
    <row r="388" spans="1:12" ht="12.75" outlineLevel="1">
      <c r="A388" s="359" t="s">
        <v>1552</v>
      </c>
      <c r="C388" s="411"/>
      <c r="D388" s="390" t="s">
        <v>1553</v>
      </c>
      <c r="E388" s="412" t="str">
        <f t="shared" si="13"/>
        <v>TALENT FUND</v>
      </c>
      <c r="F388" s="398">
        <v>26680.26</v>
      </c>
      <c r="G388" s="402">
        <v>0</v>
      </c>
      <c r="H388" s="402">
        <v>-126.38</v>
      </c>
      <c r="I388" s="402">
        <v>4967.43</v>
      </c>
      <c r="J388" s="402">
        <v>0</v>
      </c>
      <c r="K388" s="402">
        <v>0</v>
      </c>
      <c r="L388" s="402">
        <f t="shared" si="14"/>
        <v>31521.309999999998</v>
      </c>
    </row>
    <row r="389" spans="1:12" ht="12.75" outlineLevel="1">
      <c r="A389" s="359" t="s">
        <v>1554</v>
      </c>
      <c r="C389" s="411"/>
      <c r="D389" s="390" t="s">
        <v>1555</v>
      </c>
      <c r="E389" s="412" t="str">
        <f t="shared" si="13"/>
        <v>ELMER F. PIERSON TEACHNG AWARD</v>
      </c>
      <c r="F389" s="398">
        <v>42688.41</v>
      </c>
      <c r="G389" s="402">
        <v>0</v>
      </c>
      <c r="H389" s="402">
        <v>-202.21</v>
      </c>
      <c r="I389" s="402">
        <v>7947.89</v>
      </c>
      <c r="J389" s="402">
        <v>0</v>
      </c>
      <c r="K389" s="402">
        <v>0</v>
      </c>
      <c r="L389" s="402">
        <f t="shared" si="14"/>
        <v>50434.090000000004</v>
      </c>
    </row>
    <row r="390" spans="1:12" ht="12.75" outlineLevel="1">
      <c r="A390" s="359" t="s">
        <v>1556</v>
      </c>
      <c r="C390" s="411"/>
      <c r="D390" s="390" t="s">
        <v>1557</v>
      </c>
      <c r="E390" s="412" t="str">
        <f t="shared" si="13"/>
        <v>BARR INST FOR AMER COMP STUDY</v>
      </c>
      <c r="F390" s="398">
        <v>10923.95</v>
      </c>
      <c r="G390" s="402">
        <v>500</v>
      </c>
      <c r="H390" s="402">
        <v>145.48</v>
      </c>
      <c r="I390" s="402">
        <v>2230.33</v>
      </c>
      <c r="J390" s="402">
        <v>0</v>
      </c>
      <c r="K390" s="402">
        <v>0</v>
      </c>
      <c r="L390" s="402">
        <f t="shared" si="14"/>
        <v>13799.76</v>
      </c>
    </row>
    <row r="391" spans="1:12" ht="12.75" outlineLevel="1">
      <c r="A391" s="359" t="s">
        <v>2515</v>
      </c>
      <c r="C391" s="411"/>
      <c r="D391" s="390" t="s">
        <v>2516</v>
      </c>
      <c r="E391" s="412" t="str">
        <f t="shared" si="13"/>
        <v>HARGRAVE LOAN FD</v>
      </c>
      <c r="F391" s="398">
        <v>799273.07</v>
      </c>
      <c r="G391" s="402">
        <v>0</v>
      </c>
      <c r="H391" s="402">
        <v>-19758.42</v>
      </c>
      <c r="I391" s="402">
        <v>120645.18</v>
      </c>
      <c r="J391" s="402">
        <v>0</v>
      </c>
      <c r="K391" s="402">
        <v>0</v>
      </c>
      <c r="L391" s="402">
        <f t="shared" si="14"/>
        <v>900159.8299999998</v>
      </c>
    </row>
    <row r="392" spans="1:12" ht="12.75" customHeight="1">
      <c r="A392" s="359" t="s">
        <v>1151</v>
      </c>
      <c r="D392" s="403" t="s">
        <v>856</v>
      </c>
      <c r="E392" s="447" t="str">
        <f>UPPER(D392)</f>
        <v>TOTAL INCOME RESTRICTED</v>
      </c>
      <c r="F392" s="301">
        <v>23047178.10000001</v>
      </c>
      <c r="G392" s="300">
        <v>82504.65</v>
      </c>
      <c r="H392" s="300">
        <v>-697335.55</v>
      </c>
      <c r="I392" s="300">
        <v>3468660.17</v>
      </c>
      <c r="J392" s="300">
        <v>0</v>
      </c>
      <c r="K392" s="300">
        <v>-4217724.69</v>
      </c>
      <c r="L392" s="300">
        <f>F392+G392+H392+I392-J392+K392</f>
        <v>21683282.680000003</v>
      </c>
    </row>
    <row r="393" spans="6:12" ht="12.75" customHeight="1">
      <c r="F393" s="401"/>
      <c r="G393" s="402"/>
      <c r="H393" s="402"/>
      <c r="I393" s="402"/>
      <c r="J393" s="402"/>
      <c r="K393" s="402"/>
      <c r="L393" s="402"/>
    </row>
    <row r="394" spans="3:12" ht="12.75" customHeight="1">
      <c r="C394" s="389" t="s">
        <v>1558</v>
      </c>
      <c r="F394" s="401"/>
      <c r="G394" s="402"/>
      <c r="H394" s="402"/>
      <c r="I394" s="402"/>
      <c r="J394" s="402"/>
      <c r="K394" s="402"/>
      <c r="L394" s="402"/>
    </row>
    <row r="395" spans="1:12" ht="12.75" customHeight="1">
      <c r="A395" s="359" t="s">
        <v>1559</v>
      </c>
      <c r="D395" s="403" t="s">
        <v>1560</v>
      </c>
      <c r="E395" s="447" t="str">
        <f>UPPER(D395)</f>
        <v>TOTAL INCOME UNRESTRICTED</v>
      </c>
      <c r="F395" s="301">
        <v>0</v>
      </c>
      <c r="G395" s="300">
        <v>0</v>
      </c>
      <c r="H395" s="300">
        <v>0</v>
      </c>
      <c r="I395" s="300">
        <v>0</v>
      </c>
      <c r="J395" s="300">
        <v>0</v>
      </c>
      <c r="K395" s="300">
        <v>0</v>
      </c>
      <c r="L395" s="449">
        <f>F395+G395+H395+I395-J395+K395</f>
        <v>0</v>
      </c>
    </row>
    <row r="396" spans="6:12" ht="12.75" customHeight="1">
      <c r="F396" s="301"/>
      <c r="G396" s="300"/>
      <c r="H396" s="300"/>
      <c r="I396" s="300"/>
      <c r="J396" s="300"/>
      <c r="K396" s="300"/>
      <c r="L396" s="449"/>
    </row>
    <row r="397" spans="5:12" ht="12.75" customHeight="1">
      <c r="E397" s="434" t="s">
        <v>1152</v>
      </c>
      <c r="F397" s="301">
        <f aca="true" t="shared" si="15" ref="F397:L397">F392+F395</f>
        <v>23047178.10000001</v>
      </c>
      <c r="G397" s="300">
        <f t="shared" si="15"/>
        <v>82504.65</v>
      </c>
      <c r="H397" s="300">
        <f t="shared" si="15"/>
        <v>-697335.55</v>
      </c>
      <c r="I397" s="300">
        <f t="shared" si="15"/>
        <v>3468660.17</v>
      </c>
      <c r="J397" s="300">
        <f t="shared" si="15"/>
        <v>0</v>
      </c>
      <c r="K397" s="300">
        <f t="shared" si="15"/>
        <v>-4217724.69</v>
      </c>
      <c r="L397" s="300">
        <f t="shared" si="15"/>
        <v>21683282.680000003</v>
      </c>
    </row>
    <row r="398" spans="6:12" ht="12.75" customHeight="1">
      <c r="F398" s="401"/>
      <c r="G398" s="402"/>
      <c r="H398" s="402"/>
      <c r="I398" s="402"/>
      <c r="J398" s="402"/>
      <c r="K398" s="402"/>
      <c r="L398" s="402"/>
    </row>
    <row r="399" spans="2:12" ht="12.75" customHeight="1">
      <c r="B399" s="320" t="s">
        <v>1153</v>
      </c>
      <c r="F399" s="401"/>
      <c r="G399" s="402"/>
      <c r="H399" s="402"/>
      <c r="I399" s="402"/>
      <c r="J399" s="402"/>
      <c r="K399" s="402"/>
      <c r="L399" s="402"/>
    </row>
    <row r="400" spans="3:12" ht="12.75" customHeight="1">
      <c r="C400" s="389" t="s">
        <v>1561</v>
      </c>
      <c r="F400" s="401"/>
      <c r="G400" s="402"/>
      <c r="H400" s="402"/>
      <c r="I400" s="402"/>
      <c r="J400" s="402"/>
      <c r="K400" s="402"/>
      <c r="L400" s="402"/>
    </row>
    <row r="401" spans="1:12" ht="12.75" outlineLevel="1">
      <c r="A401" s="359" t="s">
        <v>1562</v>
      </c>
      <c r="C401" s="411"/>
      <c r="D401" s="390" t="s">
        <v>1563</v>
      </c>
      <c r="E401" s="412" t="str">
        <f>UPPER(D401)</f>
        <v>GOODALE UNITRUST</v>
      </c>
      <c r="F401" s="398">
        <v>94856.32</v>
      </c>
      <c r="G401" s="402">
        <v>0</v>
      </c>
      <c r="H401" s="402">
        <v>1788.27</v>
      </c>
      <c r="I401" s="402">
        <v>16457.84</v>
      </c>
      <c r="J401" s="402">
        <v>2934.2</v>
      </c>
      <c r="K401" s="402">
        <v>-110168.24</v>
      </c>
      <c r="L401" s="402">
        <v>0</v>
      </c>
    </row>
    <row r="402" spans="1:12" ht="12.75" customHeight="1">
      <c r="A402" s="359" t="s">
        <v>1154</v>
      </c>
      <c r="D402" s="434" t="s">
        <v>1209</v>
      </c>
      <c r="E402" s="447" t="str">
        <f>UPPER(D402)</f>
        <v>TOTAL UNITRUST FUNDS</v>
      </c>
      <c r="F402" s="301">
        <v>94856.32</v>
      </c>
      <c r="G402" s="300">
        <v>0</v>
      </c>
      <c r="H402" s="300">
        <v>1788.27</v>
      </c>
      <c r="I402" s="300">
        <v>16457.84</v>
      </c>
      <c r="J402" s="300">
        <v>2934.2</v>
      </c>
      <c r="K402" s="300">
        <v>-110168.24</v>
      </c>
      <c r="L402" s="300">
        <v>0</v>
      </c>
    </row>
    <row r="403" spans="6:12" ht="12.75" customHeight="1">
      <c r="F403" s="450"/>
      <c r="G403" s="402"/>
      <c r="H403" s="402"/>
      <c r="I403" s="402"/>
      <c r="J403" s="402"/>
      <c r="K403" s="402"/>
      <c r="L403" s="402"/>
    </row>
    <row r="404" spans="1:12" ht="12.75" customHeight="1">
      <c r="A404" s="359" t="s">
        <v>726</v>
      </c>
      <c r="C404" s="389" t="s">
        <v>1210</v>
      </c>
      <c r="F404" s="450"/>
      <c r="G404" s="402"/>
      <c r="H404" s="402"/>
      <c r="I404" s="402"/>
      <c r="J404" s="402"/>
      <c r="K404" s="402"/>
      <c r="L404" s="402"/>
    </row>
    <row r="405" spans="1:12" ht="12.75" outlineLevel="1">
      <c r="A405" s="359" t="s">
        <v>1211</v>
      </c>
      <c r="C405" s="411"/>
      <c r="D405" s="390" t="s">
        <v>1212</v>
      </c>
      <c r="E405" s="412" t="str">
        <f>UPPER(D405)</f>
        <v>E TILFORD LIFE INC</v>
      </c>
      <c r="F405" s="398">
        <v>8377.94</v>
      </c>
      <c r="G405" s="402">
        <v>0</v>
      </c>
      <c r="H405" s="402">
        <v>360.67</v>
      </c>
      <c r="I405" s="402">
        <v>44.86</v>
      </c>
      <c r="J405" s="402">
        <v>2388</v>
      </c>
      <c r="K405" s="402">
        <v>0</v>
      </c>
      <c r="L405" s="402">
        <f>F405+G405+H405+I405-J405+K405</f>
        <v>6395.470000000001</v>
      </c>
    </row>
    <row r="406" spans="1:12" ht="12.75" customHeight="1">
      <c r="A406" s="359" t="s">
        <v>1155</v>
      </c>
      <c r="D406" s="434" t="s">
        <v>1213</v>
      </c>
      <c r="E406" s="447" t="str">
        <f>UPPER(D406)</f>
        <v>TOTAL LIFE INCOME FUNDS</v>
      </c>
      <c r="F406" s="301">
        <v>8377.94</v>
      </c>
      <c r="G406" s="300">
        <v>0</v>
      </c>
      <c r="H406" s="300">
        <v>360.67</v>
      </c>
      <c r="I406" s="300">
        <v>44.86</v>
      </c>
      <c r="J406" s="300">
        <v>2388</v>
      </c>
      <c r="K406" s="300">
        <v>0</v>
      </c>
      <c r="L406" s="300">
        <f>F406+G406+H406+I406-J406+K406</f>
        <v>6395.470000000001</v>
      </c>
    </row>
    <row r="407" spans="6:12" ht="12.75" customHeight="1">
      <c r="F407" s="301"/>
      <c r="G407" s="300"/>
      <c r="H407" s="300"/>
      <c r="I407" s="300"/>
      <c r="J407" s="300"/>
      <c r="K407" s="300"/>
      <c r="L407" s="300"/>
    </row>
    <row r="408" spans="3:12" ht="12.75" customHeight="1">
      <c r="C408" s="389" t="s">
        <v>1156</v>
      </c>
      <c r="F408" s="301"/>
      <c r="G408" s="300"/>
      <c r="H408" s="300"/>
      <c r="I408" s="300"/>
      <c r="J408" s="300"/>
      <c r="K408" s="300"/>
      <c r="L408" s="300"/>
    </row>
    <row r="409" spans="1:12" ht="12.75" customHeight="1">
      <c r="A409" s="359" t="s">
        <v>1157</v>
      </c>
      <c r="D409" s="390" t="s">
        <v>3133</v>
      </c>
      <c r="E409" s="447" t="s">
        <v>1158</v>
      </c>
      <c r="F409" s="301">
        <v>0</v>
      </c>
      <c r="G409" s="300">
        <v>0</v>
      </c>
      <c r="H409" s="300">
        <v>0</v>
      </c>
      <c r="I409" s="300">
        <v>0</v>
      </c>
      <c r="J409" s="300">
        <v>0</v>
      </c>
      <c r="K409" s="300">
        <v>0</v>
      </c>
      <c r="L409" s="300">
        <f>F409+G409+H409+I409-J409+K409</f>
        <v>0</v>
      </c>
    </row>
    <row r="410" spans="6:12" ht="12.75" customHeight="1">
      <c r="F410" s="301"/>
      <c r="G410" s="300"/>
      <c r="H410" s="300"/>
      <c r="I410" s="300"/>
      <c r="J410" s="300"/>
      <c r="K410" s="300"/>
      <c r="L410" s="300"/>
    </row>
    <row r="411" spans="5:12" ht="12.75" customHeight="1">
      <c r="E411" s="327" t="s">
        <v>1159</v>
      </c>
      <c r="F411" s="301">
        <f aca="true" t="shared" si="16" ref="F411:L411">F402+F406+F409</f>
        <v>103234.26000000001</v>
      </c>
      <c r="G411" s="301">
        <f t="shared" si="16"/>
        <v>0</v>
      </c>
      <c r="H411" s="301">
        <f t="shared" si="16"/>
        <v>2148.94</v>
      </c>
      <c r="I411" s="301">
        <f t="shared" si="16"/>
        <v>16502.7</v>
      </c>
      <c r="J411" s="301">
        <f t="shared" si="16"/>
        <v>5322.2</v>
      </c>
      <c r="K411" s="301">
        <f t="shared" si="16"/>
        <v>-110168.24</v>
      </c>
      <c r="L411" s="301">
        <f t="shared" si="16"/>
        <v>6395.470000000001</v>
      </c>
    </row>
    <row r="412" ht="12.75" customHeight="1"/>
    <row r="413" spans="5:12" ht="12.75" customHeight="1">
      <c r="E413" s="327" t="s">
        <v>1160</v>
      </c>
      <c r="F413" s="302">
        <f aca="true" t="shared" si="17" ref="F413:L413">F346+F397+F411</f>
        <v>76638923.00000006</v>
      </c>
      <c r="G413" s="407">
        <f t="shared" si="17"/>
        <v>2899690.9699999997</v>
      </c>
      <c r="H413" s="407">
        <f t="shared" si="17"/>
        <v>-1844318.33</v>
      </c>
      <c r="I413" s="407">
        <f t="shared" si="17"/>
        <v>10153754.889999999</v>
      </c>
      <c r="J413" s="407">
        <f t="shared" si="17"/>
        <v>84479.12999999999</v>
      </c>
      <c r="K413" s="407">
        <f t="shared" si="17"/>
        <v>-4203598.49</v>
      </c>
      <c r="L413" s="407">
        <f t="shared" si="17"/>
        <v>83559972.92000005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7" manualBreakCount="7">
    <brk id="53" max="255" man="1"/>
    <brk id="100" max="255" man="1"/>
    <brk id="147" max="255" man="1"/>
    <brk id="194" max="255" man="1"/>
    <brk id="241" max="255" man="1"/>
    <brk id="288" max="255" man="1"/>
    <brk id="3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B2">
      <selection activeCell="B7" sqref="B7"/>
    </sheetView>
  </sheetViews>
  <sheetFormatPr defaultColWidth="9.140625" defaultRowHeight="12.75" outlineLevelRow="1"/>
  <cols>
    <col min="1" max="1" width="0" style="472" hidden="1" customWidth="1"/>
    <col min="2" max="2" width="2.7109375" style="473" customWidth="1"/>
    <col min="3" max="3" width="45.7109375" style="472" customWidth="1"/>
    <col min="4" max="4" width="8.8515625" style="472" hidden="1" customWidth="1"/>
    <col min="5" max="12" width="15.7109375" style="491" customWidth="1"/>
    <col min="13" max="15" width="0" style="455" hidden="1" customWidth="1"/>
    <col min="16" max="16384" width="9.140625" style="455" customWidth="1"/>
  </cols>
  <sheetData>
    <row r="1" spans="1:12" ht="12.75" hidden="1">
      <c r="A1" s="451" t="s">
        <v>1214</v>
      </c>
      <c r="B1" s="451"/>
      <c r="C1" s="452" t="s">
        <v>1705</v>
      </c>
      <c r="D1" s="452" t="s">
        <v>1215</v>
      </c>
      <c r="E1" s="453" t="s">
        <v>97</v>
      </c>
      <c r="F1" s="453" t="s">
        <v>2777</v>
      </c>
      <c r="G1" s="453" t="s">
        <v>1216</v>
      </c>
      <c r="H1" s="453" t="s">
        <v>1217</v>
      </c>
      <c r="I1" s="453" t="s">
        <v>1218</v>
      </c>
      <c r="J1" s="453" t="s">
        <v>1219</v>
      </c>
      <c r="K1" s="453" t="s">
        <v>132</v>
      </c>
      <c r="L1" s="454" t="s">
        <v>728</v>
      </c>
    </row>
    <row r="2" spans="1:15" s="460" customFormat="1" ht="15.75" customHeight="1">
      <c r="A2" s="456"/>
      <c r="B2" s="549" t="s">
        <v>729</v>
      </c>
      <c r="C2" s="566"/>
      <c r="D2" s="566"/>
      <c r="E2" s="566"/>
      <c r="F2" s="567"/>
      <c r="G2" s="457"/>
      <c r="H2" s="370"/>
      <c r="I2" s="458"/>
      <c r="J2" s="458"/>
      <c r="K2" s="458"/>
      <c r="L2" s="459"/>
      <c r="O2" s="409" t="s">
        <v>3125</v>
      </c>
    </row>
    <row r="3" spans="1:15" s="460" customFormat="1" ht="15.75" customHeight="1">
      <c r="A3" s="456"/>
      <c r="B3" s="550" t="s">
        <v>1220</v>
      </c>
      <c r="C3" s="568"/>
      <c r="D3" s="568"/>
      <c r="E3" s="568"/>
      <c r="F3" s="569"/>
      <c r="G3" s="461"/>
      <c r="H3" s="271"/>
      <c r="I3" s="462"/>
      <c r="J3" s="462"/>
      <c r="K3" s="462"/>
      <c r="L3" s="427"/>
      <c r="O3" s="409" t="s">
        <v>1161</v>
      </c>
    </row>
    <row r="4" spans="1:15" s="330" customFormat="1" ht="15.75" customHeight="1">
      <c r="A4" s="463"/>
      <c r="B4" s="273" t="str">
        <f>"As of "&amp;TEXT(O4,"MMMM DD, YYYY")</f>
        <v>As of June 30, 2004</v>
      </c>
      <c r="C4" s="570"/>
      <c r="D4" s="464"/>
      <c r="E4" s="465"/>
      <c r="F4" s="466"/>
      <c r="G4" s="465"/>
      <c r="H4" s="465"/>
      <c r="I4" s="465"/>
      <c r="J4" s="465"/>
      <c r="K4" s="465"/>
      <c r="L4" s="382"/>
      <c r="O4" s="328" t="s">
        <v>2976</v>
      </c>
    </row>
    <row r="5" spans="1:12" s="408" customFormat="1" ht="12.75" customHeight="1">
      <c r="A5" s="467"/>
      <c r="B5" s="571"/>
      <c r="C5" s="469"/>
      <c r="D5" s="469"/>
      <c r="E5" s="468"/>
      <c r="F5" s="468"/>
      <c r="G5" s="470"/>
      <c r="H5" s="468"/>
      <c r="I5" s="468"/>
      <c r="J5" s="468"/>
      <c r="K5" s="468"/>
      <c r="L5" s="471"/>
    </row>
    <row r="6" spans="3:15" ht="42" customHeight="1">
      <c r="C6" s="474"/>
      <c r="D6" s="475" t="s">
        <v>1221</v>
      </c>
      <c r="E6" s="476" t="s">
        <v>1162</v>
      </c>
      <c r="F6" s="476" t="s">
        <v>1163</v>
      </c>
      <c r="G6" s="477" t="s">
        <v>1223</v>
      </c>
      <c r="H6" s="477" t="s">
        <v>1224</v>
      </c>
      <c r="I6" s="477" t="s">
        <v>1225</v>
      </c>
      <c r="J6" s="478"/>
      <c r="K6" s="477" t="s">
        <v>1226</v>
      </c>
      <c r="L6" s="477" t="s">
        <v>1222</v>
      </c>
      <c r="O6" s="479"/>
    </row>
    <row r="7" spans="1:15" s="485" customFormat="1" ht="13.5" thickBot="1">
      <c r="A7" s="480"/>
      <c r="B7" s="481"/>
      <c r="C7" s="482"/>
      <c r="D7" s="483" t="s">
        <v>1227</v>
      </c>
      <c r="E7" s="484">
        <v>37803</v>
      </c>
      <c r="F7" s="318" t="s">
        <v>1164</v>
      </c>
      <c r="G7" s="318" t="s">
        <v>1228</v>
      </c>
      <c r="H7" s="318" t="s">
        <v>1229</v>
      </c>
      <c r="I7" s="318" t="s">
        <v>1230</v>
      </c>
      <c r="J7" s="318" t="s">
        <v>106</v>
      </c>
      <c r="K7" s="318" t="s">
        <v>1231</v>
      </c>
      <c r="L7" s="484">
        <v>38168</v>
      </c>
      <c r="O7" s="486"/>
    </row>
    <row r="8" spans="2:12" ht="12.75" customHeight="1" thickTop="1">
      <c r="B8" s="572"/>
      <c r="C8" s="321"/>
      <c r="D8" s="573"/>
      <c r="E8" s="293"/>
      <c r="F8" s="293"/>
      <c r="G8" s="293"/>
      <c r="H8" s="293"/>
      <c r="I8" s="293"/>
      <c r="J8" s="293"/>
      <c r="K8" s="293"/>
      <c r="L8" s="293"/>
    </row>
    <row r="9" spans="2:12" ht="12.75" customHeight="1">
      <c r="B9" s="288" t="s">
        <v>1232</v>
      </c>
      <c r="C9" s="118"/>
      <c r="D9" s="288"/>
      <c r="E9" s="293"/>
      <c r="F9" s="293"/>
      <c r="G9" s="293"/>
      <c r="H9" s="293"/>
      <c r="I9" s="293"/>
      <c r="J9" s="293"/>
      <c r="K9" s="293"/>
      <c r="L9" s="293"/>
    </row>
    <row r="10" spans="1:12" ht="12.75" outlineLevel="1">
      <c r="A10" s="451" t="s">
        <v>1233</v>
      </c>
      <c r="B10" s="303"/>
      <c r="C10" s="488" t="s">
        <v>1234</v>
      </c>
      <c r="D10" s="329" t="s">
        <v>1235</v>
      </c>
      <c r="E10" s="296">
        <v>12936.64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f aca="true" t="shared" si="0" ref="L10:L22">E10+F10+G10+H10+I10+K10-J10</f>
        <v>12936.64</v>
      </c>
    </row>
    <row r="11" spans="1:12" ht="12.75" outlineLevel="1">
      <c r="A11" s="451" t="s">
        <v>1236</v>
      </c>
      <c r="B11" s="303"/>
      <c r="C11" s="488" t="s">
        <v>1237</v>
      </c>
      <c r="D11" s="329" t="s">
        <v>1238</v>
      </c>
      <c r="E11" s="298">
        <v>-545302.18</v>
      </c>
      <c r="F11" s="298">
        <v>0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298">
        <f t="shared" si="0"/>
        <v>-545302.18</v>
      </c>
    </row>
    <row r="12" spans="1:12" ht="12.75" outlineLevel="1">
      <c r="A12" s="451" t="s">
        <v>1239</v>
      </c>
      <c r="B12" s="303"/>
      <c r="C12" s="488" t="s">
        <v>1240</v>
      </c>
      <c r="D12" s="329" t="s">
        <v>1241</v>
      </c>
      <c r="E12" s="298">
        <v>-438475.88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8">
        <f t="shared" si="0"/>
        <v>-438475.88</v>
      </c>
    </row>
    <row r="13" spans="1:12" ht="12.75" outlineLevel="1">
      <c r="A13" s="451" t="s">
        <v>1242</v>
      </c>
      <c r="B13" s="303"/>
      <c r="C13" s="488" t="s">
        <v>1165</v>
      </c>
      <c r="D13" s="329" t="s">
        <v>1243</v>
      </c>
      <c r="E13" s="298">
        <v>0</v>
      </c>
      <c r="F13" s="298">
        <v>259463.08</v>
      </c>
      <c r="G13" s="298">
        <v>0</v>
      </c>
      <c r="H13" s="298">
        <v>0</v>
      </c>
      <c r="I13" s="298">
        <v>0</v>
      </c>
      <c r="J13" s="298">
        <v>259463.08</v>
      </c>
      <c r="K13" s="298">
        <v>0</v>
      </c>
      <c r="L13" s="298">
        <v>0</v>
      </c>
    </row>
    <row r="14" spans="1:12" ht="12.75" outlineLevel="1">
      <c r="A14" s="451" t="s">
        <v>1244</v>
      </c>
      <c r="B14" s="303"/>
      <c r="C14" s="488" t="s">
        <v>1166</v>
      </c>
      <c r="D14" s="329" t="s">
        <v>1245</v>
      </c>
      <c r="E14" s="298">
        <v>0</v>
      </c>
      <c r="F14" s="298">
        <v>147659.22</v>
      </c>
      <c r="G14" s="298">
        <v>0</v>
      </c>
      <c r="H14" s="298">
        <v>0</v>
      </c>
      <c r="I14" s="298">
        <v>0</v>
      </c>
      <c r="J14" s="298">
        <v>147659.22</v>
      </c>
      <c r="K14" s="298">
        <v>0</v>
      </c>
      <c r="L14" s="298">
        <f t="shared" si="0"/>
        <v>0</v>
      </c>
    </row>
    <row r="15" spans="1:12" ht="12.75" outlineLevel="1">
      <c r="A15" s="451" t="s">
        <v>1246</v>
      </c>
      <c r="B15" s="303"/>
      <c r="C15" s="488" t="s">
        <v>1247</v>
      </c>
      <c r="D15" s="329" t="s">
        <v>1248</v>
      </c>
      <c r="E15" s="298">
        <v>-40079.17</v>
      </c>
      <c r="F15" s="298">
        <v>1391914.76</v>
      </c>
      <c r="G15" s="298">
        <v>0</v>
      </c>
      <c r="H15" s="298">
        <v>0</v>
      </c>
      <c r="I15" s="298">
        <v>0</v>
      </c>
      <c r="J15" s="298">
        <v>1391914.79</v>
      </c>
      <c r="K15" s="298">
        <v>0</v>
      </c>
      <c r="L15" s="298">
        <f t="shared" si="0"/>
        <v>-40079.19999999995</v>
      </c>
    </row>
    <row r="16" spans="1:12" ht="12.75" outlineLevel="1">
      <c r="A16" s="451" t="s">
        <v>1249</v>
      </c>
      <c r="B16" s="303"/>
      <c r="C16" s="488" t="s">
        <v>1250</v>
      </c>
      <c r="D16" s="329" t="s">
        <v>1251</v>
      </c>
      <c r="E16" s="298">
        <v>-2501.97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f t="shared" si="0"/>
        <v>-2501.97</v>
      </c>
    </row>
    <row r="17" spans="1:12" ht="12.75" outlineLevel="1">
      <c r="A17" s="451" t="s">
        <v>1252</v>
      </c>
      <c r="B17" s="303"/>
      <c r="C17" s="488" t="s">
        <v>1253</v>
      </c>
      <c r="D17" s="329" t="s">
        <v>1254</v>
      </c>
      <c r="E17" s="298">
        <v>-60840.15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f t="shared" si="0"/>
        <v>-60840.15</v>
      </c>
    </row>
    <row r="18" spans="1:12" ht="12.75" outlineLevel="1">
      <c r="A18" s="451" t="s">
        <v>1255</v>
      </c>
      <c r="B18" s="303"/>
      <c r="C18" s="488" t="s">
        <v>1256</v>
      </c>
      <c r="D18" s="329" t="s">
        <v>1257</v>
      </c>
      <c r="E18" s="298">
        <v>-439133.42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f t="shared" si="0"/>
        <v>-439133.42</v>
      </c>
    </row>
    <row r="19" spans="1:12" ht="12.75" outlineLevel="1">
      <c r="A19" s="451" t="s">
        <v>1167</v>
      </c>
      <c r="B19" s="303"/>
      <c r="C19" s="488" t="s">
        <v>1168</v>
      </c>
      <c r="D19" s="329" t="s">
        <v>1169</v>
      </c>
      <c r="E19" s="298">
        <v>0</v>
      </c>
      <c r="F19" s="298">
        <v>0</v>
      </c>
      <c r="G19" s="298">
        <v>0</v>
      </c>
      <c r="H19" s="298">
        <v>268288.57</v>
      </c>
      <c r="I19" s="298">
        <v>17929155.1</v>
      </c>
      <c r="J19" s="298">
        <v>18197443.669999998</v>
      </c>
      <c r="K19" s="298">
        <v>0</v>
      </c>
      <c r="L19" s="298">
        <f t="shared" si="0"/>
        <v>0</v>
      </c>
    </row>
    <row r="20" spans="1:12" ht="12.75" outlineLevel="1">
      <c r="A20" s="451" t="s">
        <v>1258</v>
      </c>
      <c r="B20" s="303"/>
      <c r="C20" s="488" t="s">
        <v>1259</v>
      </c>
      <c r="D20" s="329" t="s">
        <v>1260</v>
      </c>
      <c r="E20" s="298">
        <v>-34946.16</v>
      </c>
      <c r="F20" s="298">
        <v>0</v>
      </c>
      <c r="G20" s="298">
        <v>0</v>
      </c>
      <c r="H20" s="298">
        <v>0</v>
      </c>
      <c r="I20" s="298">
        <v>0</v>
      </c>
      <c r="J20" s="298">
        <v>683807.94</v>
      </c>
      <c r="K20" s="298">
        <v>4275644</v>
      </c>
      <c r="L20" s="298">
        <f t="shared" si="0"/>
        <v>3556889.9</v>
      </c>
    </row>
    <row r="21" spans="1:12" ht="12.75" outlineLevel="1">
      <c r="A21" s="451" t="s">
        <v>1261</v>
      </c>
      <c r="B21" s="303"/>
      <c r="C21" s="488" t="s">
        <v>1262</v>
      </c>
      <c r="D21" s="329" t="s">
        <v>1263</v>
      </c>
      <c r="E21" s="298">
        <v>-129342.69</v>
      </c>
      <c r="F21" s="298">
        <v>0</v>
      </c>
      <c r="G21" s="298">
        <v>0</v>
      </c>
      <c r="H21" s="298">
        <v>0</v>
      </c>
      <c r="I21" s="298">
        <v>0</v>
      </c>
      <c r="J21" s="298">
        <v>-932735.95</v>
      </c>
      <c r="K21" s="298">
        <v>0</v>
      </c>
      <c r="L21" s="298">
        <f t="shared" si="0"/>
        <v>803393.26</v>
      </c>
    </row>
    <row r="22" spans="1:12" ht="12.75" outlineLevel="1">
      <c r="A22" s="451" t="s">
        <v>1264</v>
      </c>
      <c r="B22" s="306"/>
      <c r="C22" s="488" t="s">
        <v>1265</v>
      </c>
      <c r="D22" s="329" t="s">
        <v>1266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f t="shared" si="0"/>
        <v>0</v>
      </c>
    </row>
    <row r="23" spans="1:12" s="489" customFormat="1" ht="12.75" customHeight="1">
      <c r="A23" s="489" t="s">
        <v>1267</v>
      </c>
      <c r="B23" s="320"/>
      <c r="C23" s="574" t="s">
        <v>1268</v>
      </c>
      <c r="D23" s="434"/>
      <c r="E23" s="301">
        <v>-1677685.24</v>
      </c>
      <c r="F23" s="301">
        <v>1799037.06</v>
      </c>
      <c r="G23" s="301">
        <v>0</v>
      </c>
      <c r="H23" s="301">
        <v>268288.58</v>
      </c>
      <c r="I23" s="301">
        <v>17929155.1</v>
      </c>
      <c r="J23" s="301">
        <v>19747552.75</v>
      </c>
      <c r="K23" s="301">
        <v>4275644</v>
      </c>
      <c r="L23" s="301">
        <f>E23+F23+G23+H23+I23+K23-J23</f>
        <v>2846886.75</v>
      </c>
    </row>
    <row r="24" spans="1:12" s="169" customFormat="1" ht="12.75" customHeight="1">
      <c r="A24" s="489"/>
      <c r="B24" s="320"/>
      <c r="C24" s="574"/>
      <c r="D24" s="389"/>
      <c r="E24" s="301"/>
      <c r="F24" s="301"/>
      <c r="G24" s="301"/>
      <c r="H24" s="301"/>
      <c r="I24" s="301"/>
      <c r="J24" s="301"/>
      <c r="K24" s="301"/>
      <c r="L24" s="301"/>
    </row>
    <row r="25" spans="2:12" ht="12.75" customHeight="1">
      <c r="B25" s="288" t="s">
        <v>1269</v>
      </c>
      <c r="C25" s="488"/>
      <c r="D25" s="389"/>
      <c r="E25" s="298"/>
      <c r="F25" s="298"/>
      <c r="G25" s="298"/>
      <c r="H25" s="298"/>
      <c r="I25" s="298"/>
      <c r="J25" s="298"/>
      <c r="K25" s="298"/>
      <c r="L25" s="298"/>
    </row>
    <row r="26" spans="1:12" ht="12.75" outlineLevel="1">
      <c r="A26" s="451" t="s">
        <v>1233</v>
      </c>
      <c r="B26" s="303"/>
      <c r="C26" s="488" t="s">
        <v>1234</v>
      </c>
      <c r="D26" s="329" t="s">
        <v>1235</v>
      </c>
      <c r="E26" s="298">
        <v>7021597.28</v>
      </c>
      <c r="F26" s="298">
        <v>0</v>
      </c>
      <c r="G26" s="298">
        <v>0</v>
      </c>
      <c r="H26" s="298">
        <v>250424</v>
      </c>
      <c r="I26" s="298">
        <v>0</v>
      </c>
      <c r="J26" s="298">
        <v>3752663.3</v>
      </c>
      <c r="K26" s="298">
        <v>-532206.18</v>
      </c>
      <c r="L26" s="298">
        <f aca="true" t="shared" si="1" ref="L26:L31">E26+F26+G26+H26+I26+K26-J26</f>
        <v>2987151.8000000007</v>
      </c>
    </row>
    <row r="27" spans="1:12" ht="12.75" outlineLevel="1">
      <c r="A27" s="451" t="s">
        <v>1270</v>
      </c>
      <c r="B27" s="303"/>
      <c r="C27" s="488" t="s">
        <v>1271</v>
      </c>
      <c r="D27" s="329" t="s">
        <v>1272</v>
      </c>
      <c r="E27" s="298">
        <v>74422.11</v>
      </c>
      <c r="F27" s="298">
        <v>0</v>
      </c>
      <c r="G27" s="298">
        <v>0</v>
      </c>
      <c r="H27" s="298">
        <v>0</v>
      </c>
      <c r="I27" s="298">
        <v>0</v>
      </c>
      <c r="J27" s="298">
        <v>339900.04</v>
      </c>
      <c r="K27" s="298">
        <v>482687</v>
      </c>
      <c r="L27" s="298">
        <f t="shared" si="1"/>
        <v>217209.07</v>
      </c>
    </row>
    <row r="28" spans="1:12" ht="12.75" outlineLevel="1">
      <c r="A28" s="451" t="s">
        <v>1273</v>
      </c>
      <c r="B28" s="303"/>
      <c r="C28" s="488" t="s">
        <v>1274</v>
      </c>
      <c r="D28" s="329" t="s">
        <v>1275</v>
      </c>
      <c r="E28" s="298">
        <v>-1408.39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8">
        <f t="shared" si="1"/>
        <v>-1408.39</v>
      </c>
    </row>
    <row r="29" spans="1:12" ht="12.75" outlineLevel="1">
      <c r="A29" s="451" t="s">
        <v>1276</v>
      </c>
      <c r="B29" s="303"/>
      <c r="C29" s="488" t="s">
        <v>1277</v>
      </c>
      <c r="D29" s="329" t="s">
        <v>1278</v>
      </c>
      <c r="E29" s="298">
        <v>-221.14</v>
      </c>
      <c r="F29" s="298">
        <v>0</v>
      </c>
      <c r="G29" s="298">
        <v>0</v>
      </c>
      <c r="H29" s="298">
        <v>0</v>
      </c>
      <c r="I29" s="298">
        <v>0</v>
      </c>
      <c r="J29" s="298">
        <v>0</v>
      </c>
      <c r="K29" s="298">
        <v>0</v>
      </c>
      <c r="L29" s="298">
        <f t="shared" si="1"/>
        <v>-221.14</v>
      </c>
    </row>
    <row r="30" spans="1:12" ht="12.75" outlineLevel="1">
      <c r="A30" s="451" t="s">
        <v>1279</v>
      </c>
      <c r="B30" s="306"/>
      <c r="C30" s="488" t="s">
        <v>1280</v>
      </c>
      <c r="D30" s="329" t="s">
        <v>1281</v>
      </c>
      <c r="E30" s="298">
        <v>116636.06</v>
      </c>
      <c r="F30" s="298">
        <v>0</v>
      </c>
      <c r="G30" s="298">
        <v>0</v>
      </c>
      <c r="H30" s="298">
        <v>4143.89</v>
      </c>
      <c r="I30" s="298">
        <v>0</v>
      </c>
      <c r="J30" s="298">
        <v>3166.19</v>
      </c>
      <c r="K30" s="298">
        <v>45905</v>
      </c>
      <c r="L30" s="298">
        <f t="shared" si="1"/>
        <v>163518.76</v>
      </c>
    </row>
    <row r="31" spans="1:12" s="489" customFormat="1" ht="12.75" customHeight="1">
      <c r="A31" s="489" t="s">
        <v>1282</v>
      </c>
      <c r="B31" s="320"/>
      <c r="C31" s="574" t="s">
        <v>1283</v>
      </c>
      <c r="D31" s="352"/>
      <c r="E31" s="490">
        <v>7211025.920000001</v>
      </c>
      <c r="F31" s="301">
        <v>0</v>
      </c>
      <c r="G31" s="301">
        <v>0</v>
      </c>
      <c r="H31" s="301">
        <v>254567.89</v>
      </c>
      <c r="I31" s="301">
        <v>0</v>
      </c>
      <c r="J31" s="301">
        <v>4095729.53</v>
      </c>
      <c r="K31" s="301">
        <v>-3614.179999999935</v>
      </c>
      <c r="L31" s="301">
        <f t="shared" si="1"/>
        <v>3366250.100000001</v>
      </c>
    </row>
    <row r="32" spans="2:12" ht="12.75" customHeight="1">
      <c r="B32" s="306"/>
      <c r="C32" s="488"/>
      <c r="D32" s="321"/>
      <c r="E32" s="298"/>
      <c r="F32" s="298"/>
      <c r="G32" s="298"/>
      <c r="H32" s="298"/>
      <c r="I32" s="298"/>
      <c r="J32" s="298"/>
      <c r="K32" s="298"/>
      <c r="L32" s="298"/>
    </row>
    <row r="33" spans="2:12" ht="12.75" customHeight="1">
      <c r="B33" s="306"/>
      <c r="C33" s="574" t="s">
        <v>1284</v>
      </c>
      <c r="D33" s="352"/>
      <c r="E33" s="302">
        <f aca="true" t="shared" si="2" ref="E33:K33">E23+E31</f>
        <v>5533340.680000001</v>
      </c>
      <c r="F33" s="302">
        <f t="shared" si="2"/>
        <v>1799037.06</v>
      </c>
      <c r="G33" s="302">
        <f t="shared" si="2"/>
        <v>0</v>
      </c>
      <c r="H33" s="302">
        <f t="shared" si="2"/>
        <v>522856.47000000003</v>
      </c>
      <c r="I33" s="302">
        <f t="shared" si="2"/>
        <v>17929155.1</v>
      </c>
      <c r="J33" s="302">
        <f t="shared" si="2"/>
        <v>23843282.28</v>
      </c>
      <c r="K33" s="302">
        <f t="shared" si="2"/>
        <v>4272029.82</v>
      </c>
      <c r="L33" s="302">
        <f>E33+F33+G33+H33+I33+K33-J33</f>
        <v>6213136.8500000015</v>
      </c>
    </row>
    <row r="35" ht="12.75">
      <c r="A35" s="472" t="s">
        <v>726</v>
      </c>
    </row>
    <row r="36" ht="12.75">
      <c r="A36" s="472" t="s">
        <v>726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2">
      <selection activeCell="D35" sqref="D35"/>
    </sheetView>
  </sheetViews>
  <sheetFormatPr defaultColWidth="9.140625" defaultRowHeight="12.75"/>
  <cols>
    <col min="1" max="1" width="3.00390625" style="1" hidden="1" customWidth="1"/>
    <col min="2" max="2" width="2.7109375" style="494" customWidth="1"/>
    <col min="3" max="3" width="2.57421875" style="2" customWidth="1"/>
    <col min="4" max="4" width="66.7109375" style="1" customWidth="1"/>
    <col min="5" max="5" width="7.140625" style="2" customWidth="1"/>
    <col min="6" max="6" width="20.7109375" style="2" hidden="1" customWidth="1"/>
    <col min="7" max="10" width="20.7109375" style="2" customWidth="1"/>
    <col min="11" max="11" width="9.140625" style="118" hidden="1" customWidth="1"/>
    <col min="12" max="14" width="0" style="118" hidden="1" customWidth="1"/>
    <col min="15" max="15" width="9.140625" style="118" customWidth="1" collapsed="1"/>
    <col min="16" max="16384" width="9.140625" style="118" customWidth="1"/>
  </cols>
  <sheetData>
    <row r="1" spans="1:6" ht="12.75" customHeight="1" hidden="1">
      <c r="A1" s="1" t="s">
        <v>726</v>
      </c>
      <c r="C1" s="2" t="s">
        <v>726</v>
      </c>
      <c r="D1" s="1" t="s">
        <v>726</v>
      </c>
      <c r="E1" s="2" t="s">
        <v>726</v>
      </c>
      <c r="F1" s="2" t="s">
        <v>1170</v>
      </c>
    </row>
    <row r="2" spans="1:10" s="124" customFormat="1" ht="15.75" customHeight="1">
      <c r="A2" s="575"/>
      <c r="B2" s="46" t="str">
        <f>"University of Missouri - "&amp;RBN</f>
        <v>University of Missouri - Kansas City</v>
      </c>
      <c r="C2" s="576"/>
      <c r="D2" s="120"/>
      <c r="E2" s="120"/>
      <c r="F2" s="120"/>
      <c r="G2" s="120"/>
      <c r="H2" s="120"/>
      <c r="I2" s="120"/>
      <c r="J2" s="492"/>
    </row>
    <row r="3" spans="1:10" s="128" customFormat="1" ht="15.75" customHeight="1">
      <c r="A3" s="10"/>
      <c r="B3" s="51" t="s">
        <v>1285</v>
      </c>
      <c r="C3" s="577"/>
      <c r="D3" s="12"/>
      <c r="E3" s="12"/>
      <c r="F3" s="12"/>
      <c r="G3" s="12"/>
      <c r="H3" s="12"/>
      <c r="I3" s="12"/>
      <c r="J3" s="493"/>
    </row>
    <row r="4" spans="2:14" ht="15.75" customHeight="1">
      <c r="B4" s="130" t="str">
        <f>"  As of "&amp;TEXT(K4,"MMMM DD, YYY")</f>
        <v>  As of June 30, 2004</v>
      </c>
      <c r="C4" s="578"/>
      <c r="D4" s="16"/>
      <c r="E4" s="16"/>
      <c r="F4" s="16"/>
      <c r="G4" s="16"/>
      <c r="H4" s="16"/>
      <c r="I4" s="16"/>
      <c r="J4" s="338"/>
      <c r="K4" s="1" t="s">
        <v>2976</v>
      </c>
      <c r="N4" s="118" t="s">
        <v>3125</v>
      </c>
    </row>
    <row r="5" spans="2:11" ht="12.75" customHeight="1">
      <c r="B5" s="335"/>
      <c r="C5" s="578"/>
      <c r="D5" s="16"/>
      <c r="E5" s="16"/>
      <c r="F5" s="16"/>
      <c r="G5" s="16"/>
      <c r="H5" s="16"/>
      <c r="I5" s="16"/>
      <c r="J5" s="338"/>
      <c r="K5" s="1"/>
    </row>
    <row r="6" spans="1:10" ht="15.75" customHeight="1">
      <c r="A6" s="22"/>
      <c r="B6" s="148"/>
      <c r="C6" s="29"/>
      <c r="D6" s="29"/>
      <c r="E6" s="149"/>
      <c r="F6" s="150" t="s">
        <v>1222</v>
      </c>
      <c r="G6" s="150" t="s">
        <v>1222</v>
      </c>
      <c r="H6" s="150"/>
      <c r="I6" s="150"/>
      <c r="J6" s="150" t="s">
        <v>1222</v>
      </c>
    </row>
    <row r="7" spans="1:10" ht="12.75">
      <c r="A7" s="22"/>
      <c r="B7" s="148"/>
      <c r="C7" s="156"/>
      <c r="D7" s="156"/>
      <c r="E7" s="157"/>
      <c r="F7" s="495" t="s">
        <v>1286</v>
      </c>
      <c r="G7" s="496" t="s">
        <v>1171</v>
      </c>
      <c r="H7" s="158" t="s">
        <v>1287</v>
      </c>
      <c r="I7" s="158" t="s">
        <v>1288</v>
      </c>
      <c r="J7" s="496" t="s">
        <v>1172</v>
      </c>
    </row>
    <row r="8" spans="1:10" ht="12.75" customHeight="1">
      <c r="A8" s="22"/>
      <c r="B8" s="23" t="s">
        <v>1289</v>
      </c>
      <c r="C8" s="159"/>
      <c r="D8" s="159"/>
      <c r="E8" s="24"/>
      <c r="F8" s="27"/>
      <c r="G8" s="27"/>
      <c r="H8" s="27"/>
      <c r="I8" s="27"/>
      <c r="J8" s="27"/>
    </row>
    <row r="9" spans="1:10" ht="12.75" customHeight="1">
      <c r="A9" s="2" t="s">
        <v>1290</v>
      </c>
      <c r="B9" s="30"/>
      <c r="C9" s="160" t="s">
        <v>1291</v>
      </c>
      <c r="D9" s="160"/>
      <c r="E9" s="31"/>
      <c r="F9" s="32">
        <v>190411619.43</v>
      </c>
      <c r="G9" s="34">
        <f>F9+1</f>
        <v>190411620.43</v>
      </c>
      <c r="H9" s="34">
        <v>46328055.57</v>
      </c>
      <c r="I9" s="34">
        <v>0</v>
      </c>
      <c r="J9" s="34">
        <f>G9+H9+I9-1</f>
        <v>236739675</v>
      </c>
    </row>
    <row r="10" spans="1:10" ht="12.75" customHeight="1">
      <c r="A10" s="2" t="s">
        <v>1292</v>
      </c>
      <c r="B10" s="30"/>
      <c r="C10" s="160" t="s">
        <v>3265</v>
      </c>
      <c r="D10" s="160"/>
      <c r="E10" s="31"/>
      <c r="F10" s="32">
        <v>11049992.25</v>
      </c>
      <c r="G10" s="36">
        <f aca="true" t="shared" si="0" ref="G10:G17">F10</f>
        <v>11049992.25</v>
      </c>
      <c r="H10" s="36">
        <v>160000</v>
      </c>
      <c r="I10" s="36">
        <v>-734700</v>
      </c>
      <c r="J10" s="36">
        <f aca="true" t="shared" si="1" ref="J10:J16">G10+H10+I10</f>
        <v>10475292.25</v>
      </c>
    </row>
    <row r="11" spans="1:10" ht="12.75" customHeight="1">
      <c r="A11" s="2" t="s">
        <v>1293</v>
      </c>
      <c r="B11" s="30"/>
      <c r="C11" s="160" t="s">
        <v>3268</v>
      </c>
      <c r="D11" s="160"/>
      <c r="E11" s="31"/>
      <c r="F11" s="32">
        <v>21329659.09</v>
      </c>
      <c r="G11" s="36">
        <f t="shared" si="0"/>
        <v>21329659.09</v>
      </c>
      <c r="H11" s="36">
        <v>1042821.46</v>
      </c>
      <c r="I11" s="36">
        <v>0</v>
      </c>
      <c r="J11" s="36">
        <f t="shared" si="1"/>
        <v>22372480.55</v>
      </c>
    </row>
    <row r="12" spans="1:10" ht="12.75" customHeight="1">
      <c r="A12" s="160" t="s">
        <v>1294</v>
      </c>
      <c r="B12" s="30"/>
      <c r="C12" s="160" t="s">
        <v>1295</v>
      </c>
      <c r="D12" s="160"/>
      <c r="E12" s="31"/>
      <c r="F12" s="32">
        <v>25046216.95</v>
      </c>
      <c r="G12" s="36">
        <f t="shared" si="0"/>
        <v>25046216.95</v>
      </c>
      <c r="H12" s="36">
        <f>195000+3914698.52</f>
        <v>4109698.52</v>
      </c>
      <c r="I12" s="36">
        <v>-5063585.67</v>
      </c>
      <c r="J12" s="36">
        <f t="shared" si="1"/>
        <v>24092329.799999997</v>
      </c>
    </row>
    <row r="13" spans="1:10" ht="12.75" customHeight="1">
      <c r="A13" s="160" t="s">
        <v>1296</v>
      </c>
      <c r="B13" s="30"/>
      <c r="C13" s="160" t="s">
        <v>1297</v>
      </c>
      <c r="D13" s="160"/>
      <c r="E13" s="31"/>
      <c r="F13" s="32">
        <v>0</v>
      </c>
      <c r="G13" s="36">
        <f t="shared" si="0"/>
        <v>0</v>
      </c>
      <c r="H13" s="36">
        <v>0</v>
      </c>
      <c r="I13" s="36">
        <v>0</v>
      </c>
      <c r="J13" s="36">
        <f t="shared" si="1"/>
        <v>0</v>
      </c>
    </row>
    <row r="14" spans="1:10" ht="12.75" customHeight="1">
      <c r="A14" s="160" t="s">
        <v>1298</v>
      </c>
      <c r="B14" s="30"/>
      <c r="C14" s="160" t="s">
        <v>1299</v>
      </c>
      <c r="D14" s="160"/>
      <c r="E14" s="31"/>
      <c r="F14" s="32">
        <v>5583643.45</v>
      </c>
      <c r="G14" s="36">
        <f t="shared" si="0"/>
        <v>5583643.45</v>
      </c>
      <c r="H14" s="36">
        <v>0</v>
      </c>
      <c r="I14" s="36">
        <v>0</v>
      </c>
      <c r="J14" s="36">
        <f t="shared" si="1"/>
        <v>5583643.45</v>
      </c>
    </row>
    <row r="15" spans="1:10" ht="12.75" customHeight="1">
      <c r="A15" s="160" t="s">
        <v>1300</v>
      </c>
      <c r="B15" s="30"/>
      <c r="C15" s="160" t="s">
        <v>1301</v>
      </c>
      <c r="D15" s="160"/>
      <c r="E15" s="31"/>
      <c r="F15" s="32">
        <v>30646202.74</v>
      </c>
      <c r="G15" s="36">
        <f t="shared" si="0"/>
        <v>30646202.74</v>
      </c>
      <c r="H15" s="36">
        <v>2094656.99</v>
      </c>
      <c r="I15" s="36">
        <v>0</v>
      </c>
      <c r="J15" s="36">
        <f t="shared" si="1"/>
        <v>32740859.729999997</v>
      </c>
    </row>
    <row r="16" spans="1:10" ht="12.75" customHeight="1">
      <c r="A16" s="160" t="s">
        <v>1302</v>
      </c>
      <c r="B16" s="30"/>
      <c r="C16" s="160" t="s">
        <v>1303</v>
      </c>
      <c r="D16" s="160"/>
      <c r="E16" s="31"/>
      <c r="F16" s="32">
        <v>20177773.49</v>
      </c>
      <c r="G16" s="36">
        <f t="shared" si="0"/>
        <v>20177773.49</v>
      </c>
      <c r="H16" s="36">
        <v>-15087416.87</v>
      </c>
      <c r="I16" s="36">
        <v>0</v>
      </c>
      <c r="J16" s="36">
        <f t="shared" si="1"/>
        <v>5090356.619999999</v>
      </c>
    </row>
    <row r="17" spans="1:10" s="169" customFormat="1" ht="12.75" customHeight="1">
      <c r="A17" s="159" t="s">
        <v>726</v>
      </c>
      <c r="B17" s="23"/>
      <c r="C17" s="159"/>
      <c r="D17" s="159"/>
      <c r="E17" s="24"/>
      <c r="F17" s="27"/>
      <c r="G17" s="39">
        <f t="shared" si="0"/>
        <v>0</v>
      </c>
      <c r="H17" s="39"/>
      <c r="I17" s="39"/>
      <c r="J17" s="39"/>
    </row>
    <row r="18" spans="1:10" s="169" customFormat="1" ht="12.75" customHeight="1">
      <c r="A18" s="159" t="s">
        <v>726</v>
      </c>
      <c r="B18" s="23"/>
      <c r="C18" s="389"/>
      <c r="D18" s="159" t="s">
        <v>1304</v>
      </c>
      <c r="E18" s="24"/>
      <c r="F18" s="27">
        <f>F16+F15+F14+F13+F12+F11+F10+F9</f>
        <v>304245107.4</v>
      </c>
      <c r="G18" s="39">
        <f>G16+G15+G14+G13+G12+G11+G10+G9</f>
        <v>304245108.4</v>
      </c>
      <c r="H18" s="39">
        <f>H16+H15+H14+H13+H12+H11+H10+H9</f>
        <v>38647815.67</v>
      </c>
      <c r="I18" s="39">
        <f>I16+I15+I14+I13+I12+I11+I10+I9</f>
        <v>-5798285.67</v>
      </c>
      <c r="J18" s="39">
        <f>J16+J15+J14+J13+J12+J11+J10+J9</f>
        <v>337094637.4</v>
      </c>
    </row>
    <row r="19" spans="1:10" s="169" customFormat="1" ht="12.75" customHeight="1">
      <c r="A19" s="159" t="s">
        <v>726</v>
      </c>
      <c r="B19" s="23"/>
      <c r="C19" s="159"/>
      <c r="D19" s="159"/>
      <c r="E19" s="24"/>
      <c r="F19" s="27"/>
      <c r="G19" s="39"/>
      <c r="H19" s="39"/>
      <c r="I19" s="39"/>
      <c r="J19" s="39"/>
    </row>
    <row r="20" spans="1:10" s="169" customFormat="1" ht="12.75" customHeight="1">
      <c r="A20" s="159" t="s">
        <v>726</v>
      </c>
      <c r="B20" s="23" t="s">
        <v>1305</v>
      </c>
      <c r="D20" s="159"/>
      <c r="E20" s="24"/>
      <c r="F20" s="27"/>
      <c r="G20" s="39"/>
      <c r="H20" s="39"/>
      <c r="I20" s="39"/>
      <c r="J20" s="39"/>
    </row>
    <row r="21" spans="1:10" ht="12.75" customHeight="1">
      <c r="A21" s="160" t="s">
        <v>1306</v>
      </c>
      <c r="B21" s="30"/>
      <c r="C21" s="160" t="s">
        <v>1291</v>
      </c>
      <c r="D21" s="497"/>
      <c r="E21" s="31"/>
      <c r="F21" s="32">
        <v>-121360130.02</v>
      </c>
      <c r="G21" s="36">
        <f>-F21</f>
        <v>121360130.02</v>
      </c>
      <c r="H21" s="36">
        <v>4445770</v>
      </c>
      <c r="I21" s="36">
        <f>-6187.2+4990</f>
        <v>-1197.1999999999998</v>
      </c>
      <c r="J21" s="36">
        <f>G21+H21+I21</f>
        <v>125804702.82</v>
      </c>
    </row>
    <row r="22" spans="1:10" ht="12.75" customHeight="1">
      <c r="A22" s="160" t="s">
        <v>1307</v>
      </c>
      <c r="B22" s="30"/>
      <c r="C22" s="160" t="s">
        <v>3268</v>
      </c>
      <c r="D22" s="497"/>
      <c r="E22" s="31"/>
      <c r="F22" s="32">
        <v>-7293988.88</v>
      </c>
      <c r="G22" s="36">
        <f>-F22</f>
        <v>7293988.88</v>
      </c>
      <c r="H22" s="36">
        <v>864863.19998</v>
      </c>
      <c r="I22" s="36">
        <v>0</v>
      </c>
      <c r="J22" s="36">
        <f>G22+H22+I22</f>
        <v>8158852.07998</v>
      </c>
    </row>
    <row r="23" spans="1:10" ht="12.75" customHeight="1">
      <c r="A23" s="160" t="s">
        <v>1308</v>
      </c>
      <c r="B23" s="30"/>
      <c r="C23" s="160" t="s">
        <v>1295</v>
      </c>
      <c r="D23" s="497"/>
      <c r="E23" s="31"/>
      <c r="F23" s="32">
        <v>-16918061.64</v>
      </c>
      <c r="G23" s="36">
        <f>-F23</f>
        <v>16918061.64</v>
      </c>
      <c r="H23" s="36">
        <v>1833418</v>
      </c>
      <c r="I23" s="36">
        <f>-4448105.14+5837</f>
        <v>-4442268.14</v>
      </c>
      <c r="J23" s="36">
        <f>G23+H23+I23</f>
        <v>14309211.5</v>
      </c>
    </row>
    <row r="24" spans="1:10" ht="12.75" customHeight="1">
      <c r="A24" s="2"/>
      <c r="B24" s="30"/>
      <c r="C24" s="160"/>
      <c r="D24" s="160"/>
      <c r="E24" s="31"/>
      <c r="F24" s="32"/>
      <c r="G24" s="36"/>
      <c r="H24" s="36"/>
      <c r="I24" s="36"/>
      <c r="J24" s="36"/>
    </row>
    <row r="25" spans="1:10" s="169" customFormat="1" ht="12.75" customHeight="1">
      <c r="A25" s="29"/>
      <c r="B25" s="23"/>
      <c r="C25" s="389"/>
      <c r="D25" s="159" t="s">
        <v>1309</v>
      </c>
      <c r="E25" s="24"/>
      <c r="F25" s="27">
        <f>F21+F22+F23</f>
        <v>-145572180.54</v>
      </c>
      <c r="G25" s="39">
        <f>G21+G22+G23</f>
        <v>145572180.54</v>
      </c>
      <c r="H25" s="39">
        <f>H21+H22+H23</f>
        <v>7144051.19998</v>
      </c>
      <c r="I25" s="39">
        <f>I21+I22+I23</f>
        <v>-4443465.34</v>
      </c>
      <c r="J25" s="39">
        <f>J21+J22+J23</f>
        <v>148272766.39998</v>
      </c>
    </row>
    <row r="26" spans="1:10" ht="12.75" customHeight="1">
      <c r="A26" s="2"/>
      <c r="B26" s="30"/>
      <c r="C26" s="160"/>
      <c r="D26" s="160"/>
      <c r="E26" s="31"/>
      <c r="F26" s="32"/>
      <c r="G26" s="32"/>
      <c r="H26" s="32"/>
      <c r="I26" s="32"/>
      <c r="J26" s="32"/>
    </row>
    <row r="27" spans="1:10" ht="12.75" customHeight="1">
      <c r="A27" s="29"/>
      <c r="B27" s="23" t="s">
        <v>1310</v>
      </c>
      <c r="C27" s="160"/>
      <c r="D27" s="159"/>
      <c r="E27" s="24"/>
      <c r="F27" s="27">
        <f>F18-F25</f>
        <v>449817287.93999994</v>
      </c>
      <c r="G27" s="41">
        <f>G18-G25-1</f>
        <v>158672926.85999998</v>
      </c>
      <c r="H27" s="41">
        <f>H18-H25</f>
        <v>31503764.470020004</v>
      </c>
      <c r="I27" s="41">
        <f>I18-I25</f>
        <v>-1354820.33</v>
      </c>
      <c r="J27" s="41">
        <f>J18-J25-1</f>
        <v>188821870.00001997</v>
      </c>
    </row>
    <row r="63" spans="6:7" ht="12.75">
      <c r="F63" s="499"/>
      <c r="G63" s="499"/>
    </row>
  </sheetData>
  <printOptions horizontalCentered="1"/>
  <pageMargins left="0.5" right="0.5" top="0.75" bottom="0.5" header="0.25" footer="0.5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6" sqref="A6"/>
    </sheetView>
  </sheetViews>
  <sheetFormatPr defaultColWidth="9.7109375" defaultRowHeight="12.75"/>
  <cols>
    <col min="1" max="1" width="70.7109375" style="257" customWidth="1"/>
    <col min="2" max="5" width="14.7109375" style="257" customWidth="1"/>
    <col min="6" max="6" width="14.7109375" style="118" customWidth="1"/>
    <col min="7" max="7" width="14.7109375" style="530" customWidth="1"/>
    <col min="8" max="8" width="13.7109375" style="257" customWidth="1"/>
    <col min="9" max="9" width="9.7109375" style="257" customWidth="1"/>
    <col min="10" max="10" width="14.7109375" style="257" customWidth="1"/>
    <col min="11" max="16384" width="9.7109375" style="257" customWidth="1"/>
  </cols>
  <sheetData>
    <row r="1" spans="1:7" ht="15.75" customHeight="1">
      <c r="A1" s="579" t="s">
        <v>1311</v>
      </c>
      <c r="B1" s="500" t="s">
        <v>1312</v>
      </c>
      <c r="C1" s="500"/>
      <c r="D1" s="500"/>
      <c r="E1" s="500"/>
      <c r="F1" s="500"/>
      <c r="G1" s="501"/>
    </row>
    <row r="2" spans="1:7" ht="15.75" customHeight="1">
      <c r="A2" s="178" t="s">
        <v>1313</v>
      </c>
      <c r="B2" s="378" t="s">
        <v>1312</v>
      </c>
      <c r="C2" s="378"/>
      <c r="D2" s="378"/>
      <c r="E2" s="378"/>
      <c r="F2" s="378"/>
      <c r="G2" s="502"/>
    </row>
    <row r="3" spans="1:7" ht="15.75" customHeight="1">
      <c r="A3" s="580" t="s">
        <v>1173</v>
      </c>
      <c r="B3" s="378"/>
      <c r="C3" s="378"/>
      <c r="D3" s="378"/>
      <c r="E3" s="378"/>
      <c r="F3" s="378"/>
      <c r="G3" s="502"/>
    </row>
    <row r="4" spans="1:7" ht="12.75" customHeight="1">
      <c r="A4" s="581"/>
      <c r="B4" s="378"/>
      <c r="C4" s="378"/>
      <c r="D4" s="378"/>
      <c r="E4" s="378"/>
      <c r="F4" s="378"/>
      <c r="G4" s="502"/>
    </row>
    <row r="5" spans="1:8" s="118" customFormat="1" ht="12.75" customHeight="1">
      <c r="A5" s="582" t="s">
        <v>1314</v>
      </c>
      <c r="B5" s="504" t="s">
        <v>1315</v>
      </c>
      <c r="C5" s="503" t="s">
        <v>1222</v>
      </c>
      <c r="D5" s="503"/>
      <c r="E5" s="503"/>
      <c r="F5" s="504"/>
      <c r="G5" s="505" t="s">
        <v>1222</v>
      </c>
      <c r="H5" s="506"/>
    </row>
    <row r="6" spans="1:8" ht="12.75" customHeight="1">
      <c r="A6" s="583" t="s">
        <v>1314</v>
      </c>
      <c r="B6" s="509" t="s">
        <v>1316</v>
      </c>
      <c r="C6" s="507">
        <v>37803</v>
      </c>
      <c r="D6" s="508" t="s">
        <v>1287</v>
      </c>
      <c r="E6" s="508" t="s">
        <v>1317</v>
      </c>
      <c r="F6" s="509" t="s">
        <v>1318</v>
      </c>
      <c r="G6" s="510">
        <v>38168</v>
      </c>
      <c r="H6" s="511"/>
    </row>
    <row r="7" spans="1:8" ht="12.75" customHeight="1">
      <c r="A7" s="584" t="s">
        <v>1319</v>
      </c>
      <c r="B7" s="512" t="s">
        <v>1312</v>
      </c>
      <c r="C7" s="512"/>
      <c r="D7" s="512"/>
      <c r="E7" s="512"/>
      <c r="F7" s="512"/>
      <c r="G7" s="513"/>
      <c r="H7" s="511"/>
    </row>
    <row r="8" spans="1:8" s="118" customFormat="1" ht="12.75" customHeight="1">
      <c r="A8" s="585" t="s">
        <v>1314</v>
      </c>
      <c r="B8" s="515" t="s">
        <v>1312</v>
      </c>
      <c r="C8" s="515"/>
      <c r="D8" s="515"/>
      <c r="E8" s="515"/>
      <c r="F8" s="515"/>
      <c r="G8" s="521"/>
      <c r="H8" s="586"/>
    </row>
    <row r="9" spans="1:8" ht="12.75" customHeight="1">
      <c r="A9" s="587" t="s">
        <v>1174</v>
      </c>
      <c r="B9" s="514"/>
      <c r="C9" s="514"/>
      <c r="D9" s="514"/>
      <c r="E9" s="514"/>
      <c r="F9" s="515"/>
      <c r="G9" s="516"/>
      <c r="H9" s="511"/>
    </row>
    <row r="10" spans="1:8" ht="12.75" customHeight="1">
      <c r="A10" s="587" t="s">
        <v>1175</v>
      </c>
      <c r="B10" s="517">
        <f>2561548.07+27916.78+15850.5</f>
        <v>2605315.3499999996</v>
      </c>
      <c r="C10" s="517">
        <v>2170474.25</v>
      </c>
      <c r="D10" s="517">
        <v>0</v>
      </c>
      <c r="E10" s="517">
        <v>-2111347.33</v>
      </c>
      <c r="F10" s="518">
        <v>59126.92</v>
      </c>
      <c r="G10" s="517">
        <v>0</v>
      </c>
      <c r="H10" s="511"/>
    </row>
    <row r="11" spans="1:8" ht="12.75" customHeight="1">
      <c r="A11" s="587"/>
      <c r="B11" s="516"/>
      <c r="C11" s="516"/>
      <c r="D11" s="516"/>
      <c r="E11" s="516"/>
      <c r="F11" s="521"/>
      <c r="G11" s="516"/>
      <c r="H11" s="511"/>
    </row>
    <row r="12" spans="1:8" ht="12.75" customHeight="1">
      <c r="A12" s="587" t="s">
        <v>1176</v>
      </c>
      <c r="B12" s="516"/>
      <c r="C12" s="516"/>
      <c r="D12" s="516"/>
      <c r="E12" s="516"/>
      <c r="F12" s="521"/>
      <c r="G12" s="516"/>
      <c r="H12" s="511"/>
    </row>
    <row r="13" spans="1:8" ht="12.75" customHeight="1">
      <c r="A13" s="587" t="s">
        <v>1177</v>
      </c>
      <c r="B13" s="519">
        <v>2748612.65</v>
      </c>
      <c r="C13" s="519">
        <v>270307.89</v>
      </c>
      <c r="D13" s="519">
        <v>0</v>
      </c>
      <c r="E13" s="519">
        <v>0</v>
      </c>
      <c r="F13" s="520">
        <v>48692.26</v>
      </c>
      <c r="G13" s="519">
        <f>C13+D13-E13-F13</f>
        <v>221615.63</v>
      </c>
      <c r="H13" s="511"/>
    </row>
    <row r="14" spans="1:8" ht="12.75" customHeight="1">
      <c r="A14" s="587"/>
      <c r="B14" s="519"/>
      <c r="C14" s="519"/>
      <c r="D14" s="519"/>
      <c r="E14" s="519"/>
      <c r="F14" s="520"/>
      <c r="G14" s="519"/>
      <c r="H14" s="511"/>
    </row>
    <row r="15" spans="1:8" ht="12.75" customHeight="1">
      <c r="A15" s="587" t="s">
        <v>1178</v>
      </c>
      <c r="B15" s="519"/>
      <c r="C15" s="519"/>
      <c r="D15" s="519"/>
      <c r="E15" s="519"/>
      <c r="F15" s="520"/>
      <c r="G15" s="519"/>
      <c r="H15" s="511"/>
    </row>
    <row r="16" spans="1:8" ht="12.75" customHeight="1">
      <c r="A16" s="587" t="s">
        <v>1179</v>
      </c>
      <c r="B16" s="519"/>
      <c r="C16" s="519"/>
      <c r="D16" s="519"/>
      <c r="E16" s="519"/>
      <c r="F16" s="520"/>
      <c r="G16" s="519"/>
      <c r="H16" s="511"/>
    </row>
    <row r="17" spans="1:8" ht="12.75" customHeight="1">
      <c r="A17" s="587" t="s">
        <v>1180</v>
      </c>
      <c r="B17" s="519">
        <v>23041747.67</v>
      </c>
      <c r="C17" s="519">
        <v>21657796.86</v>
      </c>
      <c r="D17" s="519">
        <v>0</v>
      </c>
      <c r="E17" s="519">
        <v>0</v>
      </c>
      <c r="F17" s="520">
        <f>541287.56+75115.19+130003.82</f>
        <v>746406.5700000001</v>
      </c>
      <c r="G17" s="519">
        <f>C17+D17-E17-F17</f>
        <v>20911390.29</v>
      </c>
      <c r="H17" s="511"/>
    </row>
    <row r="18" spans="1:8" ht="12.75" customHeight="1">
      <c r="A18" s="587"/>
      <c r="B18" s="519"/>
      <c r="C18" s="519"/>
      <c r="D18" s="519"/>
      <c r="E18" s="519"/>
      <c r="F18" s="520"/>
      <c r="G18" s="519"/>
      <c r="H18" s="511"/>
    </row>
    <row r="19" spans="1:8" ht="12.75" customHeight="1">
      <c r="A19" s="587" t="s">
        <v>1181</v>
      </c>
      <c r="B19" s="519"/>
      <c r="C19" s="519"/>
      <c r="D19" s="519"/>
      <c r="E19" s="519"/>
      <c r="F19" s="520"/>
      <c r="G19" s="519"/>
      <c r="H19" s="511"/>
    </row>
    <row r="20" spans="1:8" ht="12.75" customHeight="1">
      <c r="A20" s="587" t="s">
        <v>1182</v>
      </c>
      <c r="B20" s="519"/>
      <c r="C20" s="519"/>
      <c r="D20" s="519"/>
      <c r="E20" s="519"/>
      <c r="F20" s="520"/>
      <c r="G20" s="519"/>
      <c r="H20" s="511"/>
    </row>
    <row r="21" spans="1:8" ht="12.75" customHeight="1">
      <c r="A21" s="587" t="s">
        <v>1183</v>
      </c>
      <c r="B21" s="520">
        <v>2367496.96</v>
      </c>
      <c r="C21" s="520">
        <v>2365128.15</v>
      </c>
      <c r="D21" s="520">
        <v>0</v>
      </c>
      <c r="E21" s="519">
        <v>0</v>
      </c>
      <c r="F21" s="520">
        <v>2368.81</v>
      </c>
      <c r="G21" s="519">
        <f>C21+D21-E21-F21</f>
        <v>2362759.34</v>
      </c>
      <c r="H21" s="511"/>
    </row>
    <row r="22" spans="1:8" ht="12.75" customHeight="1">
      <c r="A22" s="587"/>
      <c r="B22" s="520"/>
      <c r="C22" s="520"/>
      <c r="D22" s="520"/>
      <c r="E22" s="519"/>
      <c r="F22" s="520"/>
      <c r="G22" s="519"/>
      <c r="H22" s="511"/>
    </row>
    <row r="23" spans="1:8" ht="12.75" customHeight="1">
      <c r="A23" s="587" t="s">
        <v>1184</v>
      </c>
      <c r="B23" s="520"/>
      <c r="C23" s="520"/>
      <c r="D23" s="520"/>
      <c r="E23" s="519"/>
      <c r="F23" s="520"/>
      <c r="G23" s="519"/>
      <c r="H23" s="511"/>
    </row>
    <row r="24" spans="1:8" ht="12.75" customHeight="1">
      <c r="A24" s="587" t="s">
        <v>1185</v>
      </c>
      <c r="B24" s="520">
        <v>0</v>
      </c>
      <c r="C24" s="520">
        <v>0</v>
      </c>
      <c r="D24" s="520">
        <v>19490000</v>
      </c>
      <c r="E24" s="519">
        <v>0</v>
      </c>
      <c r="F24" s="520">
        <v>0</v>
      </c>
      <c r="G24" s="519">
        <f>C24+D24-E24-F24</f>
        <v>19490000</v>
      </c>
      <c r="H24" s="511"/>
    </row>
    <row r="25" spans="1:8" ht="12.75" customHeight="1">
      <c r="A25" s="587"/>
      <c r="B25" s="520"/>
      <c r="C25" s="520"/>
      <c r="D25" s="520"/>
      <c r="E25" s="519"/>
      <c r="F25" s="520"/>
      <c r="G25" s="519"/>
      <c r="H25" s="511"/>
    </row>
    <row r="26" spans="1:8" ht="12.75" customHeight="1">
      <c r="A26" s="587" t="s">
        <v>1184</v>
      </c>
      <c r="B26" s="520"/>
      <c r="C26" s="520"/>
      <c r="D26" s="520"/>
      <c r="E26" s="519"/>
      <c r="F26" s="520"/>
      <c r="G26" s="519"/>
      <c r="H26" s="511"/>
    </row>
    <row r="27" spans="1:8" ht="12.75" customHeight="1">
      <c r="A27" s="587" t="s">
        <v>1186</v>
      </c>
      <c r="B27" s="520">
        <v>0</v>
      </c>
      <c r="C27" s="520">
        <v>0</v>
      </c>
      <c r="D27" s="520">
        <v>2128855.78</v>
      </c>
      <c r="E27" s="519">
        <v>0</v>
      </c>
      <c r="F27" s="520">
        <v>0</v>
      </c>
      <c r="G27" s="519">
        <f>C27+D27-E27-F27</f>
        <v>2128855.78</v>
      </c>
      <c r="H27" s="511"/>
    </row>
    <row r="28" spans="1:8" ht="12.75" customHeight="1">
      <c r="A28" s="587"/>
      <c r="B28" s="520"/>
      <c r="C28" s="520"/>
      <c r="D28" s="520"/>
      <c r="E28" s="519"/>
      <c r="F28" s="520"/>
      <c r="G28" s="519"/>
      <c r="H28" s="511"/>
    </row>
    <row r="29" spans="1:8" ht="12.75" customHeight="1">
      <c r="A29" s="587" t="s">
        <v>1187</v>
      </c>
      <c r="B29" s="520">
        <v>0</v>
      </c>
      <c r="C29" s="520">
        <v>58514.86</v>
      </c>
      <c r="D29" s="520">
        <f>582868.87+17511.08+25481.7+766.57</f>
        <v>626628.2199999999</v>
      </c>
      <c r="E29" s="519">
        <v>18637</v>
      </c>
      <c r="F29" s="520">
        <f>-1687.62-17511.08-766.57+344.18</f>
        <v>-19621.09</v>
      </c>
      <c r="G29" s="519">
        <f>SUM(B29:F29)</f>
        <v>684158.9899999999</v>
      </c>
      <c r="H29" s="511"/>
    </row>
    <row r="30" spans="1:8" ht="12.75" customHeight="1">
      <c r="A30" s="587" t="s">
        <v>1188</v>
      </c>
      <c r="B30" s="520">
        <v>0</v>
      </c>
      <c r="C30" s="520">
        <v>-88774.49</v>
      </c>
      <c r="D30" s="520">
        <v>0</v>
      </c>
      <c r="E30" s="519">
        <v>-61702</v>
      </c>
      <c r="F30" s="520">
        <f>20470.67+1799.65</f>
        <v>22270.32</v>
      </c>
      <c r="G30" s="519">
        <f>SUM(B30:F30)</f>
        <v>-128206.16999999998</v>
      </c>
      <c r="H30" s="511"/>
    </row>
    <row r="31" spans="1:8" ht="12.75" customHeight="1">
      <c r="A31" s="587" t="s">
        <v>1314</v>
      </c>
      <c r="B31" s="516" t="s">
        <v>1312</v>
      </c>
      <c r="C31" s="516"/>
      <c r="D31" s="516"/>
      <c r="E31" s="516"/>
      <c r="F31" s="521"/>
      <c r="G31" s="516"/>
      <c r="H31" s="511"/>
    </row>
    <row r="32" spans="1:8" s="525" customFormat="1" ht="12.75" customHeight="1">
      <c r="A32" s="588" t="s">
        <v>1189</v>
      </c>
      <c r="B32" s="522">
        <f aca="true" t="shared" si="0" ref="B32:G32">SUM(B9:B31)</f>
        <v>30763172.630000003</v>
      </c>
      <c r="C32" s="522">
        <f t="shared" si="0"/>
        <v>26433447.52</v>
      </c>
      <c r="D32" s="523">
        <f t="shared" si="0"/>
        <v>22245484</v>
      </c>
      <c r="E32" s="523">
        <f t="shared" si="0"/>
        <v>-2154412.33</v>
      </c>
      <c r="F32" s="523">
        <f t="shared" si="0"/>
        <v>859243.79</v>
      </c>
      <c r="G32" s="522">
        <f t="shared" si="0"/>
        <v>45670573.86</v>
      </c>
      <c r="H32" s="524"/>
    </row>
    <row r="33" spans="1:8" ht="12.75" customHeight="1">
      <c r="A33" s="526" t="s">
        <v>1314</v>
      </c>
      <c r="B33" s="526" t="s">
        <v>1312</v>
      </c>
      <c r="C33" s="526"/>
      <c r="D33" s="526"/>
      <c r="E33" s="526"/>
      <c r="F33" s="506"/>
      <c r="G33" s="527"/>
      <c r="H33" s="511"/>
    </row>
    <row r="34" spans="1:8" ht="12.75" customHeight="1">
      <c r="A34" s="526" t="s">
        <v>1314</v>
      </c>
      <c r="B34" s="526"/>
      <c r="C34" s="526"/>
      <c r="D34" s="526"/>
      <c r="E34" s="526"/>
      <c r="F34" s="506"/>
      <c r="G34" s="527"/>
      <c r="H34" s="511"/>
    </row>
    <row r="35" spans="1:8" ht="12.75" customHeight="1">
      <c r="A35" s="526"/>
      <c r="B35" s="526"/>
      <c r="C35" s="526"/>
      <c r="D35" s="526"/>
      <c r="E35" s="526"/>
      <c r="F35" s="528"/>
      <c r="G35" s="527"/>
      <c r="H35" s="511"/>
    </row>
    <row r="36" spans="1:8" ht="12.75" customHeight="1">
      <c r="A36" s="526"/>
      <c r="B36" s="526"/>
      <c r="C36" s="526"/>
      <c r="D36" s="526"/>
      <c r="E36" s="526"/>
      <c r="F36" s="506"/>
      <c r="G36" s="527"/>
      <c r="H36" s="511"/>
    </row>
    <row r="37" ht="12.75" customHeight="1">
      <c r="F37" s="52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/>
  <pageMargins left="0.5" right="0.5" top="0.75" bottom="0.5" header="0.5" footer="0.5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5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455" hidden="1" customWidth="1"/>
    <col min="2" max="2" width="80.7109375" style="455" customWidth="1"/>
    <col min="3" max="3" width="19.7109375" style="455" hidden="1" customWidth="1"/>
    <col min="4" max="6" width="20.7109375" style="531" customWidth="1"/>
    <col min="7" max="7" width="20.7109375" style="532" customWidth="1"/>
    <col min="8" max="8" width="9.140625" style="455" customWidth="1"/>
    <col min="9" max="24" width="0" style="455" hidden="1" customWidth="1"/>
    <col min="25" max="16384" width="9.140625" style="455" customWidth="1"/>
  </cols>
  <sheetData>
    <row r="1" spans="1:7" ht="12.75" hidden="1">
      <c r="A1" s="455" t="s">
        <v>2841</v>
      </c>
      <c r="B1" s="455" t="s">
        <v>1705</v>
      </c>
      <c r="C1" s="455" t="s">
        <v>1320</v>
      </c>
      <c r="D1" s="531" t="s">
        <v>1321</v>
      </c>
      <c r="E1" s="531" t="s">
        <v>1322</v>
      </c>
      <c r="F1" s="531" t="s">
        <v>1323</v>
      </c>
      <c r="G1" s="532" t="s">
        <v>728</v>
      </c>
    </row>
    <row r="2" spans="2:22" s="128" customFormat="1" ht="15.75" customHeight="1">
      <c r="B2" s="266" t="str">
        <f>"University of Missouri - "&amp;V4</f>
        <v>University of Missouri - Kansas City</v>
      </c>
      <c r="C2" s="533"/>
      <c r="D2" s="369"/>
      <c r="E2" s="369"/>
      <c r="F2" s="369"/>
      <c r="G2" s="534"/>
      <c r="I2" s="128" t="s">
        <v>3125</v>
      </c>
      <c r="V2" s="128" t="s">
        <v>1324</v>
      </c>
    </row>
    <row r="3" spans="2:22" s="128" customFormat="1" ht="15.75" customHeight="1">
      <c r="B3" s="535" t="s">
        <v>1325</v>
      </c>
      <c r="C3" s="536"/>
      <c r="D3" s="270"/>
      <c r="E3" s="270"/>
      <c r="F3" s="270"/>
      <c r="G3" s="537"/>
      <c r="V3" s="128" t="s">
        <v>1326</v>
      </c>
    </row>
    <row r="4" spans="2:22" ht="15.75" customHeight="1">
      <c r="B4" s="538" t="str">
        <f>"As of "&amp;TEXT(I5,"MMMM DD, YYY")</f>
        <v>As of June 30, 2004</v>
      </c>
      <c r="C4" s="539"/>
      <c r="D4" s="310"/>
      <c r="E4" s="310"/>
      <c r="F4" s="310"/>
      <c r="G4" s="540"/>
      <c r="V4" s="455" t="s">
        <v>3125</v>
      </c>
    </row>
    <row r="5" spans="2:22" ht="12.75" customHeight="1">
      <c r="B5" s="541"/>
      <c r="C5" s="378"/>
      <c r="D5" s="310"/>
      <c r="E5" s="310"/>
      <c r="F5" s="310"/>
      <c r="G5" s="540"/>
      <c r="I5" s="455" t="s">
        <v>2976</v>
      </c>
      <c r="V5" s="542" t="s">
        <v>2976</v>
      </c>
    </row>
    <row r="6" spans="1:7" s="169" customFormat="1" ht="30" customHeight="1">
      <c r="A6" s="169" t="s">
        <v>727</v>
      </c>
      <c r="B6" s="543" t="s">
        <v>1327</v>
      </c>
      <c r="C6" s="544" t="s">
        <v>1328</v>
      </c>
      <c r="D6" s="285" t="s">
        <v>1087</v>
      </c>
      <c r="E6" s="285" t="s">
        <v>3332</v>
      </c>
      <c r="F6" s="285" t="s">
        <v>1329</v>
      </c>
      <c r="G6" s="545" t="s">
        <v>1190</v>
      </c>
    </row>
    <row r="7" spans="2:7" s="169" customFormat="1" ht="12.75" customHeight="1">
      <c r="B7" s="546"/>
      <c r="C7" s="544"/>
      <c r="D7" s="285"/>
      <c r="E7" s="285"/>
      <c r="F7" s="285"/>
      <c r="G7" s="545"/>
    </row>
    <row r="8" spans="1:7" ht="12.75" outlineLevel="1">
      <c r="A8" s="455" t="s">
        <v>1330</v>
      </c>
      <c r="B8" s="548" t="s">
        <v>1331</v>
      </c>
      <c r="C8" s="381" t="s">
        <v>1332</v>
      </c>
      <c r="D8" s="547">
        <v>2147.5</v>
      </c>
      <c r="E8" s="547">
        <v>0</v>
      </c>
      <c r="F8" s="547">
        <v>2147.5</v>
      </c>
      <c r="G8" s="547">
        <f aca="true" t="shared" si="0" ref="G8:G71">(D8+E8-F8)</f>
        <v>0</v>
      </c>
    </row>
    <row r="9" spans="1:7" ht="12.75" outlineLevel="1">
      <c r="A9" s="455" t="s">
        <v>1333</v>
      </c>
      <c r="B9" s="548" t="s">
        <v>1334</v>
      </c>
      <c r="C9" s="381" t="s">
        <v>1335</v>
      </c>
      <c r="D9" s="401">
        <v>17809.73</v>
      </c>
      <c r="E9" s="401">
        <v>1030103.25</v>
      </c>
      <c r="F9" s="401">
        <v>1033726.43</v>
      </c>
      <c r="G9" s="401">
        <f t="shared" si="0"/>
        <v>14186.54999999993</v>
      </c>
    </row>
    <row r="10" spans="1:7" ht="12.75" outlineLevel="1">
      <c r="A10" s="455" t="s">
        <v>1336</v>
      </c>
      <c r="B10" s="548" t="s">
        <v>1337</v>
      </c>
      <c r="C10" s="381" t="s">
        <v>1338</v>
      </c>
      <c r="D10" s="401">
        <v>-1981.12</v>
      </c>
      <c r="E10" s="401">
        <v>453950.4</v>
      </c>
      <c r="F10" s="401">
        <v>461209.36</v>
      </c>
      <c r="G10" s="401">
        <f t="shared" si="0"/>
        <v>-9240.079999999958</v>
      </c>
    </row>
    <row r="11" spans="1:7" ht="12.75" outlineLevel="1">
      <c r="A11" s="455" t="s">
        <v>1339</v>
      </c>
      <c r="B11" s="548" t="s">
        <v>1340</v>
      </c>
      <c r="C11" s="381" t="s">
        <v>1341</v>
      </c>
      <c r="D11" s="401">
        <v>20604.37</v>
      </c>
      <c r="E11" s="401">
        <v>2055.4</v>
      </c>
      <c r="F11" s="401">
        <v>0</v>
      </c>
      <c r="G11" s="401">
        <f t="shared" si="0"/>
        <v>22659.77</v>
      </c>
    </row>
    <row r="12" spans="1:7" ht="12.75" outlineLevel="1">
      <c r="A12" s="455" t="s">
        <v>1342</v>
      </c>
      <c r="B12" s="548" t="s">
        <v>1343</v>
      </c>
      <c r="C12" s="381" t="s">
        <v>1344</v>
      </c>
      <c r="D12" s="401">
        <v>0</v>
      </c>
      <c r="E12" s="401">
        <v>12537.88</v>
      </c>
      <c r="F12" s="401">
        <v>12537.88</v>
      </c>
      <c r="G12" s="401">
        <f t="shared" si="0"/>
        <v>0</v>
      </c>
    </row>
    <row r="13" spans="1:7" ht="12.75" outlineLevel="1">
      <c r="A13" s="455" t="s">
        <v>1345</v>
      </c>
      <c r="B13" s="548" t="s">
        <v>1346</v>
      </c>
      <c r="C13" s="381" t="s">
        <v>1347</v>
      </c>
      <c r="D13" s="401">
        <v>238595.81</v>
      </c>
      <c r="E13" s="401">
        <v>106995.86</v>
      </c>
      <c r="F13" s="401">
        <v>258197.6</v>
      </c>
      <c r="G13" s="401">
        <f t="shared" si="0"/>
        <v>87394.06999999998</v>
      </c>
    </row>
    <row r="14" spans="1:7" ht="12.75" outlineLevel="1">
      <c r="A14" s="455" t="s">
        <v>1348</v>
      </c>
      <c r="B14" s="548" t="s">
        <v>1349</v>
      </c>
      <c r="C14" s="381" t="s">
        <v>1350</v>
      </c>
      <c r="D14" s="401">
        <v>1729.68</v>
      </c>
      <c r="E14" s="401">
        <v>2873.5</v>
      </c>
      <c r="F14" s="401">
        <v>3076.53</v>
      </c>
      <c r="G14" s="401">
        <f t="shared" si="0"/>
        <v>1526.65</v>
      </c>
    </row>
    <row r="15" spans="1:7" ht="12.75" outlineLevel="1">
      <c r="A15" s="455" t="s">
        <v>1351</v>
      </c>
      <c r="B15" s="548" t="s">
        <v>1352</v>
      </c>
      <c r="C15" s="381" t="s">
        <v>1353</v>
      </c>
      <c r="D15" s="401">
        <v>-8.93</v>
      </c>
      <c r="E15" s="401">
        <v>0</v>
      </c>
      <c r="F15" s="401">
        <v>0</v>
      </c>
      <c r="G15" s="401">
        <f t="shared" si="0"/>
        <v>-8.93</v>
      </c>
    </row>
    <row r="16" spans="1:7" ht="12.75" outlineLevel="1">
      <c r="A16" s="455" t="s">
        <v>1354</v>
      </c>
      <c r="B16" s="548" t="s">
        <v>1355</v>
      </c>
      <c r="C16" s="381" t="s">
        <v>1356</v>
      </c>
      <c r="D16" s="401">
        <v>-5800</v>
      </c>
      <c r="E16" s="401">
        <v>0</v>
      </c>
      <c r="F16" s="401">
        <v>678</v>
      </c>
      <c r="G16" s="401">
        <f t="shared" si="0"/>
        <v>-6478</v>
      </c>
    </row>
    <row r="17" spans="1:7" ht="12.75" outlineLevel="1">
      <c r="A17" s="455" t="s">
        <v>1191</v>
      </c>
      <c r="B17" s="548" t="s">
        <v>1192</v>
      </c>
      <c r="C17" s="381" t="s">
        <v>1193</v>
      </c>
      <c r="D17" s="401">
        <v>0</v>
      </c>
      <c r="E17" s="401">
        <v>0</v>
      </c>
      <c r="F17" s="401">
        <v>418.14</v>
      </c>
      <c r="G17" s="401">
        <f t="shared" si="0"/>
        <v>-418.14</v>
      </c>
    </row>
    <row r="18" spans="1:7" ht="12.75" outlineLevel="1">
      <c r="A18" s="455" t="s">
        <v>1357</v>
      </c>
      <c r="B18" s="548" t="s">
        <v>1358</v>
      </c>
      <c r="C18" s="381" t="s">
        <v>1359</v>
      </c>
      <c r="D18" s="401">
        <v>2087.61</v>
      </c>
      <c r="E18" s="401">
        <v>0</v>
      </c>
      <c r="F18" s="401">
        <v>2087.61</v>
      </c>
      <c r="G18" s="401">
        <f t="shared" si="0"/>
        <v>0</v>
      </c>
    </row>
    <row r="19" spans="1:7" ht="12.75" outlineLevel="1">
      <c r="A19" s="455" t="s">
        <v>1360</v>
      </c>
      <c r="B19" s="548" t="s">
        <v>1361</v>
      </c>
      <c r="C19" s="381" t="s">
        <v>1362</v>
      </c>
      <c r="D19" s="401">
        <v>4667.39</v>
      </c>
      <c r="E19" s="401">
        <v>2264.5</v>
      </c>
      <c r="F19" s="401">
        <v>4252.81</v>
      </c>
      <c r="G19" s="401">
        <f t="shared" si="0"/>
        <v>2679.08</v>
      </c>
    </row>
    <row r="20" spans="1:7" ht="12.75" outlineLevel="1">
      <c r="A20" s="455" t="s">
        <v>1363</v>
      </c>
      <c r="B20" s="548" t="s">
        <v>1364</v>
      </c>
      <c r="C20" s="381" t="s">
        <v>1365</v>
      </c>
      <c r="D20" s="401">
        <v>205.14</v>
      </c>
      <c r="E20" s="401">
        <v>0</v>
      </c>
      <c r="F20" s="401">
        <v>12.72</v>
      </c>
      <c r="G20" s="401">
        <f t="shared" si="0"/>
        <v>192.42</v>
      </c>
    </row>
    <row r="21" spans="1:7" ht="12.75" outlineLevel="1">
      <c r="A21" s="455" t="s">
        <v>1366</v>
      </c>
      <c r="B21" s="548" t="s">
        <v>1367</v>
      </c>
      <c r="C21" s="381" t="s">
        <v>1368</v>
      </c>
      <c r="D21" s="401">
        <v>15188.6</v>
      </c>
      <c r="E21" s="401">
        <v>116537</v>
      </c>
      <c r="F21" s="401">
        <v>82493.42</v>
      </c>
      <c r="G21" s="401">
        <f t="shared" si="0"/>
        <v>49232.18000000001</v>
      </c>
    </row>
    <row r="22" spans="1:7" ht="12.75" outlineLevel="1">
      <c r="A22" s="455" t="s">
        <v>1369</v>
      </c>
      <c r="B22" s="548" t="s">
        <v>1370</v>
      </c>
      <c r="C22" s="381" t="s">
        <v>1371</v>
      </c>
      <c r="D22" s="401">
        <v>24847.2</v>
      </c>
      <c r="E22" s="401">
        <v>0</v>
      </c>
      <c r="F22" s="401">
        <v>0</v>
      </c>
      <c r="G22" s="401">
        <f t="shared" si="0"/>
        <v>24847.2</v>
      </c>
    </row>
    <row r="23" spans="1:7" ht="12.75" outlineLevel="1">
      <c r="A23" s="455" t="s">
        <v>1372</v>
      </c>
      <c r="B23" s="548" t="s">
        <v>1373</v>
      </c>
      <c r="C23" s="381" t="s">
        <v>1374</v>
      </c>
      <c r="D23" s="401">
        <v>98881.75</v>
      </c>
      <c r="E23" s="401">
        <v>6136.05</v>
      </c>
      <c r="F23" s="401">
        <v>0</v>
      </c>
      <c r="G23" s="401">
        <f t="shared" si="0"/>
        <v>105017.8</v>
      </c>
    </row>
    <row r="24" spans="1:7" ht="12.75" outlineLevel="1">
      <c r="A24" s="455" t="s">
        <v>1375</v>
      </c>
      <c r="B24" s="548" t="s">
        <v>1376</v>
      </c>
      <c r="C24" s="381" t="s">
        <v>1377</v>
      </c>
      <c r="D24" s="401">
        <v>4919.81</v>
      </c>
      <c r="E24" s="401">
        <v>2970</v>
      </c>
      <c r="F24" s="401">
        <v>2289.88</v>
      </c>
      <c r="G24" s="401">
        <f t="shared" si="0"/>
        <v>5599.93</v>
      </c>
    </row>
    <row r="25" spans="1:7" ht="12.75" outlineLevel="1">
      <c r="A25" s="455" t="s">
        <v>1378</v>
      </c>
      <c r="B25" s="548" t="s">
        <v>1379</v>
      </c>
      <c r="C25" s="381" t="s">
        <v>1380</v>
      </c>
      <c r="D25" s="401">
        <v>-312</v>
      </c>
      <c r="E25" s="401">
        <v>246312</v>
      </c>
      <c r="F25" s="401">
        <v>246000</v>
      </c>
      <c r="G25" s="401">
        <f t="shared" si="0"/>
        <v>0</v>
      </c>
    </row>
    <row r="26" spans="1:7" ht="12.75" outlineLevel="1">
      <c r="A26" s="455" t="s">
        <v>1381</v>
      </c>
      <c r="B26" s="548" t="s">
        <v>1382</v>
      </c>
      <c r="C26" s="381" t="s">
        <v>1383</v>
      </c>
      <c r="D26" s="401">
        <v>-3000</v>
      </c>
      <c r="E26" s="401">
        <v>563000</v>
      </c>
      <c r="F26" s="401">
        <v>560000</v>
      </c>
      <c r="G26" s="401">
        <f t="shared" si="0"/>
        <v>0</v>
      </c>
    </row>
    <row r="27" spans="1:7" ht="12.75" outlineLevel="1">
      <c r="A27" s="455" t="s">
        <v>1384</v>
      </c>
      <c r="B27" s="548" t="s">
        <v>1385</v>
      </c>
      <c r="C27" s="381" t="s">
        <v>1386</v>
      </c>
      <c r="D27" s="401">
        <v>0</v>
      </c>
      <c r="E27" s="401">
        <v>2500</v>
      </c>
      <c r="F27" s="401">
        <v>2500</v>
      </c>
      <c r="G27" s="401">
        <f t="shared" si="0"/>
        <v>0</v>
      </c>
    </row>
    <row r="28" spans="1:7" ht="12.75" outlineLevel="1">
      <c r="A28" s="455" t="s">
        <v>1387</v>
      </c>
      <c r="B28" s="548" t="s">
        <v>1388</v>
      </c>
      <c r="C28" s="381" t="s">
        <v>1389</v>
      </c>
      <c r="D28" s="401">
        <v>0</v>
      </c>
      <c r="E28" s="401">
        <v>752</v>
      </c>
      <c r="F28" s="401">
        <v>752</v>
      </c>
      <c r="G28" s="401">
        <f t="shared" si="0"/>
        <v>0</v>
      </c>
    </row>
    <row r="29" spans="1:7" ht="12.75" outlineLevel="1">
      <c r="A29" s="455" t="s">
        <v>1390</v>
      </c>
      <c r="B29" s="548" t="s">
        <v>1391</v>
      </c>
      <c r="C29" s="381" t="s">
        <v>1392</v>
      </c>
      <c r="D29" s="401">
        <v>525</v>
      </c>
      <c r="E29" s="401">
        <v>369241</v>
      </c>
      <c r="F29" s="401">
        <v>369766</v>
      </c>
      <c r="G29" s="401">
        <f t="shared" si="0"/>
        <v>0</v>
      </c>
    </row>
    <row r="30" spans="1:7" ht="12.75" outlineLevel="1">
      <c r="A30" s="455" t="s">
        <v>1393</v>
      </c>
      <c r="B30" s="548" t="s">
        <v>1394</v>
      </c>
      <c r="C30" s="381" t="s">
        <v>1395</v>
      </c>
      <c r="D30" s="401">
        <v>-1.55</v>
      </c>
      <c r="E30" s="401">
        <v>0</v>
      </c>
      <c r="F30" s="401">
        <v>0</v>
      </c>
      <c r="G30" s="401">
        <f t="shared" si="0"/>
        <v>-1.55</v>
      </c>
    </row>
    <row r="31" spans="1:7" ht="12.75" outlineLevel="1">
      <c r="A31" s="455" t="s">
        <v>1396</v>
      </c>
      <c r="B31" s="548" t="s">
        <v>1397</v>
      </c>
      <c r="C31" s="381" t="s">
        <v>1398</v>
      </c>
      <c r="D31" s="401">
        <v>1816.45</v>
      </c>
      <c r="E31" s="401">
        <v>0</v>
      </c>
      <c r="F31" s="401">
        <v>0</v>
      </c>
      <c r="G31" s="401">
        <f t="shared" si="0"/>
        <v>1816.45</v>
      </c>
    </row>
    <row r="32" spans="1:7" ht="12.75" outlineLevel="1">
      <c r="A32" s="455" t="s">
        <v>1399</v>
      </c>
      <c r="B32" s="548" t="s">
        <v>1400</v>
      </c>
      <c r="C32" s="381" t="s">
        <v>1401</v>
      </c>
      <c r="D32" s="401">
        <v>0</v>
      </c>
      <c r="E32" s="401">
        <v>4946613.45</v>
      </c>
      <c r="F32" s="401">
        <v>4478228.45</v>
      </c>
      <c r="G32" s="401">
        <f t="shared" si="0"/>
        <v>468385</v>
      </c>
    </row>
    <row r="33" spans="1:7" ht="12.75" outlineLevel="1">
      <c r="A33" s="455" t="s">
        <v>1402</v>
      </c>
      <c r="B33" s="548" t="s">
        <v>1403</v>
      </c>
      <c r="C33" s="381" t="s">
        <v>1404</v>
      </c>
      <c r="D33" s="401">
        <v>0</v>
      </c>
      <c r="E33" s="401">
        <v>75169820.23</v>
      </c>
      <c r="F33" s="401">
        <v>72888463.15</v>
      </c>
      <c r="G33" s="401">
        <f t="shared" si="0"/>
        <v>2281357.079999998</v>
      </c>
    </row>
    <row r="34" spans="1:7" ht="12.75" outlineLevel="1">
      <c r="A34" s="455" t="s">
        <v>1405</v>
      </c>
      <c r="B34" s="548" t="s">
        <v>1406</v>
      </c>
      <c r="C34" s="381" t="s">
        <v>1407</v>
      </c>
      <c r="D34" s="401">
        <v>312307.76</v>
      </c>
      <c r="E34" s="401">
        <v>469263.46</v>
      </c>
      <c r="F34" s="401">
        <v>283392.77</v>
      </c>
      <c r="G34" s="401">
        <f t="shared" si="0"/>
        <v>498178.44999999995</v>
      </c>
    </row>
    <row r="35" spans="1:7" ht="12.75" outlineLevel="1">
      <c r="A35" s="455" t="s">
        <v>1408</v>
      </c>
      <c r="B35" s="548" t="s">
        <v>1409</v>
      </c>
      <c r="C35" s="381" t="s">
        <v>1410</v>
      </c>
      <c r="D35" s="401">
        <v>7202.01</v>
      </c>
      <c r="E35" s="401">
        <v>675.5</v>
      </c>
      <c r="F35" s="401">
        <v>1011.32</v>
      </c>
      <c r="G35" s="401">
        <f t="shared" si="0"/>
        <v>6866.1900000000005</v>
      </c>
    </row>
    <row r="36" spans="1:7" ht="12.75" outlineLevel="1">
      <c r="A36" s="455" t="s">
        <v>1411</v>
      </c>
      <c r="B36" s="548" t="s">
        <v>1412</v>
      </c>
      <c r="C36" s="381" t="s">
        <v>1413</v>
      </c>
      <c r="D36" s="401">
        <v>6684.48</v>
      </c>
      <c r="E36" s="401">
        <v>66823.02</v>
      </c>
      <c r="F36" s="401">
        <v>61300.23</v>
      </c>
      <c r="G36" s="401">
        <f t="shared" si="0"/>
        <v>12207.269999999997</v>
      </c>
    </row>
    <row r="37" spans="1:7" ht="12.75" outlineLevel="1">
      <c r="A37" s="455" t="s">
        <v>1414</v>
      </c>
      <c r="B37" s="548" t="s">
        <v>1415</v>
      </c>
      <c r="C37" s="381" t="s">
        <v>1416</v>
      </c>
      <c r="D37" s="401">
        <v>15304.77</v>
      </c>
      <c r="E37" s="401">
        <v>20320.27</v>
      </c>
      <c r="F37" s="401">
        <v>18509.49</v>
      </c>
      <c r="G37" s="401">
        <f t="shared" si="0"/>
        <v>17115.55</v>
      </c>
    </row>
    <row r="38" spans="1:7" ht="12.75" outlineLevel="1">
      <c r="A38" s="455" t="s">
        <v>1417</v>
      </c>
      <c r="B38" s="548" t="s">
        <v>1418</v>
      </c>
      <c r="C38" s="381" t="s">
        <v>1419</v>
      </c>
      <c r="D38" s="401">
        <v>748.33</v>
      </c>
      <c r="E38" s="401">
        <v>0</v>
      </c>
      <c r="F38" s="401">
        <v>16.28</v>
      </c>
      <c r="G38" s="401">
        <f t="shared" si="0"/>
        <v>732.0500000000001</v>
      </c>
    </row>
    <row r="39" spans="1:7" ht="12.75" outlineLevel="1">
      <c r="A39" s="455" t="s">
        <v>1420</v>
      </c>
      <c r="B39" s="548" t="s">
        <v>1421</v>
      </c>
      <c r="C39" s="381" t="s">
        <v>1422</v>
      </c>
      <c r="D39" s="401">
        <v>1554.06</v>
      </c>
      <c r="E39" s="401">
        <v>3762</v>
      </c>
      <c r="F39" s="401">
        <v>7191.63</v>
      </c>
      <c r="G39" s="401">
        <f t="shared" si="0"/>
        <v>-1875.5700000000006</v>
      </c>
    </row>
    <row r="40" spans="1:7" ht="12.75" outlineLevel="1">
      <c r="A40" s="455" t="s">
        <v>1423</v>
      </c>
      <c r="B40" s="548" t="s">
        <v>1424</v>
      </c>
      <c r="C40" s="381" t="s">
        <v>1425</v>
      </c>
      <c r="D40" s="401">
        <v>6719.29</v>
      </c>
      <c r="E40" s="401">
        <v>10808</v>
      </c>
      <c r="F40" s="401">
        <v>12324.22</v>
      </c>
      <c r="G40" s="401">
        <f t="shared" si="0"/>
        <v>5203.0700000000015</v>
      </c>
    </row>
    <row r="41" spans="1:7" ht="12.75" outlineLevel="1">
      <c r="A41" s="455" t="s">
        <v>1426</v>
      </c>
      <c r="B41" s="548" t="s">
        <v>1427</v>
      </c>
      <c r="C41" s="381" t="s">
        <v>1428</v>
      </c>
      <c r="D41" s="401">
        <v>8984.97</v>
      </c>
      <c r="E41" s="401">
        <v>14512.67</v>
      </c>
      <c r="F41" s="401">
        <v>22844.61</v>
      </c>
      <c r="G41" s="401">
        <f t="shared" si="0"/>
        <v>653.0299999999988</v>
      </c>
    </row>
    <row r="42" spans="1:7" ht="12.75" outlineLevel="1">
      <c r="A42" s="455" t="s">
        <v>1429</v>
      </c>
      <c r="B42" s="548" t="s">
        <v>1430</v>
      </c>
      <c r="C42" s="381" t="s">
        <v>1431</v>
      </c>
      <c r="D42" s="401">
        <v>66.82</v>
      </c>
      <c r="E42" s="401">
        <v>0</v>
      </c>
      <c r="F42" s="401">
        <v>1024.55</v>
      </c>
      <c r="G42" s="401">
        <f t="shared" si="0"/>
        <v>-957.73</v>
      </c>
    </row>
    <row r="43" spans="1:7" ht="12.75" outlineLevel="1">
      <c r="A43" s="455" t="s">
        <v>1432</v>
      </c>
      <c r="B43" s="548" t="s">
        <v>1433</v>
      </c>
      <c r="C43" s="381" t="s">
        <v>1434</v>
      </c>
      <c r="D43" s="401">
        <v>-82.82</v>
      </c>
      <c r="E43" s="401">
        <v>3055</v>
      </c>
      <c r="F43" s="401">
        <v>1094.03</v>
      </c>
      <c r="G43" s="401">
        <f t="shared" si="0"/>
        <v>1878.1499999999999</v>
      </c>
    </row>
    <row r="44" spans="1:7" ht="12.75" outlineLevel="1">
      <c r="A44" s="455" t="s">
        <v>1435</v>
      </c>
      <c r="B44" s="548" t="s">
        <v>1436</v>
      </c>
      <c r="C44" s="381" t="s">
        <v>1437</v>
      </c>
      <c r="D44" s="401">
        <v>-33120.99</v>
      </c>
      <c r="E44" s="401">
        <v>0</v>
      </c>
      <c r="F44" s="401">
        <v>44.95</v>
      </c>
      <c r="G44" s="401">
        <f t="shared" si="0"/>
        <v>-33165.939999999995</v>
      </c>
    </row>
    <row r="45" spans="1:7" ht="12.75" outlineLevel="1">
      <c r="A45" s="455" t="s">
        <v>1438</v>
      </c>
      <c r="B45" s="548" t="s">
        <v>1439</v>
      </c>
      <c r="C45" s="381" t="s">
        <v>1440</v>
      </c>
      <c r="D45" s="401">
        <v>20</v>
      </c>
      <c r="E45" s="401">
        <v>0</v>
      </c>
      <c r="F45" s="401">
        <v>0</v>
      </c>
      <c r="G45" s="401">
        <f t="shared" si="0"/>
        <v>20</v>
      </c>
    </row>
    <row r="46" spans="1:7" ht="12.75" outlineLevel="1">
      <c r="A46" s="455" t="s">
        <v>1441</v>
      </c>
      <c r="B46" s="548" t="s">
        <v>1442</v>
      </c>
      <c r="C46" s="381" t="s">
        <v>1443</v>
      </c>
      <c r="D46" s="401">
        <v>118</v>
      </c>
      <c r="E46" s="401">
        <v>0</v>
      </c>
      <c r="F46" s="401">
        <v>0</v>
      </c>
      <c r="G46" s="401">
        <f t="shared" si="0"/>
        <v>118</v>
      </c>
    </row>
    <row r="47" spans="1:7" ht="12.75" outlineLevel="1">
      <c r="A47" s="455" t="s">
        <v>1444</v>
      </c>
      <c r="B47" s="548" t="s">
        <v>1445</v>
      </c>
      <c r="C47" s="381" t="s">
        <v>1446</v>
      </c>
      <c r="D47" s="401">
        <v>1661.84</v>
      </c>
      <c r="E47" s="401">
        <v>4221.26</v>
      </c>
      <c r="F47" s="401">
        <v>4700</v>
      </c>
      <c r="G47" s="401">
        <f t="shared" si="0"/>
        <v>1183.1000000000004</v>
      </c>
    </row>
    <row r="48" spans="1:7" ht="12.75" outlineLevel="1">
      <c r="A48" s="455" t="s">
        <v>1447</v>
      </c>
      <c r="B48" s="548" t="s">
        <v>1448</v>
      </c>
      <c r="C48" s="381" t="s">
        <v>1449</v>
      </c>
      <c r="D48" s="401">
        <v>494541</v>
      </c>
      <c r="E48" s="401">
        <v>116387.39</v>
      </c>
      <c r="F48" s="401">
        <v>89155.22</v>
      </c>
      <c r="G48" s="401">
        <f t="shared" si="0"/>
        <v>521773.17000000004</v>
      </c>
    </row>
    <row r="49" spans="1:7" ht="12.75" outlineLevel="1">
      <c r="A49" s="455" t="s">
        <v>1450</v>
      </c>
      <c r="B49" s="548" t="s">
        <v>1451</v>
      </c>
      <c r="C49" s="381" t="s">
        <v>1452</v>
      </c>
      <c r="D49" s="401">
        <v>84391</v>
      </c>
      <c r="E49" s="401">
        <v>12169.04</v>
      </c>
      <c r="F49" s="401">
        <v>1624.97</v>
      </c>
      <c r="G49" s="401">
        <f t="shared" si="0"/>
        <v>94935.07</v>
      </c>
    </row>
    <row r="50" spans="1:7" ht="12.75" outlineLevel="1">
      <c r="A50" s="455" t="s">
        <v>1453</v>
      </c>
      <c r="B50" s="548" t="s">
        <v>1454</v>
      </c>
      <c r="C50" s="381" t="s">
        <v>1455</v>
      </c>
      <c r="D50" s="401">
        <v>85262</v>
      </c>
      <c r="E50" s="401">
        <v>26477</v>
      </c>
      <c r="F50" s="401">
        <v>15056.78</v>
      </c>
      <c r="G50" s="401">
        <f t="shared" si="0"/>
        <v>96682.22</v>
      </c>
    </row>
    <row r="51" spans="1:7" ht="12.75" outlineLevel="1">
      <c r="A51" s="455" t="s">
        <v>1456</v>
      </c>
      <c r="B51" s="548" t="s">
        <v>1457</v>
      </c>
      <c r="C51" s="381" t="s">
        <v>1458</v>
      </c>
      <c r="D51" s="401">
        <v>200</v>
      </c>
      <c r="E51" s="401">
        <v>950</v>
      </c>
      <c r="F51" s="401">
        <v>-50</v>
      </c>
      <c r="G51" s="401">
        <f t="shared" si="0"/>
        <v>1200</v>
      </c>
    </row>
    <row r="52" spans="1:7" ht="12.75" outlineLevel="1">
      <c r="A52" s="455" t="s">
        <v>1459</v>
      </c>
      <c r="B52" s="548" t="s">
        <v>1460</v>
      </c>
      <c r="C52" s="381" t="s">
        <v>1461</v>
      </c>
      <c r="D52" s="401">
        <v>3.17</v>
      </c>
      <c r="E52" s="401">
        <v>0</v>
      </c>
      <c r="F52" s="401">
        <v>3.17</v>
      </c>
      <c r="G52" s="401">
        <f t="shared" si="0"/>
        <v>0</v>
      </c>
    </row>
    <row r="53" spans="2:7" ht="12.75" outlineLevel="1">
      <c r="B53" s="548" t="s">
        <v>1463</v>
      </c>
      <c r="C53" s="381"/>
      <c r="D53" s="401">
        <v>-104087</v>
      </c>
      <c r="E53" s="401">
        <v>0</v>
      </c>
      <c r="F53" s="401">
        <v>0</v>
      </c>
      <c r="G53" s="401">
        <f t="shared" si="0"/>
        <v>-104087</v>
      </c>
    </row>
    <row r="54" spans="1:7" ht="12.75" outlineLevel="1">
      <c r="A54" s="455" t="s">
        <v>1194</v>
      </c>
      <c r="B54" s="548" t="s">
        <v>1195</v>
      </c>
      <c r="C54" s="381" t="s">
        <v>1196</v>
      </c>
      <c r="D54" s="401">
        <v>0</v>
      </c>
      <c r="E54" s="401">
        <v>48500</v>
      </c>
      <c r="F54" s="401">
        <v>0</v>
      </c>
      <c r="G54" s="401">
        <f t="shared" si="0"/>
        <v>48500</v>
      </c>
    </row>
    <row r="55" spans="1:7" ht="12.75" outlineLevel="1">
      <c r="A55" s="455" t="s">
        <v>1462</v>
      </c>
      <c r="B55" s="548" t="s">
        <v>1464</v>
      </c>
      <c r="C55" s="381" t="s">
        <v>1465</v>
      </c>
      <c r="D55" s="401">
        <v>-4887</v>
      </c>
      <c r="E55" s="401">
        <v>4887</v>
      </c>
      <c r="F55" s="401">
        <v>0</v>
      </c>
      <c r="G55" s="401">
        <f t="shared" si="0"/>
        <v>0</v>
      </c>
    </row>
    <row r="56" spans="1:7" ht="12.75" outlineLevel="1">
      <c r="A56" s="455" t="s">
        <v>1197</v>
      </c>
      <c r="B56" s="548" t="s">
        <v>1198</v>
      </c>
      <c r="C56" s="381" t="s">
        <v>1199</v>
      </c>
      <c r="D56" s="401">
        <v>0</v>
      </c>
      <c r="E56" s="401">
        <v>5510</v>
      </c>
      <c r="F56" s="401">
        <v>294.75</v>
      </c>
      <c r="G56" s="401">
        <f t="shared" si="0"/>
        <v>5215.25</v>
      </c>
    </row>
    <row r="57" spans="1:7" ht="12.75" outlineLevel="1">
      <c r="A57" s="455" t="s">
        <v>1200</v>
      </c>
      <c r="B57" s="548" t="s">
        <v>1201</v>
      </c>
      <c r="C57" s="381" t="s">
        <v>1202</v>
      </c>
      <c r="D57" s="401">
        <v>0</v>
      </c>
      <c r="E57" s="401">
        <v>13614577.9</v>
      </c>
      <c r="F57" s="401">
        <v>7500</v>
      </c>
      <c r="G57" s="401">
        <f t="shared" si="0"/>
        <v>13607077.9</v>
      </c>
    </row>
    <row r="58" spans="1:7" ht="12.75" outlineLevel="1">
      <c r="A58" s="455" t="s">
        <v>1466</v>
      </c>
      <c r="B58" s="548" t="s">
        <v>1467</v>
      </c>
      <c r="C58" s="381" t="s">
        <v>1468</v>
      </c>
      <c r="D58" s="401">
        <v>7212.59</v>
      </c>
      <c r="E58" s="401">
        <v>29298</v>
      </c>
      <c r="F58" s="401">
        <v>30781.44</v>
      </c>
      <c r="G58" s="401">
        <f t="shared" si="0"/>
        <v>5729.149999999998</v>
      </c>
    </row>
    <row r="59" spans="1:7" ht="12.75" outlineLevel="1">
      <c r="A59" s="455" t="s">
        <v>1203</v>
      </c>
      <c r="B59" s="548" t="s">
        <v>1204</v>
      </c>
      <c r="C59" s="381" t="s">
        <v>1205</v>
      </c>
      <c r="D59" s="401">
        <v>0</v>
      </c>
      <c r="E59" s="401">
        <v>0</v>
      </c>
      <c r="F59" s="401">
        <v>106.92</v>
      </c>
      <c r="G59" s="401">
        <f t="shared" si="0"/>
        <v>-106.92</v>
      </c>
    </row>
    <row r="60" spans="1:7" ht="12.75" outlineLevel="1">
      <c r="A60" s="455" t="s">
        <v>1469</v>
      </c>
      <c r="B60" s="548" t="s">
        <v>1470</v>
      </c>
      <c r="C60" s="381" t="s">
        <v>1471</v>
      </c>
      <c r="D60" s="401">
        <v>17701</v>
      </c>
      <c r="E60" s="401">
        <v>1287.02</v>
      </c>
      <c r="F60" s="401">
        <v>0</v>
      </c>
      <c r="G60" s="401">
        <f t="shared" si="0"/>
        <v>18988.02</v>
      </c>
    </row>
    <row r="61" spans="1:7" ht="12.75" outlineLevel="1">
      <c r="A61" s="455" t="s">
        <v>1472</v>
      </c>
      <c r="B61" s="548" t="s">
        <v>1473</v>
      </c>
      <c r="C61" s="381" t="s">
        <v>1474</v>
      </c>
      <c r="D61" s="401">
        <v>0</v>
      </c>
      <c r="E61" s="401">
        <v>12072.5</v>
      </c>
      <c r="F61" s="401">
        <v>12072.5</v>
      </c>
      <c r="G61" s="401">
        <f t="shared" si="0"/>
        <v>0</v>
      </c>
    </row>
    <row r="62" spans="1:7" ht="12.75" outlineLevel="1">
      <c r="A62" s="455" t="s">
        <v>1475</v>
      </c>
      <c r="B62" s="548" t="s">
        <v>1476</v>
      </c>
      <c r="C62" s="381" t="s">
        <v>1477</v>
      </c>
      <c r="D62" s="401">
        <v>0</v>
      </c>
      <c r="E62" s="401">
        <v>3115</v>
      </c>
      <c r="F62" s="401">
        <v>3115</v>
      </c>
      <c r="G62" s="401">
        <f t="shared" si="0"/>
        <v>0</v>
      </c>
    </row>
    <row r="63" spans="1:7" ht="12.75" outlineLevel="1">
      <c r="A63" s="455" t="s">
        <v>1478</v>
      </c>
      <c r="B63" s="548" t="s">
        <v>1479</v>
      </c>
      <c r="C63" s="381" t="s">
        <v>1480</v>
      </c>
      <c r="D63" s="401">
        <v>0</v>
      </c>
      <c r="E63" s="401">
        <v>1990</v>
      </c>
      <c r="F63" s="401">
        <v>1990</v>
      </c>
      <c r="G63" s="401">
        <f t="shared" si="0"/>
        <v>0</v>
      </c>
    </row>
    <row r="64" spans="1:7" ht="12.75" outlineLevel="1">
      <c r="A64" s="455" t="s">
        <v>1481</v>
      </c>
      <c r="B64" s="548" t="s">
        <v>1482</v>
      </c>
      <c r="C64" s="381" t="s">
        <v>1483</v>
      </c>
      <c r="D64" s="401">
        <v>0</v>
      </c>
      <c r="E64" s="401">
        <v>1500</v>
      </c>
      <c r="F64" s="401">
        <v>1500</v>
      </c>
      <c r="G64" s="401">
        <f t="shared" si="0"/>
        <v>0</v>
      </c>
    </row>
    <row r="65" spans="1:7" ht="12.75" outlineLevel="1">
      <c r="A65" s="455" t="s">
        <v>1484</v>
      </c>
      <c r="B65" s="548" t="s">
        <v>2324</v>
      </c>
      <c r="C65" s="381" t="s">
        <v>2325</v>
      </c>
      <c r="D65" s="401">
        <v>0</v>
      </c>
      <c r="E65" s="401">
        <v>2320</v>
      </c>
      <c r="F65" s="401">
        <v>2320</v>
      </c>
      <c r="G65" s="401">
        <f t="shared" si="0"/>
        <v>0</v>
      </c>
    </row>
    <row r="66" spans="1:7" ht="12.75" outlineLevel="1">
      <c r="A66" s="455" t="s">
        <v>2326</v>
      </c>
      <c r="B66" s="548" t="s">
        <v>2327</v>
      </c>
      <c r="C66" s="381" t="s">
        <v>2328</v>
      </c>
      <c r="D66" s="401">
        <v>0</v>
      </c>
      <c r="E66" s="401">
        <v>1834.21</v>
      </c>
      <c r="F66" s="401">
        <v>1834.21</v>
      </c>
      <c r="G66" s="401">
        <f t="shared" si="0"/>
        <v>0</v>
      </c>
    </row>
    <row r="67" spans="1:7" ht="12.75" outlineLevel="1">
      <c r="A67" s="455" t="s">
        <v>2329</v>
      </c>
      <c r="B67" s="548" t="s">
        <v>2330</v>
      </c>
      <c r="C67" s="381" t="s">
        <v>2331</v>
      </c>
      <c r="D67" s="401">
        <v>0</v>
      </c>
      <c r="E67" s="401">
        <v>6131.53</v>
      </c>
      <c r="F67" s="401">
        <v>6131.53</v>
      </c>
      <c r="G67" s="401">
        <f t="shared" si="0"/>
        <v>0</v>
      </c>
    </row>
    <row r="68" spans="1:7" ht="12.75" outlineLevel="1">
      <c r="A68" s="455" t="s">
        <v>2332</v>
      </c>
      <c r="B68" s="548" t="s">
        <v>2333</v>
      </c>
      <c r="C68" s="381" t="s">
        <v>2334</v>
      </c>
      <c r="D68" s="401">
        <v>0</v>
      </c>
      <c r="E68" s="401">
        <v>8882.25</v>
      </c>
      <c r="F68" s="401">
        <v>8882.25</v>
      </c>
      <c r="G68" s="401">
        <f t="shared" si="0"/>
        <v>0</v>
      </c>
    </row>
    <row r="69" spans="1:7" ht="12.75" outlineLevel="1">
      <c r="A69" s="455" t="s">
        <v>2335</v>
      </c>
      <c r="B69" s="548" t="s">
        <v>2336</v>
      </c>
      <c r="C69" s="381" t="s">
        <v>2337</v>
      </c>
      <c r="D69" s="401">
        <v>0</v>
      </c>
      <c r="E69" s="401">
        <v>4575</v>
      </c>
      <c r="F69" s="401">
        <v>4575</v>
      </c>
      <c r="G69" s="401">
        <f t="shared" si="0"/>
        <v>0</v>
      </c>
    </row>
    <row r="70" spans="1:7" ht="12.75" outlineLevel="1">
      <c r="A70" s="455" t="s">
        <v>2338</v>
      </c>
      <c r="B70" s="548" t="s">
        <v>2339</v>
      </c>
      <c r="C70" s="381" t="s">
        <v>2340</v>
      </c>
      <c r="D70" s="401">
        <v>0</v>
      </c>
      <c r="E70" s="401">
        <v>8415</v>
      </c>
      <c r="F70" s="401">
        <v>8415</v>
      </c>
      <c r="G70" s="401">
        <f t="shared" si="0"/>
        <v>0</v>
      </c>
    </row>
    <row r="71" spans="1:7" ht="12.75" outlineLevel="1">
      <c r="A71" s="455" t="s">
        <v>2341</v>
      </c>
      <c r="B71" s="548" t="s">
        <v>2342</v>
      </c>
      <c r="C71" s="381" t="s">
        <v>2343</v>
      </c>
      <c r="D71" s="401">
        <v>0</v>
      </c>
      <c r="E71" s="401">
        <v>6235</v>
      </c>
      <c r="F71" s="401">
        <v>6235</v>
      </c>
      <c r="G71" s="401">
        <f t="shared" si="0"/>
        <v>0</v>
      </c>
    </row>
    <row r="72" spans="1:7" ht="12.75" outlineLevel="1">
      <c r="A72" s="455" t="s">
        <v>2344</v>
      </c>
      <c r="B72" s="548" t="s">
        <v>2345</v>
      </c>
      <c r="C72" s="381" t="s">
        <v>2346</v>
      </c>
      <c r="D72" s="401">
        <v>0</v>
      </c>
      <c r="E72" s="401">
        <v>16719</v>
      </c>
      <c r="F72" s="401">
        <v>16719</v>
      </c>
      <c r="G72" s="401">
        <f aca="true" t="shared" si="1" ref="G72:G134">(D72+E72-F72)</f>
        <v>0</v>
      </c>
    </row>
    <row r="73" spans="1:7" ht="12.75" outlineLevel="1">
      <c r="A73" s="455" t="s">
        <v>2347</v>
      </c>
      <c r="B73" s="548" t="s">
        <v>2348</v>
      </c>
      <c r="C73" s="381" t="s">
        <v>2349</v>
      </c>
      <c r="D73" s="401">
        <v>0</v>
      </c>
      <c r="E73" s="401">
        <v>7177.5</v>
      </c>
      <c r="F73" s="401">
        <v>7177.5</v>
      </c>
      <c r="G73" s="401">
        <f t="shared" si="1"/>
        <v>0</v>
      </c>
    </row>
    <row r="74" spans="1:7" ht="12.75" outlineLevel="1">
      <c r="A74" s="455" t="s">
        <v>2350</v>
      </c>
      <c r="B74" s="548" t="s">
        <v>2351</v>
      </c>
      <c r="C74" s="381" t="s">
        <v>2352</v>
      </c>
      <c r="D74" s="401">
        <v>0</v>
      </c>
      <c r="E74" s="401">
        <v>7590</v>
      </c>
      <c r="F74" s="401">
        <v>7590</v>
      </c>
      <c r="G74" s="401">
        <f t="shared" si="1"/>
        <v>0</v>
      </c>
    </row>
    <row r="75" spans="1:7" ht="12.75" outlineLevel="1">
      <c r="A75" s="455" t="s">
        <v>2353</v>
      </c>
      <c r="B75" s="548" t="s">
        <v>2354</v>
      </c>
      <c r="C75" s="381" t="s">
        <v>2355</v>
      </c>
      <c r="D75" s="401">
        <v>0</v>
      </c>
      <c r="E75" s="401">
        <v>8775</v>
      </c>
      <c r="F75" s="401">
        <v>8775</v>
      </c>
      <c r="G75" s="401">
        <f t="shared" si="1"/>
        <v>0</v>
      </c>
    </row>
    <row r="76" spans="1:7" ht="12.75" outlineLevel="1">
      <c r="A76" s="455" t="s">
        <v>2356</v>
      </c>
      <c r="B76" s="548" t="s">
        <v>2357</v>
      </c>
      <c r="C76" s="381" t="s">
        <v>2358</v>
      </c>
      <c r="D76" s="401">
        <v>0</v>
      </c>
      <c r="E76" s="401">
        <v>6375</v>
      </c>
      <c r="F76" s="401">
        <v>6375</v>
      </c>
      <c r="G76" s="401">
        <f t="shared" si="1"/>
        <v>0</v>
      </c>
    </row>
    <row r="77" spans="1:7" ht="12.75" outlineLevel="1">
      <c r="A77" s="455" t="s">
        <v>2359</v>
      </c>
      <c r="B77" s="548" t="s">
        <v>2360</v>
      </c>
      <c r="C77" s="381" t="s">
        <v>2361</v>
      </c>
      <c r="D77" s="401">
        <v>0</v>
      </c>
      <c r="E77" s="401">
        <v>10580</v>
      </c>
      <c r="F77" s="401">
        <v>10580</v>
      </c>
      <c r="G77" s="401">
        <f t="shared" si="1"/>
        <v>0</v>
      </c>
    </row>
    <row r="78" spans="1:7" ht="12.75" outlineLevel="1">
      <c r="A78" s="455" t="s">
        <v>2362</v>
      </c>
      <c r="B78" s="548" t="s">
        <v>2363</v>
      </c>
      <c r="C78" s="381" t="s">
        <v>2364</v>
      </c>
      <c r="D78" s="401">
        <v>0</v>
      </c>
      <c r="E78" s="401">
        <v>3745</v>
      </c>
      <c r="F78" s="401">
        <v>3745</v>
      </c>
      <c r="G78" s="401">
        <f t="shared" si="1"/>
        <v>0</v>
      </c>
    </row>
    <row r="79" spans="1:7" ht="12.75" outlineLevel="1">
      <c r="A79" s="455" t="s">
        <v>2365</v>
      </c>
      <c r="B79" s="548" t="s">
        <v>2366</v>
      </c>
      <c r="C79" s="381" t="s">
        <v>2367</v>
      </c>
      <c r="D79" s="401">
        <v>0</v>
      </c>
      <c r="E79" s="401">
        <v>5550</v>
      </c>
      <c r="F79" s="401">
        <v>5550</v>
      </c>
      <c r="G79" s="401">
        <f t="shared" si="1"/>
        <v>0</v>
      </c>
    </row>
    <row r="80" spans="1:7" ht="12.75" outlineLevel="1">
      <c r="A80" s="455" t="s">
        <v>2368</v>
      </c>
      <c r="B80" s="548" t="s">
        <v>2369</v>
      </c>
      <c r="C80" s="381" t="s">
        <v>2370</v>
      </c>
      <c r="D80" s="401">
        <v>0</v>
      </c>
      <c r="E80" s="401">
        <v>7710</v>
      </c>
      <c r="F80" s="401">
        <v>7710</v>
      </c>
      <c r="G80" s="401">
        <f t="shared" si="1"/>
        <v>0</v>
      </c>
    </row>
    <row r="81" spans="1:7" ht="12.75" outlineLevel="1">
      <c r="A81" s="455" t="s">
        <v>2371</v>
      </c>
      <c r="B81" s="548" t="s">
        <v>2372</v>
      </c>
      <c r="C81" s="381" t="s">
        <v>2373</v>
      </c>
      <c r="D81" s="401">
        <v>0</v>
      </c>
      <c r="E81" s="401">
        <v>7195</v>
      </c>
      <c r="F81" s="401">
        <v>7195</v>
      </c>
      <c r="G81" s="401">
        <f t="shared" si="1"/>
        <v>0</v>
      </c>
    </row>
    <row r="82" spans="1:7" ht="12.75" outlineLevel="1">
      <c r="A82" s="455" t="s">
        <v>2374</v>
      </c>
      <c r="B82" s="548" t="s">
        <v>2375</v>
      </c>
      <c r="C82" s="381" t="s">
        <v>2376</v>
      </c>
      <c r="D82" s="401">
        <v>0</v>
      </c>
      <c r="E82" s="401">
        <v>6000</v>
      </c>
      <c r="F82" s="401">
        <v>6000</v>
      </c>
      <c r="G82" s="401">
        <f t="shared" si="1"/>
        <v>0</v>
      </c>
    </row>
    <row r="83" spans="1:7" ht="12.75" outlineLevel="1">
      <c r="A83" s="455" t="s">
        <v>2377</v>
      </c>
      <c r="B83" s="548" t="s">
        <v>2378</v>
      </c>
      <c r="C83" s="381" t="s">
        <v>2379</v>
      </c>
      <c r="D83" s="401">
        <v>0</v>
      </c>
      <c r="E83" s="401">
        <v>6260</v>
      </c>
      <c r="F83" s="401">
        <v>6260</v>
      </c>
      <c r="G83" s="401">
        <f t="shared" si="1"/>
        <v>0</v>
      </c>
    </row>
    <row r="84" spans="1:7" ht="12.75" outlineLevel="1">
      <c r="A84" s="455" t="s">
        <v>2380</v>
      </c>
      <c r="B84" s="548" t="s">
        <v>2381</v>
      </c>
      <c r="C84" s="381" t="s">
        <v>2382</v>
      </c>
      <c r="D84" s="401">
        <v>0</v>
      </c>
      <c r="E84" s="401">
        <v>5445</v>
      </c>
      <c r="F84" s="401">
        <v>5445</v>
      </c>
      <c r="G84" s="401">
        <f t="shared" si="1"/>
        <v>0</v>
      </c>
    </row>
    <row r="85" spans="1:7" ht="12.75" outlineLevel="1">
      <c r="A85" s="455" t="s">
        <v>2383</v>
      </c>
      <c r="B85" s="548" t="s">
        <v>2384</v>
      </c>
      <c r="C85" s="381" t="s">
        <v>2385</v>
      </c>
      <c r="D85" s="401">
        <v>0</v>
      </c>
      <c r="E85" s="401">
        <v>5915</v>
      </c>
      <c r="F85" s="401">
        <v>5915</v>
      </c>
      <c r="G85" s="401">
        <f t="shared" si="1"/>
        <v>0</v>
      </c>
    </row>
    <row r="86" spans="1:7" ht="12.75" outlineLevel="1">
      <c r="A86" s="455" t="s">
        <v>2386</v>
      </c>
      <c r="B86" s="548" t="s">
        <v>2387</v>
      </c>
      <c r="C86" s="381" t="s">
        <v>2388</v>
      </c>
      <c r="D86" s="401">
        <v>0</v>
      </c>
      <c r="E86" s="401">
        <v>6550</v>
      </c>
      <c r="F86" s="401">
        <v>6550</v>
      </c>
      <c r="G86" s="401">
        <f t="shared" si="1"/>
        <v>0</v>
      </c>
    </row>
    <row r="87" spans="1:7" ht="12.75" outlineLevel="1">
      <c r="A87" s="455" t="s">
        <v>2389</v>
      </c>
      <c r="B87" s="548" t="s">
        <v>2390</v>
      </c>
      <c r="C87" s="381" t="s">
        <v>2391</v>
      </c>
      <c r="D87" s="401">
        <v>0</v>
      </c>
      <c r="E87" s="401">
        <v>6811.95</v>
      </c>
      <c r="F87" s="401">
        <v>6811.95</v>
      </c>
      <c r="G87" s="401">
        <f t="shared" si="1"/>
        <v>0</v>
      </c>
    </row>
    <row r="88" spans="1:7" ht="12.75" outlineLevel="1">
      <c r="A88" s="455" t="s">
        <v>1564</v>
      </c>
      <c r="B88" s="548" t="s">
        <v>1565</v>
      </c>
      <c r="C88" s="381" t="s">
        <v>1566</v>
      </c>
      <c r="D88" s="401">
        <v>0</v>
      </c>
      <c r="E88" s="401">
        <v>14535</v>
      </c>
      <c r="F88" s="401">
        <v>14535</v>
      </c>
      <c r="G88" s="401">
        <f t="shared" si="1"/>
        <v>0</v>
      </c>
    </row>
    <row r="89" spans="1:7" ht="12.75" outlineLevel="1">
      <c r="A89" s="455" t="s">
        <v>1567</v>
      </c>
      <c r="B89" s="548" t="s">
        <v>1568</v>
      </c>
      <c r="C89" s="381" t="s">
        <v>1569</v>
      </c>
      <c r="D89" s="401">
        <v>0</v>
      </c>
      <c r="E89" s="401">
        <v>7250</v>
      </c>
      <c r="F89" s="401">
        <v>7250</v>
      </c>
      <c r="G89" s="401">
        <f t="shared" si="1"/>
        <v>0</v>
      </c>
    </row>
    <row r="90" spans="1:7" ht="12.75" outlineLevel="1">
      <c r="A90" s="455" t="s">
        <v>1570</v>
      </c>
      <c r="B90" s="548" t="s">
        <v>1571</v>
      </c>
      <c r="C90" s="381" t="s">
        <v>1572</v>
      </c>
      <c r="D90" s="401">
        <v>0</v>
      </c>
      <c r="E90" s="401">
        <v>6205.24</v>
      </c>
      <c r="F90" s="401">
        <v>6205.24</v>
      </c>
      <c r="G90" s="401">
        <f t="shared" si="1"/>
        <v>0</v>
      </c>
    </row>
    <row r="91" spans="1:7" ht="12.75" outlineLevel="1">
      <c r="A91" s="455" t="s">
        <v>1573</v>
      </c>
      <c r="B91" s="548" t="s">
        <v>1574</v>
      </c>
      <c r="C91" s="381" t="s">
        <v>1575</v>
      </c>
      <c r="D91" s="401">
        <v>0</v>
      </c>
      <c r="E91" s="401">
        <v>13845</v>
      </c>
      <c r="F91" s="401">
        <v>13845</v>
      </c>
      <c r="G91" s="401">
        <f t="shared" si="1"/>
        <v>0</v>
      </c>
    </row>
    <row r="92" spans="1:7" ht="12.75" outlineLevel="1">
      <c r="A92" s="455" t="s">
        <v>1576</v>
      </c>
      <c r="B92" s="548" t="s">
        <v>1577</v>
      </c>
      <c r="C92" s="381" t="s">
        <v>1578</v>
      </c>
      <c r="D92" s="401">
        <v>0</v>
      </c>
      <c r="E92" s="401">
        <v>6800</v>
      </c>
      <c r="F92" s="401">
        <v>6800</v>
      </c>
      <c r="G92" s="401">
        <f t="shared" si="1"/>
        <v>0</v>
      </c>
    </row>
    <row r="93" spans="1:7" ht="12.75" outlineLevel="1">
      <c r="A93" s="455" t="s">
        <v>1579</v>
      </c>
      <c r="B93" s="548" t="s">
        <v>1580</v>
      </c>
      <c r="C93" s="381" t="s">
        <v>1581</v>
      </c>
      <c r="D93" s="401">
        <v>0</v>
      </c>
      <c r="E93" s="401">
        <v>10290</v>
      </c>
      <c r="F93" s="401">
        <v>10290</v>
      </c>
      <c r="G93" s="401">
        <f t="shared" si="1"/>
        <v>0</v>
      </c>
    </row>
    <row r="94" spans="1:7" ht="12.75" outlineLevel="1">
      <c r="A94" s="455" t="s">
        <v>1582</v>
      </c>
      <c r="B94" s="548" t="s">
        <v>1583</v>
      </c>
      <c r="C94" s="381" t="s">
        <v>1584</v>
      </c>
      <c r="D94" s="401">
        <v>0</v>
      </c>
      <c r="E94" s="401">
        <v>7767.5</v>
      </c>
      <c r="F94" s="401">
        <v>7767.5</v>
      </c>
      <c r="G94" s="401">
        <f t="shared" si="1"/>
        <v>0</v>
      </c>
    </row>
    <row r="95" spans="1:7" ht="12.75" outlineLevel="1">
      <c r="A95" s="455" t="s">
        <v>1585</v>
      </c>
      <c r="B95" s="548" t="s">
        <v>1586</v>
      </c>
      <c r="C95" s="381" t="s">
        <v>1587</v>
      </c>
      <c r="D95" s="401">
        <v>0</v>
      </c>
      <c r="E95" s="401">
        <v>6325</v>
      </c>
      <c r="F95" s="401">
        <v>6325</v>
      </c>
      <c r="G95" s="401">
        <f t="shared" si="1"/>
        <v>0</v>
      </c>
    </row>
    <row r="96" spans="1:7" ht="12.75" outlineLevel="1">
      <c r="A96" s="455" t="s">
        <v>1588</v>
      </c>
      <c r="B96" s="548" t="s">
        <v>1589</v>
      </c>
      <c r="C96" s="381" t="s">
        <v>1590</v>
      </c>
      <c r="D96" s="401">
        <v>0</v>
      </c>
      <c r="E96" s="401">
        <v>7270</v>
      </c>
      <c r="F96" s="401">
        <v>7270</v>
      </c>
      <c r="G96" s="401">
        <f t="shared" si="1"/>
        <v>0</v>
      </c>
    </row>
    <row r="97" spans="1:7" ht="12.75" outlineLevel="1">
      <c r="A97" s="455" t="s">
        <v>1591</v>
      </c>
      <c r="B97" s="548" t="s">
        <v>1592</v>
      </c>
      <c r="C97" s="381" t="s">
        <v>1593</v>
      </c>
      <c r="D97" s="401">
        <v>0</v>
      </c>
      <c r="E97" s="401">
        <v>7565</v>
      </c>
      <c r="F97" s="401">
        <v>7565</v>
      </c>
      <c r="G97" s="401">
        <f t="shared" si="1"/>
        <v>0</v>
      </c>
    </row>
    <row r="98" spans="1:7" ht="12.75" outlineLevel="1">
      <c r="A98" s="455" t="s">
        <v>1594</v>
      </c>
      <c r="B98" s="548" t="s">
        <v>1595</v>
      </c>
      <c r="C98" s="381" t="s">
        <v>1596</v>
      </c>
      <c r="D98" s="401">
        <v>0</v>
      </c>
      <c r="E98" s="401">
        <v>6349</v>
      </c>
      <c r="F98" s="401">
        <v>6349</v>
      </c>
      <c r="G98" s="401">
        <f t="shared" si="1"/>
        <v>0</v>
      </c>
    </row>
    <row r="99" spans="1:7" ht="12.75" outlineLevel="1">
      <c r="A99" s="455" t="s">
        <v>1597</v>
      </c>
      <c r="B99" s="548" t="s">
        <v>1598</v>
      </c>
      <c r="C99" s="381" t="s">
        <v>1599</v>
      </c>
      <c r="D99" s="401">
        <v>0</v>
      </c>
      <c r="E99" s="401">
        <v>6280</v>
      </c>
      <c r="F99" s="401">
        <v>6280</v>
      </c>
      <c r="G99" s="401">
        <f t="shared" si="1"/>
        <v>0</v>
      </c>
    </row>
    <row r="100" spans="1:7" ht="12.75" outlineLevel="1">
      <c r="A100" s="455" t="s">
        <v>1600</v>
      </c>
      <c r="B100" s="548" t="s">
        <v>1601</v>
      </c>
      <c r="C100" s="381" t="s">
        <v>1602</v>
      </c>
      <c r="D100" s="401">
        <v>0</v>
      </c>
      <c r="E100" s="401">
        <v>7980</v>
      </c>
      <c r="F100" s="401">
        <v>7980</v>
      </c>
      <c r="G100" s="401">
        <f t="shared" si="1"/>
        <v>0</v>
      </c>
    </row>
    <row r="101" spans="1:7" ht="12.75" outlineLevel="1">
      <c r="A101" s="455" t="s">
        <v>1603</v>
      </c>
      <c r="B101" s="548" t="s">
        <v>1604</v>
      </c>
      <c r="C101" s="381" t="s">
        <v>1605</v>
      </c>
      <c r="D101" s="401">
        <v>0</v>
      </c>
      <c r="E101" s="401">
        <v>14403.77</v>
      </c>
      <c r="F101" s="401">
        <v>14403.77</v>
      </c>
      <c r="G101" s="401">
        <f t="shared" si="1"/>
        <v>0</v>
      </c>
    </row>
    <row r="102" spans="1:7" ht="12.75" outlineLevel="1">
      <c r="A102" s="455" t="s">
        <v>1606</v>
      </c>
      <c r="B102" s="548" t="s">
        <v>1607</v>
      </c>
      <c r="C102" s="381" t="s">
        <v>1608</v>
      </c>
      <c r="D102" s="401">
        <v>0</v>
      </c>
      <c r="E102" s="401">
        <v>1800</v>
      </c>
      <c r="F102" s="401">
        <v>1800</v>
      </c>
      <c r="G102" s="401">
        <f t="shared" si="1"/>
        <v>0</v>
      </c>
    </row>
    <row r="103" spans="1:7" ht="12.75" outlineLevel="1">
      <c r="A103" s="455" t="s">
        <v>1609</v>
      </c>
      <c r="B103" s="548" t="s">
        <v>1610</v>
      </c>
      <c r="C103" s="381" t="s">
        <v>1611</v>
      </c>
      <c r="D103" s="401">
        <v>0</v>
      </c>
      <c r="E103" s="401">
        <v>34965</v>
      </c>
      <c r="F103" s="401">
        <v>34965</v>
      </c>
      <c r="G103" s="401">
        <f t="shared" si="1"/>
        <v>0</v>
      </c>
    </row>
    <row r="104" spans="1:7" ht="12.75" outlineLevel="1">
      <c r="A104" s="455" t="s">
        <v>1612</v>
      </c>
      <c r="B104" s="548" t="s">
        <v>1613</v>
      </c>
      <c r="C104" s="381" t="s">
        <v>1614</v>
      </c>
      <c r="D104" s="401">
        <v>0</v>
      </c>
      <c r="E104" s="401">
        <v>2800</v>
      </c>
      <c r="F104" s="401">
        <v>2800</v>
      </c>
      <c r="G104" s="401">
        <f t="shared" si="1"/>
        <v>0</v>
      </c>
    </row>
    <row r="105" spans="1:7" ht="12.75" outlineLevel="1">
      <c r="A105" s="455" t="s">
        <v>1615</v>
      </c>
      <c r="B105" s="548" t="s">
        <v>1616</v>
      </c>
      <c r="C105" s="381" t="s">
        <v>1617</v>
      </c>
      <c r="D105" s="401">
        <v>0</v>
      </c>
      <c r="E105" s="401">
        <v>2800</v>
      </c>
      <c r="F105" s="401">
        <v>2800</v>
      </c>
      <c r="G105" s="401">
        <f t="shared" si="1"/>
        <v>0</v>
      </c>
    </row>
    <row r="106" spans="1:7" ht="12.75" outlineLevel="1">
      <c r="A106" s="455" t="s">
        <v>1618</v>
      </c>
      <c r="B106" s="548" t="s">
        <v>1619</v>
      </c>
      <c r="C106" s="381" t="s">
        <v>1620</v>
      </c>
      <c r="D106" s="401">
        <v>0</v>
      </c>
      <c r="E106" s="401">
        <v>2675</v>
      </c>
      <c r="F106" s="401">
        <v>2675</v>
      </c>
      <c r="G106" s="401">
        <f t="shared" si="1"/>
        <v>0</v>
      </c>
    </row>
    <row r="107" spans="1:7" ht="12.75" outlineLevel="1">
      <c r="A107" s="455" t="s">
        <v>1621</v>
      </c>
      <c r="B107" s="548" t="s">
        <v>1622</v>
      </c>
      <c r="C107" s="381" t="s">
        <v>1623</v>
      </c>
      <c r="D107" s="401">
        <v>0</v>
      </c>
      <c r="E107" s="401">
        <v>12425</v>
      </c>
      <c r="F107" s="401">
        <v>12425</v>
      </c>
      <c r="G107" s="401">
        <f t="shared" si="1"/>
        <v>0</v>
      </c>
    </row>
    <row r="108" spans="1:7" ht="12.75" outlineLevel="1">
      <c r="A108" s="455" t="s">
        <v>1624</v>
      </c>
      <c r="B108" s="548" t="s">
        <v>1625</v>
      </c>
      <c r="C108" s="381" t="s">
        <v>1626</v>
      </c>
      <c r="D108" s="401">
        <v>0</v>
      </c>
      <c r="E108" s="401">
        <v>10620</v>
      </c>
      <c r="F108" s="401">
        <v>10620</v>
      </c>
      <c r="G108" s="401">
        <f t="shared" si="1"/>
        <v>0</v>
      </c>
    </row>
    <row r="109" spans="1:7" ht="12.75" outlineLevel="1">
      <c r="A109" s="455" t="s">
        <v>1627</v>
      </c>
      <c r="B109" s="548" t="s">
        <v>1628</v>
      </c>
      <c r="C109" s="381" t="s">
        <v>1629</v>
      </c>
      <c r="D109" s="401">
        <v>0</v>
      </c>
      <c r="E109" s="401">
        <v>7625</v>
      </c>
      <c r="F109" s="401">
        <v>7625</v>
      </c>
      <c r="G109" s="401">
        <f t="shared" si="1"/>
        <v>0</v>
      </c>
    </row>
    <row r="110" spans="1:7" ht="12.75" outlineLevel="1">
      <c r="A110" s="455" t="s">
        <v>1630</v>
      </c>
      <c r="B110" s="548" t="s">
        <v>1631</v>
      </c>
      <c r="C110" s="381" t="s">
        <v>1632</v>
      </c>
      <c r="D110" s="401">
        <v>0</v>
      </c>
      <c r="E110" s="401">
        <v>7235</v>
      </c>
      <c r="F110" s="401">
        <v>7235</v>
      </c>
      <c r="G110" s="401">
        <f t="shared" si="1"/>
        <v>0</v>
      </c>
    </row>
    <row r="111" spans="1:7" ht="12.75" outlineLevel="1">
      <c r="A111" s="455" t="s">
        <v>1633</v>
      </c>
      <c r="B111" s="548" t="s">
        <v>1634</v>
      </c>
      <c r="C111" s="381" t="s">
        <v>1635</v>
      </c>
      <c r="D111" s="401">
        <v>0</v>
      </c>
      <c r="E111" s="401">
        <v>8110</v>
      </c>
      <c r="F111" s="401">
        <v>8110</v>
      </c>
      <c r="G111" s="401">
        <f t="shared" si="1"/>
        <v>0</v>
      </c>
    </row>
    <row r="112" spans="1:7" ht="12.75" outlineLevel="1">
      <c r="A112" s="455" t="s">
        <v>1636</v>
      </c>
      <c r="B112" s="548" t="s">
        <v>1637</v>
      </c>
      <c r="C112" s="381" t="s">
        <v>1638</v>
      </c>
      <c r="D112" s="401">
        <v>0</v>
      </c>
      <c r="E112" s="401">
        <v>10010</v>
      </c>
      <c r="F112" s="401">
        <v>10010</v>
      </c>
      <c r="G112" s="401">
        <f t="shared" si="1"/>
        <v>0</v>
      </c>
    </row>
    <row r="113" spans="1:7" ht="12.75" outlineLevel="1">
      <c r="A113" s="455" t="s">
        <v>1639</v>
      </c>
      <c r="B113" s="548" t="s">
        <v>1640</v>
      </c>
      <c r="C113" s="381" t="s">
        <v>1641</v>
      </c>
      <c r="D113" s="401">
        <v>0</v>
      </c>
      <c r="E113" s="401">
        <v>14149.44</v>
      </c>
      <c r="F113" s="401">
        <v>14149.44</v>
      </c>
      <c r="G113" s="401">
        <f t="shared" si="1"/>
        <v>0</v>
      </c>
    </row>
    <row r="114" spans="1:7" ht="12.75" outlineLevel="1">
      <c r="A114" s="455" t="s">
        <v>1642</v>
      </c>
      <c r="B114" s="548" t="s">
        <v>1643</v>
      </c>
      <c r="C114" s="381" t="s">
        <v>1644</v>
      </c>
      <c r="D114" s="401">
        <v>0</v>
      </c>
      <c r="E114" s="401">
        <v>13452.22</v>
      </c>
      <c r="F114" s="401">
        <v>13452.22</v>
      </c>
      <c r="G114" s="401">
        <f t="shared" si="1"/>
        <v>0</v>
      </c>
    </row>
    <row r="115" spans="1:7" ht="12.75" outlineLevel="1">
      <c r="A115" s="455" t="s">
        <v>1645</v>
      </c>
      <c r="B115" s="548" t="s">
        <v>1646</v>
      </c>
      <c r="C115" s="381" t="s">
        <v>1647</v>
      </c>
      <c r="D115" s="401">
        <v>0</v>
      </c>
      <c r="E115" s="401">
        <v>10135.64</v>
      </c>
      <c r="F115" s="401">
        <v>10135.64</v>
      </c>
      <c r="G115" s="401">
        <f t="shared" si="1"/>
        <v>0</v>
      </c>
    </row>
    <row r="116" spans="1:7" ht="12.75" outlineLevel="1">
      <c r="A116" s="455" t="s">
        <v>1648</v>
      </c>
      <c r="B116" s="548" t="s">
        <v>1649</v>
      </c>
      <c r="C116" s="381" t="s">
        <v>1650</v>
      </c>
      <c r="D116" s="401">
        <v>0</v>
      </c>
      <c r="E116" s="401">
        <v>5427.8</v>
      </c>
      <c r="F116" s="401">
        <v>5427.8</v>
      </c>
      <c r="G116" s="401">
        <f t="shared" si="1"/>
        <v>0</v>
      </c>
    </row>
    <row r="117" spans="1:7" ht="12.75" outlineLevel="1">
      <c r="A117" s="455" t="s">
        <v>1651</v>
      </c>
      <c r="B117" s="548" t="s">
        <v>1652</v>
      </c>
      <c r="C117" s="381" t="s">
        <v>1653</v>
      </c>
      <c r="D117" s="401">
        <v>0</v>
      </c>
      <c r="E117" s="401">
        <v>7035</v>
      </c>
      <c r="F117" s="401">
        <v>7035</v>
      </c>
      <c r="G117" s="401">
        <f t="shared" si="1"/>
        <v>0</v>
      </c>
    </row>
    <row r="118" spans="1:7" ht="12.75" outlineLevel="1">
      <c r="A118" s="455" t="s">
        <v>1654</v>
      </c>
      <c r="B118" s="548" t="s">
        <v>1655</v>
      </c>
      <c r="C118" s="381" t="s">
        <v>1656</v>
      </c>
      <c r="D118" s="401">
        <v>0</v>
      </c>
      <c r="E118" s="401">
        <v>7167</v>
      </c>
      <c r="F118" s="401">
        <v>7167</v>
      </c>
      <c r="G118" s="401">
        <f t="shared" si="1"/>
        <v>0</v>
      </c>
    </row>
    <row r="119" spans="1:7" ht="12.75" outlineLevel="1">
      <c r="A119" s="455" t="s">
        <v>1657</v>
      </c>
      <c r="B119" s="548" t="s">
        <v>1658</v>
      </c>
      <c r="C119" s="381" t="s">
        <v>1659</v>
      </c>
      <c r="D119" s="401">
        <v>0</v>
      </c>
      <c r="E119" s="401">
        <v>12340</v>
      </c>
      <c r="F119" s="401">
        <v>12340</v>
      </c>
      <c r="G119" s="401">
        <f t="shared" si="1"/>
        <v>0</v>
      </c>
    </row>
    <row r="120" spans="1:7" ht="12.75" outlineLevel="1">
      <c r="A120" s="455" t="s">
        <v>1660</v>
      </c>
      <c r="B120" s="548" t="s">
        <v>1661</v>
      </c>
      <c r="C120" s="381" t="s">
        <v>1662</v>
      </c>
      <c r="D120" s="401">
        <v>0</v>
      </c>
      <c r="E120" s="401">
        <v>12605</v>
      </c>
      <c r="F120" s="401">
        <v>12605</v>
      </c>
      <c r="G120" s="401">
        <f t="shared" si="1"/>
        <v>0</v>
      </c>
    </row>
    <row r="121" spans="1:7" ht="12.75" outlineLevel="1">
      <c r="A121" s="455" t="s">
        <v>1663</v>
      </c>
      <c r="B121" s="548" t="s">
        <v>1664</v>
      </c>
      <c r="C121" s="381" t="s">
        <v>1665</v>
      </c>
      <c r="D121" s="401">
        <v>0</v>
      </c>
      <c r="E121" s="401">
        <v>10187.22</v>
      </c>
      <c r="F121" s="401">
        <v>10187.22</v>
      </c>
      <c r="G121" s="401">
        <f t="shared" si="1"/>
        <v>0</v>
      </c>
    </row>
    <row r="122" spans="1:7" ht="12.75" outlineLevel="1">
      <c r="A122" s="455" t="s">
        <v>1666</v>
      </c>
      <c r="B122" s="548" t="s">
        <v>1667</v>
      </c>
      <c r="C122" s="381" t="s">
        <v>1668</v>
      </c>
      <c r="D122" s="401">
        <v>4732.59</v>
      </c>
      <c r="E122" s="401">
        <v>18354.3</v>
      </c>
      <c r="F122" s="401">
        <v>-75615.16</v>
      </c>
      <c r="G122" s="401">
        <f t="shared" si="1"/>
        <v>98702.05</v>
      </c>
    </row>
    <row r="123" spans="1:7" ht="12.75" outlineLevel="1">
      <c r="A123" s="455" t="s">
        <v>1669</v>
      </c>
      <c r="B123" s="548" t="s">
        <v>1670</v>
      </c>
      <c r="C123" s="381" t="s">
        <v>1671</v>
      </c>
      <c r="D123" s="401">
        <v>-46616.95</v>
      </c>
      <c r="E123" s="401">
        <v>0</v>
      </c>
      <c r="F123" s="401">
        <v>61724</v>
      </c>
      <c r="G123" s="401">
        <f t="shared" si="1"/>
        <v>-108340.95</v>
      </c>
    </row>
    <row r="124" spans="1:7" ht="12.75" outlineLevel="1">
      <c r="A124" s="455" t="s">
        <v>1672</v>
      </c>
      <c r="B124" s="548" t="s">
        <v>1673</v>
      </c>
      <c r="C124" s="381" t="s">
        <v>1674</v>
      </c>
      <c r="D124" s="401">
        <v>0</v>
      </c>
      <c r="E124" s="401">
        <v>10500</v>
      </c>
      <c r="F124" s="401">
        <v>10500</v>
      </c>
      <c r="G124" s="401">
        <f t="shared" si="1"/>
        <v>0</v>
      </c>
    </row>
    <row r="125" spans="1:7" ht="12.75" outlineLevel="1">
      <c r="A125" s="455" t="s">
        <v>1675</v>
      </c>
      <c r="B125" s="548" t="s">
        <v>1676</v>
      </c>
      <c r="C125" s="381" t="s">
        <v>1677</v>
      </c>
      <c r="D125" s="401">
        <v>0</v>
      </c>
      <c r="E125" s="401">
        <v>12976</v>
      </c>
      <c r="F125" s="401">
        <v>12976</v>
      </c>
      <c r="G125" s="401">
        <f t="shared" si="1"/>
        <v>0</v>
      </c>
    </row>
    <row r="126" spans="1:7" ht="12.75" outlineLevel="1">
      <c r="A126" s="455" t="s">
        <v>1678</v>
      </c>
      <c r="B126" s="548" t="s">
        <v>1679</v>
      </c>
      <c r="C126" s="381" t="s">
        <v>1680</v>
      </c>
      <c r="D126" s="401">
        <v>0</v>
      </c>
      <c r="E126" s="401">
        <v>5075</v>
      </c>
      <c r="F126" s="401">
        <v>5075</v>
      </c>
      <c r="G126" s="401">
        <f t="shared" si="1"/>
        <v>0</v>
      </c>
    </row>
    <row r="127" spans="1:7" ht="12.75" outlineLevel="1">
      <c r="A127" s="455" t="s">
        <v>1681</v>
      </c>
      <c r="B127" s="548" t="s">
        <v>1682</v>
      </c>
      <c r="C127" s="381" t="s">
        <v>1683</v>
      </c>
      <c r="D127" s="401">
        <v>0</v>
      </c>
      <c r="E127" s="401">
        <v>9470</v>
      </c>
      <c r="F127" s="401">
        <v>9470</v>
      </c>
      <c r="G127" s="401">
        <f t="shared" si="1"/>
        <v>0</v>
      </c>
    </row>
    <row r="128" spans="1:7" ht="12.75" outlineLevel="1">
      <c r="A128" s="455" t="s">
        <v>1684</v>
      </c>
      <c r="B128" s="548" t="s">
        <v>1685</v>
      </c>
      <c r="C128" s="381" t="s">
        <v>1686</v>
      </c>
      <c r="D128" s="401">
        <v>0</v>
      </c>
      <c r="E128" s="401">
        <v>17325</v>
      </c>
      <c r="F128" s="401">
        <v>17325</v>
      </c>
      <c r="G128" s="401">
        <f t="shared" si="1"/>
        <v>0</v>
      </c>
    </row>
    <row r="129" spans="1:7" ht="12.75" outlineLevel="1">
      <c r="A129" s="455" t="s">
        <v>1687</v>
      </c>
      <c r="B129" s="548" t="s">
        <v>1688</v>
      </c>
      <c r="C129" s="381" t="s">
        <v>1689</v>
      </c>
      <c r="D129" s="401">
        <v>0</v>
      </c>
      <c r="E129" s="401">
        <v>6600</v>
      </c>
      <c r="F129" s="401">
        <v>6600</v>
      </c>
      <c r="G129" s="401">
        <f t="shared" si="1"/>
        <v>0</v>
      </c>
    </row>
    <row r="130" spans="1:7" ht="12.75" outlineLevel="1">
      <c r="A130" s="455" t="s">
        <v>1690</v>
      </c>
      <c r="B130" s="548" t="s">
        <v>1691</v>
      </c>
      <c r="C130" s="381" t="s">
        <v>1692</v>
      </c>
      <c r="D130" s="401">
        <v>0</v>
      </c>
      <c r="E130" s="401">
        <v>35000.5</v>
      </c>
      <c r="F130" s="401">
        <v>35000.5</v>
      </c>
      <c r="G130" s="401">
        <f t="shared" si="1"/>
        <v>0</v>
      </c>
    </row>
    <row r="131" spans="1:7" ht="12.75" outlineLevel="1">
      <c r="A131" s="455" t="s">
        <v>1693</v>
      </c>
      <c r="B131" s="548" t="s">
        <v>1694</v>
      </c>
      <c r="C131" s="381" t="s">
        <v>1695</v>
      </c>
      <c r="D131" s="401">
        <v>0</v>
      </c>
      <c r="E131" s="401">
        <v>14165</v>
      </c>
      <c r="F131" s="401">
        <v>14165</v>
      </c>
      <c r="G131" s="401">
        <f t="shared" si="1"/>
        <v>0</v>
      </c>
    </row>
    <row r="132" spans="1:7" ht="12.75" outlineLevel="1">
      <c r="A132" s="455" t="s">
        <v>1696</v>
      </c>
      <c r="B132" s="548" t="s">
        <v>1697</v>
      </c>
      <c r="C132" s="381" t="s">
        <v>1698</v>
      </c>
      <c r="D132" s="401">
        <v>0</v>
      </c>
      <c r="E132" s="401">
        <v>8110</v>
      </c>
      <c r="F132" s="401">
        <v>8110</v>
      </c>
      <c r="G132" s="401">
        <f t="shared" si="1"/>
        <v>0</v>
      </c>
    </row>
    <row r="133" spans="1:7" ht="12.75" outlineLevel="1">
      <c r="A133" s="455" t="s">
        <v>1699</v>
      </c>
      <c r="B133" s="548" t="s">
        <v>1700</v>
      </c>
      <c r="C133" s="381" t="s">
        <v>1701</v>
      </c>
      <c r="D133" s="401">
        <v>0</v>
      </c>
      <c r="E133" s="401">
        <v>9442.5</v>
      </c>
      <c r="F133" s="401">
        <v>9442.5</v>
      </c>
      <c r="G133" s="401">
        <f t="shared" si="1"/>
        <v>0</v>
      </c>
    </row>
    <row r="134" spans="1:7" ht="12.75" outlineLevel="1">
      <c r="A134" s="455" t="s">
        <v>1206</v>
      </c>
      <c r="B134" s="548" t="s">
        <v>1207</v>
      </c>
      <c r="C134" s="381" t="s">
        <v>1208</v>
      </c>
      <c r="D134" s="401">
        <v>0</v>
      </c>
      <c r="E134" s="401">
        <v>175000</v>
      </c>
      <c r="F134" s="401">
        <v>0</v>
      </c>
      <c r="G134" s="401">
        <f t="shared" si="1"/>
        <v>175000</v>
      </c>
    </row>
    <row r="135" spans="1:7" s="169" customFormat="1" ht="12.75">
      <c r="A135" s="169" t="s">
        <v>1702</v>
      </c>
      <c r="B135" s="487" t="s">
        <v>1703</v>
      </c>
      <c r="C135" s="327"/>
      <c r="D135" s="302">
        <f>SUM(D8:D134)</f>
        <v>1289543.36</v>
      </c>
      <c r="E135" s="302">
        <v>98302064.11999999</v>
      </c>
      <c r="F135" s="302">
        <v>81573436.41999997</v>
      </c>
      <c r="G135" s="302">
        <f>(D135+E135-F135)</f>
        <v>18018171.060000017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72.7109375" style="2" customWidth="1"/>
    <col min="3" max="3" width="14.7109375" style="2" customWidth="1"/>
    <col min="4" max="4" width="3.7109375" style="2" hidden="1" customWidth="1"/>
    <col min="5" max="5" width="14.7109375" style="53" customWidth="1"/>
    <col min="6" max="16384" width="8.00390625" style="53" customWidth="1"/>
  </cols>
  <sheetData>
    <row r="1" spans="1:5" s="50" customFormat="1" ht="15.75">
      <c r="A1" s="46" t="s">
        <v>729</v>
      </c>
      <c r="B1" s="6"/>
      <c r="C1" s="47"/>
      <c r="D1" s="48"/>
      <c r="E1" s="49"/>
    </row>
    <row r="2" spans="1:5" ht="15.75">
      <c r="A2" s="51" t="s">
        <v>770</v>
      </c>
      <c r="B2" s="12"/>
      <c r="C2" s="48"/>
      <c r="D2" s="48"/>
      <c r="E2" s="52"/>
    </row>
    <row r="3" spans="1:5" s="50" customFormat="1" ht="15.75">
      <c r="A3" s="51" t="s">
        <v>2968</v>
      </c>
      <c r="B3" s="12"/>
      <c r="C3" s="48"/>
      <c r="D3" s="48"/>
      <c r="E3" s="54"/>
    </row>
    <row r="4" spans="1:5" ht="12.75" customHeight="1">
      <c r="A4" s="17" t="s">
        <v>730</v>
      </c>
      <c r="B4" s="18"/>
      <c r="C4" s="55"/>
      <c r="D4" s="48"/>
      <c r="E4" s="56"/>
    </row>
    <row r="5" spans="1:5" ht="12.75" customHeight="1">
      <c r="A5" s="57"/>
      <c r="B5" s="58"/>
      <c r="C5" s="59">
        <v>2004</v>
      </c>
      <c r="D5" s="60"/>
      <c r="E5" s="59">
        <v>2003</v>
      </c>
    </row>
    <row r="6" spans="1:5" ht="12.75" customHeight="1">
      <c r="A6" s="61" t="s">
        <v>771</v>
      </c>
      <c r="B6" s="62"/>
      <c r="C6" s="63"/>
      <c r="D6" s="64"/>
      <c r="E6" s="65"/>
    </row>
    <row r="7" spans="1:5" s="67" customFormat="1" ht="12.75" customHeight="1">
      <c r="A7" s="30"/>
      <c r="B7" s="31" t="s">
        <v>772</v>
      </c>
      <c r="C7" s="34">
        <v>103661</v>
      </c>
      <c r="D7" s="66"/>
      <c r="E7" s="34">
        <v>92148</v>
      </c>
    </row>
    <row r="8" spans="1:5" s="67" customFormat="1" ht="12.75" customHeight="1">
      <c r="A8" s="30"/>
      <c r="B8" s="31" t="s">
        <v>773</v>
      </c>
      <c r="C8" s="36">
        <v>25950</v>
      </c>
      <c r="D8" s="68"/>
      <c r="E8" s="36">
        <v>24228</v>
      </c>
    </row>
    <row r="9" spans="1:5" s="70" customFormat="1" ht="12.75" customHeight="1">
      <c r="A9" s="23"/>
      <c r="B9" s="24" t="s">
        <v>774</v>
      </c>
      <c r="C9" s="39">
        <f>C7-C8</f>
        <v>77711</v>
      </c>
      <c r="D9" s="69"/>
      <c r="E9" s="39">
        <f>E7-E8</f>
        <v>67920</v>
      </c>
    </row>
    <row r="10" spans="1:5" s="71" customFormat="1" ht="12.75" customHeight="1">
      <c r="A10" s="30"/>
      <c r="B10" s="31" t="s">
        <v>775</v>
      </c>
      <c r="C10" s="36">
        <v>26783</v>
      </c>
      <c r="D10" s="68"/>
      <c r="E10" s="36">
        <v>26038</v>
      </c>
    </row>
    <row r="11" spans="1:5" s="71" customFormat="1" ht="12.75" customHeight="1">
      <c r="A11" s="30"/>
      <c r="B11" s="31" t="s">
        <v>776</v>
      </c>
      <c r="C11" s="36">
        <v>4462</v>
      </c>
      <c r="D11" s="68"/>
      <c r="E11" s="36">
        <v>4476</v>
      </c>
    </row>
    <row r="12" spans="1:5" s="71" customFormat="1" ht="12.75" customHeight="1">
      <c r="A12" s="30"/>
      <c r="B12" s="31" t="s">
        <v>777</v>
      </c>
      <c r="C12" s="36">
        <v>11562</v>
      </c>
      <c r="D12" s="68"/>
      <c r="E12" s="36">
        <v>6722</v>
      </c>
    </row>
    <row r="13" spans="1:5" s="71" customFormat="1" ht="12.75" customHeight="1">
      <c r="A13" s="30"/>
      <c r="B13" s="31" t="s">
        <v>778</v>
      </c>
      <c r="C13" s="36">
        <v>1837</v>
      </c>
      <c r="D13" s="68"/>
      <c r="E13" s="36">
        <v>1783</v>
      </c>
    </row>
    <row r="14" spans="1:5" s="71" customFormat="1" ht="12.75" customHeight="1">
      <c r="A14" s="30"/>
      <c r="B14" s="31" t="s">
        <v>779</v>
      </c>
      <c r="C14" s="36"/>
      <c r="D14" s="68"/>
      <c r="E14" s="36"/>
    </row>
    <row r="15" spans="1:5" s="71" customFormat="1" ht="12.75" customHeight="1">
      <c r="A15" s="30"/>
      <c r="B15" s="31" t="s">
        <v>780</v>
      </c>
      <c r="C15" s="36">
        <v>4982</v>
      </c>
      <c r="D15" s="68"/>
      <c r="E15" s="36">
        <v>4353</v>
      </c>
    </row>
    <row r="16" spans="1:5" s="71" customFormat="1" ht="12.75" customHeight="1">
      <c r="A16" s="30"/>
      <c r="B16" s="31" t="s">
        <v>781</v>
      </c>
      <c r="C16" s="36">
        <v>5741</v>
      </c>
      <c r="D16" s="68"/>
      <c r="E16" s="36">
        <v>5865</v>
      </c>
    </row>
    <row r="17" spans="1:5" s="71" customFormat="1" ht="12.75" customHeight="1">
      <c r="A17" s="30"/>
      <c r="B17" s="31" t="s">
        <v>782</v>
      </c>
      <c r="C17" s="36">
        <v>30261</v>
      </c>
      <c r="D17" s="68"/>
      <c r="E17" s="36">
        <v>27687</v>
      </c>
    </row>
    <row r="18" spans="1:5" s="71" customFormat="1" ht="12.75" customHeight="1">
      <c r="A18" s="30"/>
      <c r="B18" s="31" t="s">
        <v>2945</v>
      </c>
      <c r="C18" s="36">
        <v>284</v>
      </c>
      <c r="D18" s="68"/>
      <c r="E18" s="36">
        <v>350</v>
      </c>
    </row>
    <row r="19" spans="1:5" s="71" customFormat="1" ht="12.75" customHeight="1">
      <c r="A19" s="30"/>
      <c r="B19" s="31" t="s">
        <v>2946</v>
      </c>
      <c r="C19" s="36">
        <v>7961</v>
      </c>
      <c r="D19" s="68"/>
      <c r="E19" s="36">
        <v>7900</v>
      </c>
    </row>
    <row r="20" spans="1:5" s="71" customFormat="1" ht="12.75" customHeight="1">
      <c r="A20" s="23"/>
      <c r="B20" s="62" t="s">
        <v>2947</v>
      </c>
      <c r="C20" s="39">
        <f>SUM(C9:C19)</f>
        <v>171584</v>
      </c>
      <c r="D20" s="69"/>
      <c r="E20" s="39">
        <f>SUM(E9:E19)</f>
        <v>153094</v>
      </c>
    </row>
    <row r="21" spans="1:5" ht="9.75" customHeight="1">
      <c r="A21" s="61"/>
      <c r="B21" s="62"/>
      <c r="C21" s="36"/>
      <c r="D21" s="68"/>
      <c r="E21" s="36"/>
    </row>
    <row r="22" spans="1:5" s="71" customFormat="1" ht="12.75" customHeight="1">
      <c r="A22" s="23" t="s">
        <v>2948</v>
      </c>
      <c r="B22" s="24"/>
      <c r="C22" s="36"/>
      <c r="D22" s="68"/>
      <c r="E22" s="36"/>
    </row>
    <row r="23" spans="1:5" s="71" customFormat="1" ht="12.75" customHeight="1">
      <c r="A23" s="30"/>
      <c r="B23" s="31" t="s">
        <v>2949</v>
      </c>
      <c r="C23" s="36">
        <v>143692</v>
      </c>
      <c r="D23" s="68"/>
      <c r="E23" s="36">
        <v>140874</v>
      </c>
    </row>
    <row r="24" spans="1:5" s="71" customFormat="1" ht="12.75" customHeight="1">
      <c r="A24" s="30"/>
      <c r="B24" s="31" t="s">
        <v>2950</v>
      </c>
      <c r="C24" s="36">
        <v>31227</v>
      </c>
      <c r="D24" s="68"/>
      <c r="E24" s="36">
        <v>24608</v>
      </c>
    </row>
    <row r="25" spans="1:5" s="71" customFormat="1" ht="12.75" customHeight="1">
      <c r="A25" s="30"/>
      <c r="B25" s="31" t="s">
        <v>2951</v>
      </c>
      <c r="C25" s="36">
        <v>57286</v>
      </c>
      <c r="D25" s="68"/>
      <c r="E25" s="36">
        <v>54333</v>
      </c>
    </row>
    <row r="26" spans="1:5" s="71" customFormat="1" ht="12.75" customHeight="1">
      <c r="A26" s="30"/>
      <c r="B26" s="31" t="s">
        <v>2952</v>
      </c>
      <c r="C26" s="36">
        <v>6780</v>
      </c>
      <c r="D26" s="68"/>
      <c r="E26" s="36">
        <v>6461</v>
      </c>
    </row>
    <row r="27" spans="1:5" s="71" customFormat="1" ht="12.75" customHeight="1">
      <c r="A27" s="30"/>
      <c r="B27" s="31" t="s">
        <v>2953</v>
      </c>
      <c r="C27" s="36">
        <v>7144</v>
      </c>
      <c r="D27" s="68"/>
      <c r="E27" s="36">
        <v>6823</v>
      </c>
    </row>
    <row r="28" spans="1:5" s="71" customFormat="1" ht="12.75" customHeight="1">
      <c r="A28" s="23"/>
      <c r="B28" s="62" t="s">
        <v>2954</v>
      </c>
      <c r="C28" s="39">
        <f>SUM(C23:C27)</f>
        <v>246129</v>
      </c>
      <c r="D28" s="69"/>
      <c r="E28" s="39">
        <f>SUM(E23:E27)</f>
        <v>233099</v>
      </c>
    </row>
    <row r="29" spans="1:5" ht="9.75" customHeight="1">
      <c r="A29" s="61"/>
      <c r="B29" s="62"/>
      <c r="C29" s="36"/>
      <c r="D29" s="68"/>
      <c r="E29" s="36"/>
    </row>
    <row r="30" spans="1:5" s="71" customFormat="1" ht="12.75" customHeight="1">
      <c r="A30" s="23" t="s">
        <v>2955</v>
      </c>
      <c r="B30" s="24"/>
      <c r="C30" s="36"/>
      <c r="D30" s="68"/>
      <c r="E30" s="36"/>
    </row>
    <row r="31" spans="1:5" s="71" customFormat="1" ht="12.75" customHeight="1">
      <c r="A31" s="23" t="s">
        <v>3042</v>
      </c>
      <c r="B31" s="72"/>
      <c r="C31" s="39">
        <f>C20-C28</f>
        <v>-74545</v>
      </c>
      <c r="D31" s="69"/>
      <c r="E31" s="39">
        <f>E20-E28</f>
        <v>-80005</v>
      </c>
    </row>
    <row r="32" spans="1:5" ht="9.75" customHeight="1">
      <c r="A32" s="61"/>
      <c r="B32" s="62"/>
      <c r="C32" s="36"/>
      <c r="D32" s="68"/>
      <c r="E32" s="36"/>
    </row>
    <row r="33" spans="1:5" s="71" customFormat="1" ht="12.75" customHeight="1">
      <c r="A33" s="30"/>
      <c r="B33" s="31" t="s">
        <v>3043</v>
      </c>
      <c r="C33" s="36">
        <v>73383</v>
      </c>
      <c r="D33" s="68"/>
      <c r="E33" s="36">
        <v>75834</v>
      </c>
    </row>
    <row r="34" spans="1:5" ht="9.75" customHeight="1">
      <c r="A34" s="61"/>
      <c r="B34" s="62"/>
      <c r="C34" s="36"/>
      <c r="D34" s="68"/>
      <c r="E34" s="36"/>
    </row>
    <row r="35" spans="1:5" s="71" customFormat="1" ht="12.75" customHeight="1">
      <c r="A35" s="23" t="s">
        <v>3044</v>
      </c>
      <c r="B35" s="24"/>
      <c r="C35" s="36"/>
      <c r="D35" s="68"/>
      <c r="E35" s="36"/>
    </row>
    <row r="36" spans="1:5" s="71" customFormat="1" ht="12.75" customHeight="1">
      <c r="A36" s="23" t="s">
        <v>3042</v>
      </c>
      <c r="B36" s="72"/>
      <c r="C36" s="39">
        <f>C31+C33</f>
        <v>-1162</v>
      </c>
      <c r="D36" s="69"/>
      <c r="E36" s="39">
        <f>E31+E33</f>
        <v>-4171</v>
      </c>
    </row>
    <row r="37" spans="1:5" ht="9.75" customHeight="1">
      <c r="A37" s="61"/>
      <c r="B37" s="62"/>
      <c r="C37" s="36"/>
      <c r="D37" s="68"/>
      <c r="E37" s="36"/>
    </row>
    <row r="38" spans="1:5" s="71" customFormat="1" ht="12.75" customHeight="1">
      <c r="A38" s="23" t="s">
        <v>3045</v>
      </c>
      <c r="B38" s="24"/>
      <c r="C38" s="36"/>
      <c r="D38" s="68"/>
      <c r="E38" s="36"/>
    </row>
    <row r="39" spans="1:5" s="71" customFormat="1" ht="12.75" customHeight="1">
      <c r="A39" s="30"/>
      <c r="B39" s="31" t="s">
        <v>3046</v>
      </c>
      <c r="C39" s="36">
        <v>0</v>
      </c>
      <c r="D39" s="68"/>
      <c r="E39" s="36">
        <v>70</v>
      </c>
    </row>
    <row r="40" spans="1:5" s="71" customFormat="1" ht="12.75" customHeight="1">
      <c r="A40" s="30"/>
      <c r="B40" s="31" t="s">
        <v>3047</v>
      </c>
      <c r="C40" s="36">
        <v>16296</v>
      </c>
      <c r="D40" s="68"/>
      <c r="E40" s="36">
        <v>8200</v>
      </c>
    </row>
    <row r="41" spans="1:5" s="71" customFormat="1" ht="12.75" customHeight="1">
      <c r="A41" s="30"/>
      <c r="B41" s="31" t="s">
        <v>3048</v>
      </c>
      <c r="C41" s="36">
        <v>12636</v>
      </c>
      <c r="D41" s="68"/>
      <c r="E41" s="36">
        <v>14819</v>
      </c>
    </row>
    <row r="42" spans="1:5" s="71" customFormat="1" ht="12.75" customHeight="1">
      <c r="A42" s="30"/>
      <c r="B42" s="31" t="s">
        <v>3049</v>
      </c>
      <c r="C42" s="36">
        <v>-1438</v>
      </c>
      <c r="D42" s="68"/>
      <c r="E42" s="36">
        <v>-1259</v>
      </c>
    </row>
    <row r="43" spans="1:5" s="71" customFormat="1" ht="12.75" customHeight="1">
      <c r="A43" s="30"/>
      <c r="B43" s="31" t="s">
        <v>3050</v>
      </c>
      <c r="C43" s="36">
        <v>-3</v>
      </c>
      <c r="D43" s="68"/>
      <c r="E43" s="36">
        <v>-6</v>
      </c>
    </row>
    <row r="44" spans="1:5" ht="9.75" customHeight="1">
      <c r="A44" s="61"/>
      <c r="B44" s="62"/>
      <c r="C44" s="36"/>
      <c r="D44" s="68"/>
      <c r="E44" s="36"/>
    </row>
    <row r="45" spans="1:5" s="70" customFormat="1" ht="12.75" customHeight="1">
      <c r="A45" s="23"/>
      <c r="B45" s="24" t="s">
        <v>3051</v>
      </c>
      <c r="C45" s="39"/>
      <c r="D45" s="69"/>
      <c r="E45" s="39"/>
    </row>
    <row r="46" spans="1:5" s="70" customFormat="1" ht="12.75" customHeight="1">
      <c r="A46" s="23"/>
      <c r="B46" s="24" t="s">
        <v>3052</v>
      </c>
      <c r="C46" s="39">
        <f>SUM(C39:C43)</f>
        <v>27491</v>
      </c>
      <c r="D46" s="69"/>
      <c r="E46" s="39">
        <f>SUM(E39:E43)</f>
        <v>21824</v>
      </c>
    </row>
    <row r="47" spans="1:5" ht="9.75" customHeight="1">
      <c r="A47" s="61"/>
      <c r="B47" s="62"/>
      <c r="C47" s="36"/>
      <c r="D47" s="68"/>
      <c r="E47" s="36"/>
    </row>
    <row r="48" spans="1:5" s="71" customFormat="1" ht="12.75" customHeight="1">
      <c r="A48" s="30"/>
      <c r="B48" s="31" t="s">
        <v>2969</v>
      </c>
      <c r="C48" s="36">
        <v>1799</v>
      </c>
      <c r="D48" s="68"/>
      <c r="E48" s="36">
        <v>1007</v>
      </c>
    </row>
    <row r="49" spans="1:5" s="67" customFormat="1" ht="12.75" customHeight="1">
      <c r="A49" s="30"/>
      <c r="B49" s="31" t="s">
        <v>3054</v>
      </c>
      <c r="C49" s="36">
        <v>0</v>
      </c>
      <c r="D49" s="68"/>
      <c r="E49" s="36">
        <v>1111</v>
      </c>
    </row>
    <row r="50" spans="1:5" s="67" customFormat="1" ht="12.75" customHeight="1">
      <c r="A50" s="30"/>
      <c r="B50" s="31" t="s">
        <v>3055</v>
      </c>
      <c r="C50" s="36">
        <v>2887</v>
      </c>
      <c r="D50" s="68"/>
      <c r="E50" s="36">
        <v>2644</v>
      </c>
    </row>
    <row r="51" spans="1:5" s="67" customFormat="1" ht="12.75" customHeight="1">
      <c r="A51" s="30"/>
      <c r="B51" s="31" t="s">
        <v>3056</v>
      </c>
      <c r="C51" s="36">
        <v>94</v>
      </c>
      <c r="D51" s="68"/>
      <c r="E51" s="36">
        <v>112</v>
      </c>
    </row>
    <row r="52" spans="1:5" s="67" customFormat="1" ht="12.75" customHeight="1">
      <c r="A52" s="30"/>
      <c r="B52" s="31" t="s">
        <v>3057</v>
      </c>
      <c r="C52" s="36">
        <v>664</v>
      </c>
      <c r="D52" s="68"/>
      <c r="E52" s="36">
        <v>540</v>
      </c>
    </row>
    <row r="53" spans="1:5" s="67" customFormat="1" ht="12.75" customHeight="1">
      <c r="A53" s="30"/>
      <c r="B53" s="31" t="s">
        <v>2970</v>
      </c>
      <c r="C53" s="36">
        <v>806</v>
      </c>
      <c r="D53" s="68"/>
      <c r="E53" s="36">
        <v>0</v>
      </c>
    </row>
    <row r="54" spans="1:5" ht="9.75" customHeight="1">
      <c r="A54" s="61"/>
      <c r="B54" s="62"/>
      <c r="C54" s="36"/>
      <c r="D54" s="68"/>
      <c r="E54" s="36"/>
    </row>
    <row r="55" spans="1:5" s="67" customFormat="1" ht="12.75" customHeight="1">
      <c r="A55" s="23"/>
      <c r="B55" s="62" t="s">
        <v>3058</v>
      </c>
      <c r="C55" s="39">
        <f>SUM(C46:C53)</f>
        <v>33741</v>
      </c>
      <c r="D55" s="69"/>
      <c r="E55" s="39">
        <f>SUM(E46:E53)</f>
        <v>27238</v>
      </c>
    </row>
    <row r="56" spans="1:5" ht="9.75" customHeight="1">
      <c r="A56" s="61"/>
      <c r="B56" s="62"/>
      <c r="C56" s="36"/>
      <c r="D56" s="68"/>
      <c r="E56" s="36"/>
    </row>
    <row r="57" spans="1:5" s="67" customFormat="1" ht="12.75" customHeight="1">
      <c r="A57" s="23"/>
      <c r="B57" s="24" t="s">
        <v>3059</v>
      </c>
      <c r="C57" s="39">
        <f>C36+C55</f>
        <v>32579</v>
      </c>
      <c r="D57" s="69"/>
      <c r="E57" s="39">
        <f>E36+E55</f>
        <v>23067</v>
      </c>
    </row>
    <row r="58" spans="1:5" ht="9.75" customHeight="1">
      <c r="A58" s="61"/>
      <c r="B58" s="62"/>
      <c r="C58" s="36"/>
      <c r="D58" s="68"/>
      <c r="E58" s="36"/>
    </row>
    <row r="59" spans="1:5" s="73" customFormat="1" ht="12.75" customHeight="1">
      <c r="A59" s="27" t="s">
        <v>2503</v>
      </c>
      <c r="C59" s="39">
        <v>276733</v>
      </c>
      <c r="D59" s="69"/>
      <c r="E59" s="39">
        <v>253666</v>
      </c>
    </row>
    <row r="60" spans="1:5" ht="9.75" customHeight="1">
      <c r="A60" s="61"/>
      <c r="B60" s="62"/>
      <c r="C60" s="32"/>
      <c r="E60" s="32"/>
    </row>
    <row r="61" spans="1:5" s="73" customFormat="1" ht="12.75" customHeight="1">
      <c r="A61" s="27" t="s">
        <v>3060</v>
      </c>
      <c r="B61" s="74"/>
      <c r="C61" s="41">
        <f>C59+C57</f>
        <v>309312</v>
      </c>
      <c r="D61" s="75"/>
      <c r="E61" s="41">
        <f>E59+E57</f>
        <v>276733</v>
      </c>
    </row>
    <row r="62" spans="1:5" s="67" customFormat="1" ht="12.75">
      <c r="A62" s="2"/>
      <c r="B62" s="2"/>
      <c r="C62" s="2"/>
      <c r="D62" s="2"/>
      <c r="E62" s="76"/>
    </row>
    <row r="63" spans="1:4" s="44" customFormat="1" ht="12.75">
      <c r="A63" s="2"/>
      <c r="D63" s="4"/>
    </row>
    <row r="64" spans="1:4" s="67" customFormat="1" ht="12.75">
      <c r="A64" s="2"/>
      <c r="B64" s="2"/>
      <c r="C64" s="2"/>
      <c r="D64" s="2"/>
    </row>
    <row r="65" spans="1:4" s="67" customFormat="1" ht="12.75">
      <c r="A65" s="2"/>
      <c r="B65" s="2"/>
      <c r="C65" s="2"/>
      <c r="D65" s="2"/>
    </row>
    <row r="66" spans="1:4" s="67" customFormat="1" ht="12.75">
      <c r="A66" s="2"/>
      <c r="B66" s="2"/>
      <c r="C66" s="2"/>
      <c r="D66" s="2"/>
    </row>
    <row r="67" spans="1:4" s="67" customFormat="1" ht="12.75">
      <c r="A67" s="2"/>
      <c r="B67" s="2"/>
      <c r="C67" s="2"/>
      <c r="D67" s="2"/>
    </row>
    <row r="68" spans="1:4" s="67" customFormat="1" ht="12.75">
      <c r="A68" s="2"/>
      <c r="B68" s="2"/>
      <c r="C68" s="2"/>
      <c r="D68" s="2"/>
    </row>
    <row r="69" spans="1:4" s="67" customFormat="1" ht="12.75">
      <c r="A69" s="2"/>
      <c r="B69" s="2"/>
      <c r="C69" s="2"/>
      <c r="D69" s="2"/>
    </row>
    <row r="70" spans="1:4" s="67" customFormat="1" ht="12.75">
      <c r="A70" s="2"/>
      <c r="B70" s="2"/>
      <c r="C70" s="2"/>
      <c r="D70" s="2"/>
    </row>
    <row r="71" spans="1:4" s="67" customFormat="1" ht="12.75">
      <c r="A71" s="2"/>
      <c r="B71" s="2"/>
      <c r="C71" s="2"/>
      <c r="D71" s="2"/>
    </row>
    <row r="72" spans="1:4" s="67" customFormat="1" ht="12.75">
      <c r="A72" s="2"/>
      <c r="B72" s="2"/>
      <c r="C72" s="2"/>
      <c r="D72" s="2"/>
    </row>
    <row r="73" spans="1:4" s="67" customFormat="1" ht="12.75">
      <c r="A73" s="2"/>
      <c r="B73" s="2"/>
      <c r="C73" s="2"/>
      <c r="D73" s="2"/>
    </row>
    <row r="74" spans="1:4" s="67" customFormat="1" ht="12.75">
      <c r="A74" s="2"/>
      <c r="B74" s="2"/>
      <c r="C74" s="2"/>
      <c r="D74" s="2"/>
    </row>
    <row r="75" spans="1:4" s="67" customFormat="1" ht="12.75">
      <c r="A75" s="2"/>
      <c r="B75" s="2"/>
      <c r="C75" s="2"/>
      <c r="D75" s="2"/>
    </row>
    <row r="76" spans="1:4" s="67" customFormat="1" ht="12.75">
      <c r="A76" s="2"/>
      <c r="B76" s="2"/>
      <c r="C76" s="2"/>
      <c r="D76" s="2"/>
    </row>
    <row r="77" spans="1:4" s="67" customFormat="1" ht="12.75">
      <c r="A77" s="2"/>
      <c r="B77" s="2"/>
      <c r="C77" s="2"/>
      <c r="D77" s="2"/>
    </row>
    <row r="78" spans="1:4" s="67" customFormat="1" ht="12.75">
      <c r="A78" s="2"/>
      <c r="B78" s="2"/>
      <c r="C78" s="2"/>
      <c r="D78" s="2"/>
    </row>
    <row r="79" spans="1:4" s="67" customFormat="1" ht="12.75">
      <c r="A79" s="2"/>
      <c r="B79" s="2"/>
      <c r="C79" s="2"/>
      <c r="D79" s="2"/>
    </row>
    <row r="80" spans="1:4" s="67" customFormat="1" ht="12.75">
      <c r="A80" s="2"/>
      <c r="B80" s="2"/>
      <c r="C80" s="2"/>
      <c r="D80" s="2"/>
    </row>
    <row r="81" spans="1:4" s="67" customFormat="1" ht="12.75">
      <c r="A81" s="2"/>
      <c r="B81" s="2"/>
      <c r="C81" s="2"/>
      <c r="D81" s="2"/>
    </row>
    <row r="82" spans="1:4" s="67" customFormat="1" ht="12.75">
      <c r="A82" s="2"/>
      <c r="B82" s="2"/>
      <c r="C82" s="2"/>
      <c r="D82" s="2"/>
    </row>
    <row r="83" spans="1:4" s="67" customFormat="1" ht="12.75">
      <c r="A83" s="2"/>
      <c r="B83" s="2"/>
      <c r="C83" s="2"/>
      <c r="D83" s="2"/>
    </row>
    <row r="84" spans="1:4" s="67" customFormat="1" ht="12.75">
      <c r="A84" s="2"/>
      <c r="B84" s="2"/>
      <c r="C84" s="2"/>
      <c r="D84" s="2"/>
    </row>
    <row r="85" spans="1:4" s="67" customFormat="1" ht="12.75">
      <c r="A85" s="2"/>
      <c r="B85" s="2"/>
      <c r="C85" s="2"/>
      <c r="D85" s="2"/>
    </row>
    <row r="86" spans="1:4" s="67" customFormat="1" ht="12.75">
      <c r="A86" s="2"/>
      <c r="B86" s="2"/>
      <c r="C86" s="2"/>
      <c r="D86" s="2"/>
    </row>
    <row r="87" spans="1:4" s="67" customFormat="1" ht="12.75">
      <c r="A87" s="2"/>
      <c r="B87" s="2"/>
      <c r="C87" s="2"/>
      <c r="D87" s="2"/>
    </row>
    <row r="88" spans="1:4" s="67" customFormat="1" ht="12.75">
      <c r="A88" s="2"/>
      <c r="B88" s="2"/>
      <c r="C88" s="2"/>
      <c r="D88" s="2"/>
    </row>
    <row r="89" spans="1:4" s="67" customFormat="1" ht="12.75">
      <c r="A89" s="2"/>
      <c r="B89" s="2"/>
      <c r="C89" s="2"/>
      <c r="D89" s="2"/>
    </row>
    <row r="90" spans="1:4" s="67" customFormat="1" ht="12.75">
      <c r="A90" s="2"/>
      <c r="B90" s="2"/>
      <c r="C90" s="2"/>
      <c r="D90" s="2"/>
    </row>
    <row r="91" spans="1:4" s="67" customFormat="1" ht="12.75">
      <c r="A91" s="2"/>
      <c r="B91" s="2"/>
      <c r="C91" s="2"/>
      <c r="D91" s="2"/>
    </row>
    <row r="92" spans="1:4" s="67" customFormat="1" ht="12.75">
      <c r="A92" s="2"/>
      <c r="B92" s="2"/>
      <c r="C92" s="2"/>
      <c r="D92" s="2"/>
    </row>
    <row r="93" spans="1:4" s="67" customFormat="1" ht="12.75">
      <c r="A93" s="2"/>
      <c r="B93" s="2"/>
      <c r="C93" s="2"/>
      <c r="D93" s="2"/>
    </row>
    <row r="94" spans="1:4" s="67" customFormat="1" ht="12.75">
      <c r="A94" s="2"/>
      <c r="B94" s="2"/>
      <c r="C94" s="2"/>
      <c r="D94" s="2"/>
    </row>
    <row r="95" spans="1:4" s="67" customFormat="1" ht="12.75">
      <c r="A95" s="2"/>
      <c r="B95" s="2"/>
      <c r="C95" s="2"/>
      <c r="D95" s="2"/>
    </row>
    <row r="96" spans="1:4" s="67" customFormat="1" ht="12.75">
      <c r="A96" s="2"/>
      <c r="B96" s="2"/>
      <c r="C96" s="2"/>
      <c r="D96" s="2"/>
    </row>
    <row r="97" spans="1:4" s="67" customFormat="1" ht="12.75">
      <c r="A97" s="2"/>
      <c r="B97" s="2"/>
      <c r="C97" s="2"/>
      <c r="D97" s="2"/>
    </row>
    <row r="98" spans="1:4" s="67" customFormat="1" ht="12.75">
      <c r="A98" s="2"/>
      <c r="B98" s="2"/>
      <c r="C98" s="2"/>
      <c r="D98" s="2"/>
    </row>
    <row r="99" spans="1:4" s="67" customFormat="1" ht="12.75">
      <c r="A99" s="2"/>
      <c r="B99" s="2"/>
      <c r="C99" s="2"/>
      <c r="D99" s="2"/>
    </row>
    <row r="100" spans="1:4" s="67" customFormat="1" ht="12.75">
      <c r="A100" s="2"/>
      <c r="B100" s="2"/>
      <c r="C100" s="2"/>
      <c r="D100" s="2"/>
    </row>
    <row r="101" spans="1:4" s="67" customFormat="1" ht="12.75">
      <c r="A101" s="2"/>
      <c r="B101" s="2"/>
      <c r="C101" s="2"/>
      <c r="D101" s="2"/>
    </row>
    <row r="102" spans="1:4" s="67" customFormat="1" ht="12.75">
      <c r="A102" s="2"/>
      <c r="B102" s="2"/>
      <c r="C102" s="2"/>
      <c r="D102" s="2"/>
    </row>
    <row r="103" spans="1:4" s="67" customFormat="1" ht="12.75">
      <c r="A103" s="2"/>
      <c r="B103" s="2"/>
      <c r="C103" s="2"/>
      <c r="D103" s="2"/>
    </row>
    <row r="104" spans="1:4" s="67" customFormat="1" ht="12.75">
      <c r="A104" s="2"/>
      <c r="B104" s="2"/>
      <c r="C104" s="2"/>
      <c r="D104" s="2"/>
    </row>
    <row r="105" spans="1:4" s="67" customFormat="1" ht="12.75">
      <c r="A105" s="2"/>
      <c r="B105" s="2"/>
      <c r="C105" s="2"/>
      <c r="D105" s="2"/>
    </row>
    <row r="106" spans="1:4" s="67" customFormat="1" ht="12.75">
      <c r="A106" s="2"/>
      <c r="B106" s="2"/>
      <c r="C106" s="2"/>
      <c r="D106" s="2"/>
    </row>
    <row r="107" spans="1:4" s="67" customFormat="1" ht="12.75">
      <c r="A107" s="2"/>
      <c r="B107" s="2"/>
      <c r="C107" s="2"/>
      <c r="D107" s="2"/>
    </row>
    <row r="108" spans="1:4" s="67" customFormat="1" ht="12.75">
      <c r="A108" s="2"/>
      <c r="B108" s="2"/>
      <c r="C108" s="2"/>
      <c r="D108" s="2"/>
    </row>
    <row r="109" spans="1:4" s="67" customFormat="1" ht="12.75">
      <c r="A109" s="2"/>
      <c r="B109" s="2"/>
      <c r="C109" s="2"/>
      <c r="D109" s="2"/>
    </row>
    <row r="110" spans="1:4" s="67" customFormat="1" ht="12.75">
      <c r="A110" s="2"/>
      <c r="B110" s="2"/>
      <c r="C110" s="2"/>
      <c r="D110" s="2"/>
    </row>
    <row r="111" spans="1:4" s="67" customFormat="1" ht="12.75">
      <c r="A111" s="2"/>
      <c r="B111" s="2"/>
      <c r="C111" s="2"/>
      <c r="D111" s="2"/>
    </row>
    <row r="112" spans="1:4" s="67" customFormat="1" ht="12.75">
      <c r="A112" s="2"/>
      <c r="B112" s="2"/>
      <c r="C112" s="2"/>
      <c r="D112" s="2"/>
    </row>
    <row r="113" spans="1:4" s="67" customFormat="1" ht="12.75">
      <c r="A113" s="2"/>
      <c r="B113" s="2"/>
      <c r="C113" s="2"/>
      <c r="D113" s="2"/>
    </row>
    <row r="114" spans="1:4" s="67" customFormat="1" ht="12.75">
      <c r="A114" s="2"/>
      <c r="B114" s="2"/>
      <c r="C114" s="2"/>
      <c r="D114" s="2"/>
    </row>
    <row r="115" spans="1:4" s="67" customFormat="1" ht="12.75">
      <c r="A115" s="2"/>
      <c r="B115" s="2"/>
      <c r="C115" s="2"/>
      <c r="D115" s="2"/>
    </row>
    <row r="116" spans="1:4" s="67" customFormat="1" ht="12.75">
      <c r="A116" s="2"/>
      <c r="B116" s="2"/>
      <c r="C116" s="2"/>
      <c r="D116" s="2"/>
    </row>
    <row r="117" spans="1:4" s="67" customFormat="1" ht="12.75">
      <c r="A117" s="2"/>
      <c r="B117" s="2"/>
      <c r="C117" s="2"/>
      <c r="D117" s="2"/>
    </row>
    <row r="118" spans="1:4" s="67" customFormat="1" ht="12.75">
      <c r="A118" s="2"/>
      <c r="B118" s="2"/>
      <c r="C118" s="2"/>
      <c r="D118" s="2"/>
    </row>
    <row r="119" spans="1:4" s="67" customFormat="1" ht="12.75">
      <c r="A119" s="2"/>
      <c r="B119" s="2"/>
      <c r="C119" s="2"/>
      <c r="D119" s="2"/>
    </row>
    <row r="120" spans="1:4" s="67" customFormat="1" ht="12.75">
      <c r="A120" s="2"/>
      <c r="B120" s="2"/>
      <c r="C120" s="2"/>
      <c r="D120" s="2"/>
    </row>
    <row r="121" spans="1:4" s="67" customFormat="1" ht="12.75">
      <c r="A121" s="2"/>
      <c r="B121" s="2"/>
      <c r="C121" s="2"/>
      <c r="D121" s="2"/>
    </row>
    <row r="122" spans="1:4" s="67" customFormat="1" ht="12.75">
      <c r="A122" s="2"/>
      <c r="B122" s="2"/>
      <c r="C122" s="2"/>
      <c r="D122" s="2"/>
    </row>
    <row r="123" spans="1:4" s="67" customFormat="1" ht="12.75">
      <c r="A123" s="2"/>
      <c r="B123" s="2"/>
      <c r="C123" s="2"/>
      <c r="D123" s="2"/>
    </row>
    <row r="124" spans="1:4" s="67" customFormat="1" ht="12.75">
      <c r="A124" s="2"/>
      <c r="B124" s="2"/>
      <c r="C124" s="2"/>
      <c r="D124" s="2"/>
    </row>
    <row r="125" spans="1:4" s="67" customFormat="1" ht="12.75">
      <c r="A125" s="2"/>
      <c r="B125" s="2"/>
      <c r="C125" s="2"/>
      <c r="D125" s="2"/>
    </row>
    <row r="126" spans="1:4" s="67" customFormat="1" ht="12.75">
      <c r="A126" s="2"/>
      <c r="B126" s="2"/>
      <c r="C126" s="2"/>
      <c r="D126" s="2"/>
    </row>
    <row r="127" spans="1:4" s="67" customFormat="1" ht="12.75">
      <c r="A127" s="2"/>
      <c r="B127" s="2"/>
      <c r="C127" s="2"/>
      <c r="D127" s="2"/>
    </row>
    <row r="128" spans="1:4" s="67" customFormat="1" ht="12.75">
      <c r="A128" s="2"/>
      <c r="B128" s="2"/>
      <c r="C128" s="2"/>
      <c r="D128" s="2"/>
    </row>
    <row r="129" spans="1:4" s="67" customFormat="1" ht="12.75">
      <c r="A129" s="2"/>
      <c r="B129" s="2"/>
      <c r="C129" s="2"/>
      <c r="D129" s="2"/>
    </row>
    <row r="130" spans="1:4" s="67" customFormat="1" ht="12.75">
      <c r="A130" s="2"/>
      <c r="B130" s="2"/>
      <c r="C130" s="2"/>
      <c r="D130" s="2"/>
    </row>
    <row r="131" spans="1:4" s="67" customFormat="1" ht="12.75">
      <c r="A131" s="2"/>
      <c r="B131" s="2"/>
      <c r="C131" s="2"/>
      <c r="D131" s="2"/>
    </row>
    <row r="132" spans="1:4" s="67" customFormat="1" ht="12.75">
      <c r="A132" s="2"/>
      <c r="B132" s="2"/>
      <c r="C132" s="2"/>
      <c r="D132" s="2"/>
    </row>
    <row r="133" spans="1:4" s="67" customFormat="1" ht="12.75">
      <c r="A133" s="2"/>
      <c r="B133" s="2"/>
      <c r="C133" s="2"/>
      <c r="D133" s="2"/>
    </row>
    <row r="134" spans="1:4" s="67" customFormat="1" ht="12.75">
      <c r="A134" s="2"/>
      <c r="B134" s="2"/>
      <c r="C134" s="2"/>
      <c r="D134" s="2"/>
    </row>
    <row r="135" spans="1:4" s="67" customFormat="1" ht="12.75">
      <c r="A135" s="2"/>
      <c r="B135" s="2"/>
      <c r="C135" s="2"/>
      <c r="D135" s="2"/>
    </row>
    <row r="136" spans="1:4" s="67" customFormat="1" ht="12.75">
      <c r="A136" s="2"/>
      <c r="B136" s="2"/>
      <c r="C136" s="2"/>
      <c r="D136" s="2"/>
    </row>
    <row r="137" spans="1:4" s="67" customFormat="1" ht="12.75">
      <c r="A137" s="2"/>
      <c r="B137" s="2"/>
      <c r="C137" s="2"/>
      <c r="D137" s="2"/>
    </row>
    <row r="138" spans="1:4" s="67" customFormat="1" ht="12.75">
      <c r="A138" s="2"/>
      <c r="B138" s="2"/>
      <c r="C138" s="2"/>
      <c r="D138" s="2"/>
    </row>
    <row r="139" spans="1:4" s="67" customFormat="1" ht="12.75">
      <c r="A139" s="2"/>
      <c r="B139" s="2"/>
      <c r="C139" s="2"/>
      <c r="D139" s="2"/>
    </row>
    <row r="140" spans="1:4" s="67" customFormat="1" ht="12.75">
      <c r="A140" s="2"/>
      <c r="B140" s="2"/>
      <c r="C140" s="2"/>
      <c r="D140" s="2"/>
    </row>
    <row r="141" spans="1:4" s="67" customFormat="1" ht="12.75">
      <c r="A141" s="2"/>
      <c r="B141" s="2"/>
      <c r="C141" s="2"/>
      <c r="D141" s="2"/>
    </row>
    <row r="142" spans="1:4" s="67" customFormat="1" ht="12.75">
      <c r="A142" s="2"/>
      <c r="B142" s="2"/>
      <c r="C142" s="2"/>
      <c r="D142" s="2"/>
    </row>
    <row r="143" spans="1:4" s="67" customFormat="1" ht="12.75">
      <c r="A143" s="2"/>
      <c r="B143" s="2"/>
      <c r="C143" s="2"/>
      <c r="D143" s="2"/>
    </row>
    <row r="144" spans="1:4" s="67" customFormat="1" ht="12.75">
      <c r="A144" s="2"/>
      <c r="B144" s="2"/>
      <c r="C144" s="2"/>
      <c r="D144" s="2"/>
    </row>
    <row r="145" spans="1:4" s="67" customFormat="1" ht="12.75">
      <c r="A145" s="2"/>
      <c r="B145" s="2"/>
      <c r="C145" s="2"/>
      <c r="D145" s="2"/>
    </row>
    <row r="146" spans="1:4" s="67" customFormat="1" ht="12.75">
      <c r="A146" s="2"/>
      <c r="B146" s="2"/>
      <c r="C146" s="2"/>
      <c r="D146" s="2"/>
    </row>
    <row r="147" spans="1:4" s="67" customFormat="1" ht="12.75">
      <c r="A147" s="2"/>
      <c r="B147" s="2"/>
      <c r="C147" s="2"/>
      <c r="D147" s="2"/>
    </row>
    <row r="148" spans="1:4" s="67" customFormat="1" ht="12.75">
      <c r="A148" s="2"/>
      <c r="B148" s="2"/>
      <c r="C148" s="2"/>
      <c r="D148" s="2"/>
    </row>
    <row r="149" spans="1:4" s="67" customFormat="1" ht="12.75">
      <c r="A149" s="2"/>
      <c r="B149" s="2"/>
      <c r="C149" s="2"/>
      <c r="D149" s="2"/>
    </row>
    <row r="150" spans="1:4" s="67" customFormat="1" ht="12.75">
      <c r="A150" s="2"/>
      <c r="B150" s="2"/>
      <c r="C150" s="2"/>
      <c r="D150" s="2"/>
    </row>
    <row r="151" spans="1:4" s="67" customFormat="1" ht="12.75">
      <c r="A151" s="2"/>
      <c r="B151" s="2"/>
      <c r="C151" s="2"/>
      <c r="D151" s="2"/>
    </row>
    <row r="152" spans="1:4" s="67" customFormat="1" ht="12.75">
      <c r="A152" s="2"/>
      <c r="B152" s="2"/>
      <c r="C152" s="2"/>
      <c r="D152" s="2"/>
    </row>
    <row r="153" spans="1:4" s="67" customFormat="1" ht="12.75">
      <c r="A153" s="2"/>
      <c r="B153" s="2"/>
      <c r="C153" s="2"/>
      <c r="D153" s="2"/>
    </row>
    <row r="154" spans="1:4" s="67" customFormat="1" ht="12.75">
      <c r="A154" s="2"/>
      <c r="B154" s="2"/>
      <c r="C154" s="2"/>
      <c r="D154" s="2"/>
    </row>
    <row r="155" spans="1:4" s="67" customFormat="1" ht="12.75">
      <c r="A155" s="2"/>
      <c r="B155" s="2"/>
      <c r="C155" s="2"/>
      <c r="D155" s="2"/>
    </row>
    <row r="156" spans="1:4" s="67" customFormat="1" ht="12.75">
      <c r="A156" s="2"/>
      <c r="B156" s="2"/>
      <c r="C156" s="2"/>
      <c r="D156" s="2"/>
    </row>
    <row r="157" spans="1:4" s="67" customFormat="1" ht="12.75">
      <c r="A157" s="2"/>
      <c r="B157" s="2"/>
      <c r="C157" s="2"/>
      <c r="D157" s="2"/>
    </row>
    <row r="158" spans="1:4" s="67" customFormat="1" ht="12.75">
      <c r="A158" s="2"/>
      <c r="B158" s="2"/>
      <c r="C158" s="2"/>
      <c r="D158" s="2"/>
    </row>
    <row r="159" spans="1:4" s="67" customFormat="1" ht="12.75">
      <c r="A159" s="2"/>
      <c r="B159" s="2"/>
      <c r="C159" s="2"/>
      <c r="D159" s="2"/>
    </row>
    <row r="160" spans="1:4" s="67" customFormat="1" ht="12.75">
      <c r="A160" s="2"/>
      <c r="B160" s="2"/>
      <c r="C160" s="2"/>
      <c r="D160" s="2"/>
    </row>
    <row r="161" spans="1:4" s="67" customFormat="1" ht="12.75">
      <c r="A161" s="2"/>
      <c r="B161" s="2"/>
      <c r="C161" s="2"/>
      <c r="D161" s="2"/>
    </row>
    <row r="162" spans="1:4" s="67" customFormat="1" ht="12.75">
      <c r="A162" s="2"/>
      <c r="B162" s="2"/>
      <c r="C162" s="2"/>
      <c r="D162" s="2"/>
    </row>
    <row r="163" spans="1:4" s="67" customFormat="1" ht="12.75">
      <c r="A163" s="2"/>
      <c r="B163" s="2"/>
      <c r="C163" s="2"/>
      <c r="D163" s="2"/>
    </row>
    <row r="164" spans="1:4" s="67" customFormat="1" ht="12.75">
      <c r="A164" s="2"/>
      <c r="B164" s="2"/>
      <c r="C164" s="2"/>
      <c r="D164" s="2"/>
    </row>
    <row r="165" spans="1:4" s="67" customFormat="1" ht="12.75">
      <c r="A165" s="2"/>
      <c r="B165" s="2"/>
      <c r="C165" s="2"/>
      <c r="D165" s="2"/>
    </row>
    <row r="166" spans="1:4" s="67" customFormat="1" ht="12.75">
      <c r="A166" s="2"/>
      <c r="B166" s="2"/>
      <c r="C166" s="2"/>
      <c r="D166" s="2"/>
    </row>
    <row r="167" spans="1:4" s="67" customFormat="1" ht="12.75">
      <c r="A167" s="2"/>
      <c r="B167" s="2"/>
      <c r="C167" s="2"/>
      <c r="D167" s="2"/>
    </row>
    <row r="168" spans="1:4" s="67" customFormat="1" ht="12.75">
      <c r="A168" s="2"/>
      <c r="B168" s="2"/>
      <c r="C168" s="2"/>
      <c r="D168" s="2"/>
    </row>
    <row r="169" spans="1:4" s="67" customFormat="1" ht="12.75">
      <c r="A169" s="2"/>
      <c r="B169" s="2"/>
      <c r="C169" s="2"/>
      <c r="D169" s="2"/>
    </row>
    <row r="170" spans="1:4" s="67" customFormat="1" ht="12.75">
      <c r="A170" s="2"/>
      <c r="B170" s="2"/>
      <c r="C170" s="2"/>
      <c r="D170" s="2"/>
    </row>
    <row r="171" spans="1:4" s="67" customFormat="1" ht="12.75">
      <c r="A171" s="2"/>
      <c r="B171" s="2"/>
      <c r="C171" s="2"/>
      <c r="D171" s="2"/>
    </row>
    <row r="172" spans="1:4" s="67" customFormat="1" ht="12.75">
      <c r="A172" s="2"/>
      <c r="B172" s="2"/>
      <c r="C172" s="2"/>
      <c r="D172" s="2"/>
    </row>
    <row r="173" spans="1:4" s="67" customFormat="1" ht="12.75">
      <c r="A173" s="2"/>
      <c r="B173" s="2"/>
      <c r="C173" s="2"/>
      <c r="D173" s="2"/>
    </row>
    <row r="174" spans="1:4" s="67" customFormat="1" ht="12.75">
      <c r="A174" s="2"/>
      <c r="B174" s="2"/>
      <c r="C174" s="2"/>
      <c r="D174" s="2"/>
    </row>
    <row r="175" spans="1:4" s="67" customFormat="1" ht="12.75">
      <c r="A175" s="2"/>
      <c r="B175" s="2"/>
      <c r="C175" s="2"/>
      <c r="D175" s="2"/>
    </row>
    <row r="176" spans="1:4" s="67" customFormat="1" ht="12.75">
      <c r="A176" s="2"/>
      <c r="B176" s="2"/>
      <c r="C176" s="2"/>
      <c r="D176" s="2"/>
    </row>
    <row r="177" spans="1:4" s="67" customFormat="1" ht="12.75">
      <c r="A177" s="2"/>
      <c r="B177" s="2"/>
      <c r="C177" s="2"/>
      <c r="D177" s="2"/>
    </row>
    <row r="178" spans="1:4" s="67" customFormat="1" ht="12.75">
      <c r="A178" s="2"/>
      <c r="B178" s="2"/>
      <c r="C178" s="2"/>
      <c r="D178" s="2"/>
    </row>
    <row r="179" spans="1:4" s="67" customFormat="1" ht="12.75">
      <c r="A179" s="2"/>
      <c r="B179" s="2"/>
      <c r="C179" s="2"/>
      <c r="D179" s="2"/>
    </row>
    <row r="180" spans="1:4" s="67" customFormat="1" ht="12.75">
      <c r="A180" s="2"/>
      <c r="B180" s="2"/>
      <c r="C180" s="2"/>
      <c r="D180" s="2"/>
    </row>
    <row r="181" spans="1:4" s="67" customFormat="1" ht="12.75">
      <c r="A181" s="2"/>
      <c r="B181" s="2"/>
      <c r="C181" s="2"/>
      <c r="D181" s="2"/>
    </row>
    <row r="182" spans="1:4" s="67" customFormat="1" ht="12.75">
      <c r="A182" s="2"/>
      <c r="B182" s="2"/>
      <c r="C182" s="2"/>
      <c r="D182" s="2"/>
    </row>
    <row r="183" spans="1:4" s="67" customFormat="1" ht="12.75">
      <c r="A183" s="2"/>
      <c r="B183" s="2"/>
      <c r="C183" s="2"/>
      <c r="D183" s="2"/>
    </row>
    <row r="184" spans="1:4" s="67" customFormat="1" ht="12.75">
      <c r="A184" s="2"/>
      <c r="B184" s="2"/>
      <c r="C184" s="2"/>
      <c r="D184" s="2"/>
    </row>
    <row r="185" spans="1:4" s="67" customFormat="1" ht="12.75">
      <c r="A185" s="2"/>
      <c r="B185" s="2"/>
      <c r="C185" s="2"/>
      <c r="D185" s="2"/>
    </row>
    <row r="186" spans="1:4" s="67" customFormat="1" ht="12.75">
      <c r="A186" s="2"/>
      <c r="B186" s="2"/>
      <c r="C186" s="2"/>
      <c r="D186" s="2"/>
    </row>
    <row r="187" spans="1:4" s="67" customFormat="1" ht="12.75">
      <c r="A187" s="2"/>
      <c r="B187" s="2"/>
      <c r="C187" s="2"/>
      <c r="D187" s="2"/>
    </row>
    <row r="188" spans="1:4" s="67" customFormat="1" ht="12.75">
      <c r="A188" s="2"/>
      <c r="B188" s="2"/>
      <c r="C188" s="2"/>
      <c r="D188" s="2"/>
    </row>
    <row r="189" spans="1:4" s="67" customFormat="1" ht="12.75">
      <c r="A189" s="2"/>
      <c r="B189" s="2"/>
      <c r="C189" s="2"/>
      <c r="D189" s="2"/>
    </row>
    <row r="190" spans="1:4" s="67" customFormat="1" ht="12.75">
      <c r="A190" s="2"/>
      <c r="B190" s="2"/>
      <c r="C190" s="2"/>
      <c r="D190" s="2"/>
    </row>
    <row r="191" spans="1:4" s="67" customFormat="1" ht="12.75">
      <c r="A191" s="2"/>
      <c r="B191" s="2"/>
      <c r="C191" s="2"/>
      <c r="D191" s="2"/>
    </row>
    <row r="192" spans="1:4" s="67" customFormat="1" ht="12.75">
      <c r="A192" s="2"/>
      <c r="B192" s="2"/>
      <c r="C192" s="2"/>
      <c r="D192" s="2"/>
    </row>
    <row r="193" spans="1:4" s="67" customFormat="1" ht="12.75">
      <c r="A193" s="2"/>
      <c r="B193" s="2"/>
      <c r="C193" s="2"/>
      <c r="D193" s="2"/>
    </row>
    <row r="194" spans="1:4" s="67" customFormat="1" ht="12.75">
      <c r="A194" s="2"/>
      <c r="B194" s="2"/>
      <c r="C194" s="2"/>
      <c r="D194" s="2"/>
    </row>
    <row r="195" spans="1:4" s="67" customFormat="1" ht="12.75">
      <c r="A195" s="2"/>
      <c r="B195" s="2"/>
      <c r="C195" s="2"/>
      <c r="D195" s="2"/>
    </row>
    <row r="196" spans="1:4" s="67" customFormat="1" ht="12.75">
      <c r="A196" s="2"/>
      <c r="B196" s="2"/>
      <c r="C196" s="2"/>
      <c r="D196" s="2"/>
    </row>
    <row r="197" spans="1:4" s="67" customFormat="1" ht="12.75">
      <c r="A197" s="2"/>
      <c r="B197" s="2"/>
      <c r="C197" s="2"/>
      <c r="D197" s="2"/>
    </row>
    <row r="198" spans="1:4" s="67" customFormat="1" ht="12.75">
      <c r="A198" s="2"/>
      <c r="B198" s="2"/>
      <c r="C198" s="2"/>
      <c r="D198" s="2"/>
    </row>
    <row r="199" spans="1:4" s="67" customFormat="1" ht="12.75">
      <c r="A199" s="2"/>
      <c r="B199" s="2"/>
      <c r="C199" s="2"/>
      <c r="D199" s="2"/>
    </row>
    <row r="200" spans="1:4" s="67" customFormat="1" ht="12.75">
      <c r="A200" s="2"/>
      <c r="B200" s="2"/>
      <c r="C200" s="2"/>
      <c r="D200" s="2"/>
    </row>
    <row r="201" spans="1:4" s="67" customFormat="1" ht="12.75">
      <c r="A201" s="2"/>
      <c r="B201" s="2"/>
      <c r="C201" s="2"/>
      <c r="D201" s="2"/>
    </row>
    <row r="202" spans="1:4" s="67" customFormat="1" ht="12.75">
      <c r="A202" s="2"/>
      <c r="B202" s="2"/>
      <c r="C202" s="2"/>
      <c r="D202" s="2"/>
    </row>
    <row r="203" spans="1:4" s="67" customFormat="1" ht="12.75">
      <c r="A203" s="2"/>
      <c r="B203" s="2"/>
      <c r="C203" s="2"/>
      <c r="D203" s="2"/>
    </row>
    <row r="204" spans="1:4" s="67" customFormat="1" ht="12.75">
      <c r="A204" s="2"/>
      <c r="B204" s="2"/>
      <c r="C204" s="2"/>
      <c r="D204" s="2"/>
    </row>
    <row r="205" spans="1:4" s="67" customFormat="1" ht="12.75">
      <c r="A205" s="2"/>
      <c r="B205" s="2"/>
      <c r="C205" s="2"/>
      <c r="D205" s="2"/>
    </row>
    <row r="206" spans="1:4" s="67" customFormat="1" ht="12.75">
      <c r="A206" s="2"/>
      <c r="B206" s="2"/>
      <c r="C206" s="2"/>
      <c r="D206" s="2"/>
    </row>
    <row r="207" spans="1:4" s="67" customFormat="1" ht="12.75">
      <c r="A207" s="2"/>
      <c r="B207" s="2"/>
      <c r="C207" s="2"/>
      <c r="D207" s="2"/>
    </row>
    <row r="208" spans="1:4" s="67" customFormat="1" ht="12.75">
      <c r="A208" s="2"/>
      <c r="B208" s="2"/>
      <c r="C208" s="2"/>
      <c r="D208" s="2"/>
    </row>
    <row r="209" spans="1:4" s="67" customFormat="1" ht="12.75">
      <c r="A209" s="2"/>
      <c r="B209" s="2"/>
      <c r="C209" s="2"/>
      <c r="D209" s="2"/>
    </row>
    <row r="210" spans="1:4" s="67" customFormat="1" ht="12.75">
      <c r="A210" s="2"/>
      <c r="B210" s="2"/>
      <c r="C210" s="2"/>
      <c r="D210" s="2"/>
    </row>
    <row r="211" spans="1:4" s="67" customFormat="1" ht="12.75">
      <c r="A211" s="2"/>
      <c r="B211" s="2"/>
      <c r="C211" s="2"/>
      <c r="D211" s="2"/>
    </row>
    <row r="212" spans="1:4" s="67" customFormat="1" ht="12.75">
      <c r="A212" s="2"/>
      <c r="B212" s="2"/>
      <c r="C212" s="2"/>
      <c r="D212" s="2"/>
    </row>
    <row r="213" spans="1:4" s="67" customFormat="1" ht="12.75">
      <c r="A213" s="2"/>
      <c r="B213" s="2"/>
      <c r="C213" s="2"/>
      <c r="D213" s="2"/>
    </row>
    <row r="214" spans="1:4" s="67" customFormat="1" ht="12.75">
      <c r="A214" s="2"/>
      <c r="B214" s="2"/>
      <c r="C214" s="2"/>
      <c r="D214" s="2"/>
    </row>
    <row r="215" spans="1:4" s="67" customFormat="1" ht="12.75">
      <c r="A215" s="2"/>
      <c r="B215" s="2"/>
      <c r="C215" s="2"/>
      <c r="D215" s="2"/>
    </row>
    <row r="216" spans="1:4" s="67" customFormat="1" ht="12.75">
      <c r="A216" s="2"/>
      <c r="B216" s="2"/>
      <c r="C216" s="2"/>
      <c r="D216" s="2"/>
    </row>
    <row r="217" spans="1:4" s="67" customFormat="1" ht="12.75">
      <c r="A217" s="2"/>
      <c r="B217" s="2"/>
      <c r="C217" s="2"/>
      <c r="D217" s="2"/>
    </row>
    <row r="218" spans="1:4" s="67" customFormat="1" ht="12.75">
      <c r="A218" s="2"/>
      <c r="B218" s="2"/>
      <c r="C218" s="2"/>
      <c r="D218" s="2"/>
    </row>
    <row r="219" spans="1:4" s="67" customFormat="1" ht="12.75">
      <c r="A219" s="2"/>
      <c r="B219" s="2"/>
      <c r="C219" s="2"/>
      <c r="D219" s="2"/>
    </row>
    <row r="220" spans="1:4" s="67" customFormat="1" ht="12.75">
      <c r="A220" s="2"/>
      <c r="B220" s="2"/>
      <c r="C220" s="2"/>
      <c r="D220" s="2"/>
    </row>
    <row r="221" spans="1:4" s="67" customFormat="1" ht="12.75">
      <c r="A221" s="2"/>
      <c r="B221" s="2"/>
      <c r="C221" s="2"/>
      <c r="D221" s="2"/>
    </row>
    <row r="222" spans="1:4" s="67" customFormat="1" ht="12.75">
      <c r="A222" s="2"/>
      <c r="B222" s="2"/>
      <c r="C222" s="2"/>
      <c r="D222" s="2"/>
    </row>
    <row r="223" spans="1:4" s="67" customFormat="1" ht="12.75">
      <c r="A223" s="2"/>
      <c r="B223" s="2"/>
      <c r="C223" s="2"/>
      <c r="D223" s="2"/>
    </row>
    <row r="224" spans="1:4" s="67" customFormat="1" ht="12.75">
      <c r="A224" s="2"/>
      <c r="B224" s="2"/>
      <c r="C224" s="2"/>
      <c r="D224" s="2"/>
    </row>
    <row r="225" spans="1:4" s="67" customFormat="1" ht="12.75">
      <c r="A225" s="2"/>
      <c r="B225" s="2"/>
      <c r="C225" s="2"/>
      <c r="D225" s="2"/>
    </row>
    <row r="226" spans="1:4" s="67" customFormat="1" ht="12.75">
      <c r="A226" s="2"/>
      <c r="B226" s="2"/>
      <c r="C226" s="2"/>
      <c r="D226" s="2"/>
    </row>
    <row r="227" spans="1:4" s="67" customFormat="1" ht="12.75">
      <c r="A227" s="2"/>
      <c r="B227" s="2"/>
      <c r="C227" s="2"/>
      <c r="D227" s="2"/>
    </row>
    <row r="228" spans="1:4" s="67" customFormat="1" ht="12.75">
      <c r="A228" s="2"/>
      <c r="B228" s="2"/>
      <c r="C228" s="2"/>
      <c r="D228" s="2"/>
    </row>
    <row r="229" spans="1:4" s="67" customFormat="1" ht="12.75">
      <c r="A229" s="2"/>
      <c r="B229" s="2"/>
      <c r="C229" s="2"/>
      <c r="D229" s="2"/>
    </row>
    <row r="230" spans="1:4" s="67" customFormat="1" ht="12.75">
      <c r="A230" s="2"/>
      <c r="B230" s="2"/>
      <c r="C230" s="2"/>
      <c r="D230" s="2"/>
    </row>
    <row r="231" spans="1:4" s="67" customFormat="1" ht="12.75">
      <c r="A231" s="2"/>
      <c r="B231" s="2"/>
      <c r="C231" s="2"/>
      <c r="D231" s="2"/>
    </row>
    <row r="232" spans="1:4" s="67" customFormat="1" ht="12.75">
      <c r="A232" s="2"/>
      <c r="B232" s="2"/>
      <c r="C232" s="2"/>
      <c r="D232" s="2"/>
    </row>
    <row r="233" spans="1:4" s="67" customFormat="1" ht="12.75">
      <c r="A233" s="2"/>
      <c r="B233" s="2"/>
      <c r="C233" s="2"/>
      <c r="D233" s="2"/>
    </row>
    <row r="234" spans="1:4" s="67" customFormat="1" ht="12.75">
      <c r="A234" s="2"/>
      <c r="B234" s="2"/>
      <c r="C234" s="2"/>
      <c r="D234" s="2"/>
    </row>
    <row r="235" spans="1:4" s="67" customFormat="1" ht="12.75">
      <c r="A235" s="2"/>
      <c r="B235" s="2"/>
      <c r="C235" s="2"/>
      <c r="D235" s="2"/>
    </row>
    <row r="236" spans="1:4" s="67" customFormat="1" ht="12.75">
      <c r="A236" s="2"/>
      <c r="B236" s="2"/>
      <c r="C236" s="2"/>
      <c r="D236" s="2"/>
    </row>
    <row r="237" spans="1:4" s="67" customFormat="1" ht="12.75">
      <c r="A237" s="2"/>
      <c r="B237" s="2"/>
      <c r="C237" s="2"/>
      <c r="D237" s="2"/>
    </row>
    <row r="238" spans="1:4" s="67" customFormat="1" ht="12.75">
      <c r="A238" s="2"/>
      <c r="B238" s="2"/>
      <c r="C238" s="2"/>
      <c r="D238" s="2"/>
    </row>
    <row r="239" spans="1:4" s="67" customFormat="1" ht="12.75">
      <c r="A239" s="2"/>
      <c r="B239" s="2"/>
      <c r="C239" s="2"/>
      <c r="D239" s="2"/>
    </row>
    <row r="240" spans="1:4" s="67" customFormat="1" ht="12.75">
      <c r="A240" s="2"/>
      <c r="B240" s="2"/>
      <c r="C240" s="2"/>
      <c r="D240" s="2"/>
    </row>
    <row r="241" spans="1:4" s="67" customFormat="1" ht="12.75">
      <c r="A241" s="2"/>
      <c r="B241" s="2"/>
      <c r="C241" s="2"/>
      <c r="D241" s="2"/>
    </row>
    <row r="242" spans="1:4" s="67" customFormat="1" ht="12.75">
      <c r="A242" s="2"/>
      <c r="B242" s="2"/>
      <c r="C242" s="2"/>
      <c r="D242" s="2"/>
    </row>
    <row r="243" spans="1:4" s="67" customFormat="1" ht="12.75">
      <c r="A243" s="2"/>
      <c r="B243" s="2"/>
      <c r="C243" s="2"/>
      <c r="D243" s="2"/>
    </row>
    <row r="244" spans="1:4" s="67" customFormat="1" ht="12.75">
      <c r="A244" s="2"/>
      <c r="B244" s="2"/>
      <c r="C244" s="2"/>
      <c r="D244" s="2"/>
    </row>
    <row r="245" spans="1:4" s="67" customFormat="1" ht="12.75">
      <c r="A245" s="2"/>
      <c r="B245" s="2"/>
      <c r="C245" s="2"/>
      <c r="D245" s="2"/>
    </row>
    <row r="246" spans="1:4" s="67" customFormat="1" ht="12.75">
      <c r="A246" s="2"/>
      <c r="B246" s="2"/>
      <c r="C246" s="2"/>
      <c r="D246" s="2"/>
    </row>
    <row r="247" spans="1:4" s="67" customFormat="1" ht="12.75">
      <c r="A247" s="2"/>
      <c r="B247" s="2"/>
      <c r="C247" s="2"/>
      <c r="D247" s="2"/>
    </row>
    <row r="248" spans="1:4" s="67" customFormat="1" ht="12.75">
      <c r="A248" s="2"/>
      <c r="B248" s="2"/>
      <c r="C248" s="2"/>
      <c r="D248" s="2"/>
    </row>
    <row r="249" spans="1:4" s="67" customFormat="1" ht="12.75">
      <c r="A249" s="2"/>
      <c r="B249" s="2"/>
      <c r="C249" s="2"/>
      <c r="D249" s="2"/>
    </row>
    <row r="250" spans="1:4" s="67" customFormat="1" ht="12.75">
      <c r="A250" s="2"/>
      <c r="B250" s="2"/>
      <c r="C250" s="2"/>
      <c r="D250" s="2"/>
    </row>
    <row r="251" spans="1:4" s="67" customFormat="1" ht="12.75">
      <c r="A251" s="2"/>
      <c r="B251" s="2"/>
      <c r="C251" s="2"/>
      <c r="D251" s="2"/>
    </row>
    <row r="252" spans="1:4" s="67" customFormat="1" ht="12.75">
      <c r="A252" s="2"/>
      <c r="B252" s="2"/>
      <c r="C252" s="2"/>
      <c r="D252" s="2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C24" sqref="C24"/>
    </sheetView>
  </sheetViews>
  <sheetFormatPr defaultColWidth="9.140625" defaultRowHeight="12.75"/>
  <cols>
    <col min="1" max="2" width="2.7109375" style="107" customWidth="1"/>
    <col min="3" max="3" width="65.7109375" style="80" customWidth="1"/>
    <col min="4" max="4" width="14.7109375" style="114" customWidth="1"/>
    <col min="5" max="5" width="14.7109375" style="109" customWidth="1"/>
    <col min="6" max="16384" width="9.140625" style="80" customWidth="1"/>
  </cols>
  <sheetData>
    <row r="1" spans="1:5" ht="15">
      <c r="A1" s="5" t="s">
        <v>729</v>
      </c>
      <c r="B1" s="77"/>
      <c r="C1" s="77"/>
      <c r="D1" s="78"/>
      <c r="E1" s="79"/>
    </row>
    <row r="2" spans="1:5" ht="15.75">
      <c r="A2" s="11" t="s">
        <v>3061</v>
      </c>
      <c r="B2" s="81"/>
      <c r="C2" s="81"/>
      <c r="D2" s="82"/>
      <c r="E2" s="83"/>
    </row>
    <row r="3" spans="1:5" ht="15.75">
      <c r="A3" s="11" t="s">
        <v>2971</v>
      </c>
      <c r="B3" s="81"/>
      <c r="C3" s="81"/>
      <c r="D3" s="82"/>
      <c r="E3" s="83"/>
    </row>
    <row r="4" spans="1:5" ht="12.75" customHeight="1">
      <c r="A4" s="84" t="s">
        <v>730</v>
      </c>
      <c r="B4" s="81"/>
      <c r="C4" s="81"/>
      <c r="D4" s="82"/>
      <c r="E4" s="83"/>
    </row>
    <row r="5" spans="1:5" ht="12.75" customHeight="1">
      <c r="A5" s="85"/>
      <c r="B5" s="86"/>
      <c r="C5" s="86"/>
      <c r="D5" s="87">
        <v>2004</v>
      </c>
      <c r="E5" s="88">
        <v>2003</v>
      </c>
    </row>
    <row r="6" spans="1:5" s="94" customFormat="1" ht="12.75" customHeight="1">
      <c r="A6" s="89" t="s">
        <v>3062</v>
      </c>
      <c r="B6" s="90"/>
      <c r="C6" s="91"/>
      <c r="D6" s="92"/>
      <c r="E6" s="93"/>
    </row>
    <row r="7" spans="1:5" s="94" customFormat="1" ht="12.75" customHeight="1">
      <c r="A7" s="89"/>
      <c r="B7" s="90"/>
      <c r="C7" s="91"/>
      <c r="D7" s="92"/>
      <c r="E7" s="93"/>
    </row>
    <row r="8" spans="1:5" ht="12.75" customHeight="1">
      <c r="A8" s="95"/>
      <c r="B8" s="96" t="s">
        <v>772</v>
      </c>
      <c r="C8" s="97"/>
      <c r="D8" s="98">
        <v>74867</v>
      </c>
      <c r="E8" s="99">
        <v>68086</v>
      </c>
    </row>
    <row r="9" spans="1:5" ht="12.75" customHeight="1">
      <c r="A9" s="95"/>
      <c r="B9" s="96" t="s">
        <v>3063</v>
      </c>
      <c r="C9" s="97"/>
      <c r="D9" s="100">
        <v>43200</v>
      </c>
      <c r="E9" s="101">
        <v>38059</v>
      </c>
    </row>
    <row r="10" spans="1:5" ht="12.75" customHeight="1">
      <c r="A10" s="95"/>
      <c r="B10" s="96" t="s">
        <v>3064</v>
      </c>
      <c r="C10" s="97"/>
      <c r="D10" s="100">
        <v>31701</v>
      </c>
      <c r="E10" s="101">
        <v>30918</v>
      </c>
    </row>
    <row r="11" spans="1:5" ht="12.75" customHeight="1">
      <c r="A11" s="95"/>
      <c r="B11" s="96" t="s">
        <v>3065</v>
      </c>
      <c r="C11" s="97"/>
      <c r="D11" s="100">
        <v>4628</v>
      </c>
      <c r="E11" s="101">
        <v>4403</v>
      </c>
    </row>
    <row r="12" spans="1:5" ht="12.75" customHeight="1">
      <c r="A12" s="95"/>
      <c r="B12" s="96" t="s">
        <v>3066</v>
      </c>
      <c r="C12" s="97"/>
      <c r="D12" s="100">
        <v>5821</v>
      </c>
      <c r="E12" s="101">
        <v>6691</v>
      </c>
    </row>
    <row r="13" spans="1:5" ht="12.75" customHeight="1">
      <c r="A13" s="95"/>
      <c r="B13" s="96" t="s">
        <v>3067</v>
      </c>
      <c r="C13" s="97"/>
      <c r="D13" s="100">
        <v>-59760</v>
      </c>
      <c r="E13" s="101">
        <v>-58212</v>
      </c>
    </row>
    <row r="14" spans="1:5" ht="12.75" customHeight="1">
      <c r="A14" s="95"/>
      <c r="B14" s="96" t="s">
        <v>3068</v>
      </c>
      <c r="C14" s="97"/>
      <c r="D14" s="100">
        <v>-144528</v>
      </c>
      <c r="E14" s="101">
        <v>-142758</v>
      </c>
    </row>
    <row r="15" spans="1:5" ht="12.75" customHeight="1">
      <c r="A15" s="95"/>
      <c r="B15" s="96" t="s">
        <v>3069</v>
      </c>
      <c r="C15" s="97"/>
      <c r="D15" s="100">
        <v>-31227</v>
      </c>
      <c r="E15" s="101">
        <v>-24608</v>
      </c>
    </row>
    <row r="16" spans="1:5" ht="12.75" customHeight="1">
      <c r="A16" s="95"/>
      <c r="B16" s="96" t="s">
        <v>3070</v>
      </c>
      <c r="C16" s="97"/>
      <c r="D16" s="100">
        <v>-6780</v>
      </c>
      <c r="E16" s="101">
        <v>-6461</v>
      </c>
    </row>
    <row r="17" spans="1:5" ht="12.75" customHeight="1">
      <c r="A17" s="95"/>
      <c r="B17" s="96" t="s">
        <v>3071</v>
      </c>
      <c r="C17" s="97"/>
      <c r="D17" s="100">
        <v>-4129</v>
      </c>
      <c r="E17" s="101">
        <v>-4550</v>
      </c>
    </row>
    <row r="18" spans="1:5" ht="12.75" customHeight="1">
      <c r="A18" s="95"/>
      <c r="B18" s="96" t="s">
        <v>3072</v>
      </c>
      <c r="C18" s="97"/>
      <c r="D18" s="100">
        <v>3985</v>
      </c>
      <c r="E18" s="101">
        <v>4314</v>
      </c>
    </row>
    <row r="19" spans="1:5" ht="12.75" customHeight="1">
      <c r="A19" s="95"/>
      <c r="B19" s="96" t="s">
        <v>3073</v>
      </c>
      <c r="C19" s="97"/>
      <c r="D19" s="100">
        <v>387</v>
      </c>
      <c r="E19" s="101">
        <v>493</v>
      </c>
    </row>
    <row r="20" spans="1:5" ht="12.75" customHeight="1">
      <c r="A20" s="95"/>
      <c r="B20" s="96" t="s">
        <v>3074</v>
      </c>
      <c r="C20" s="97"/>
      <c r="D20" s="100">
        <v>7961</v>
      </c>
      <c r="E20" s="101">
        <v>7900</v>
      </c>
    </row>
    <row r="21" spans="1:5" ht="12.75" customHeight="1">
      <c r="A21" s="95"/>
      <c r="B21" s="96"/>
      <c r="C21" s="97"/>
      <c r="D21" s="100"/>
      <c r="E21" s="101"/>
    </row>
    <row r="22" spans="1:5" s="94" customFormat="1" ht="12.75" customHeight="1">
      <c r="A22" s="89"/>
      <c r="B22" s="90"/>
      <c r="C22" s="91" t="s">
        <v>3075</v>
      </c>
      <c r="D22" s="102">
        <f>SUM(D8:D20)</f>
        <v>-73874</v>
      </c>
      <c r="E22" s="103">
        <f>SUM(E8:E20)</f>
        <v>-75725</v>
      </c>
    </row>
    <row r="23" spans="1:5" ht="12.75" customHeight="1">
      <c r="A23" s="95"/>
      <c r="B23" s="96"/>
      <c r="C23" s="97"/>
      <c r="D23" s="100"/>
      <c r="E23" s="101"/>
    </row>
    <row r="24" spans="1:5" s="94" customFormat="1" ht="12.75" customHeight="1">
      <c r="A24" s="89" t="s">
        <v>3076</v>
      </c>
      <c r="B24" s="90"/>
      <c r="C24" s="91"/>
      <c r="D24" s="100"/>
      <c r="E24" s="101"/>
    </row>
    <row r="25" spans="1:5" s="94" customFormat="1" ht="12.75" customHeight="1">
      <c r="A25" s="89"/>
      <c r="B25" s="90"/>
      <c r="C25" s="91"/>
      <c r="D25" s="100"/>
      <c r="E25" s="101"/>
    </row>
    <row r="26" spans="1:5" ht="12.75" customHeight="1">
      <c r="A26" s="95"/>
      <c r="B26" s="96" t="s">
        <v>3077</v>
      </c>
      <c r="C26" s="97"/>
      <c r="D26" s="100">
        <v>10755</v>
      </c>
      <c r="E26" s="101">
        <v>8180</v>
      </c>
    </row>
    <row r="27" spans="1:5" ht="12.75" customHeight="1">
      <c r="A27" s="95"/>
      <c r="B27" s="96" t="s">
        <v>2972</v>
      </c>
      <c r="C27" s="97"/>
      <c r="D27" s="100">
        <v>-30299</v>
      </c>
      <c r="E27" s="101">
        <v>-8518</v>
      </c>
    </row>
    <row r="28" spans="1:5" ht="12.75" customHeight="1">
      <c r="A28" s="95"/>
      <c r="B28" s="96"/>
      <c r="C28" s="97"/>
      <c r="D28" s="100"/>
      <c r="E28" s="101"/>
    </row>
    <row r="29" spans="1:5" s="94" customFormat="1" ht="12.75" customHeight="1">
      <c r="A29" s="89"/>
      <c r="B29" s="90"/>
      <c r="C29" s="91" t="s">
        <v>3078</v>
      </c>
      <c r="D29" s="102">
        <f>SUM(D26:D27)</f>
        <v>-19544</v>
      </c>
      <c r="E29" s="103">
        <f>SUM(E26:E27)</f>
        <v>-338</v>
      </c>
    </row>
    <row r="30" spans="1:5" ht="12.75" customHeight="1">
      <c r="A30" s="95"/>
      <c r="B30" s="96"/>
      <c r="C30" s="97"/>
      <c r="D30" s="100"/>
      <c r="E30" s="101"/>
    </row>
    <row r="31" spans="1:5" s="94" customFormat="1" ht="12.75" customHeight="1">
      <c r="A31" s="89" t="s">
        <v>3079</v>
      </c>
      <c r="B31" s="90"/>
      <c r="C31" s="91"/>
      <c r="D31" s="100"/>
      <c r="E31" s="101"/>
    </row>
    <row r="32" spans="1:5" s="94" customFormat="1" ht="12.75" customHeight="1">
      <c r="A32" s="89"/>
      <c r="B32" s="90"/>
      <c r="C32" s="91"/>
      <c r="D32" s="100"/>
      <c r="E32" s="101"/>
    </row>
    <row r="33" spans="1:5" ht="12.75" customHeight="1">
      <c r="A33" s="95"/>
      <c r="B33" s="96" t="s">
        <v>3053</v>
      </c>
      <c r="C33" s="97"/>
      <c r="D33" s="100">
        <v>1466</v>
      </c>
      <c r="E33" s="101">
        <v>1185</v>
      </c>
    </row>
    <row r="34" spans="1:5" ht="12.75" customHeight="1">
      <c r="A34" s="95"/>
      <c r="B34" s="96" t="s">
        <v>3048</v>
      </c>
      <c r="C34" s="97"/>
      <c r="D34" s="100">
        <v>3984</v>
      </c>
      <c r="E34" s="101">
        <v>8646</v>
      </c>
    </row>
    <row r="35" spans="1:5" ht="12.75" customHeight="1">
      <c r="A35" s="95"/>
      <c r="B35" s="96" t="s">
        <v>3054</v>
      </c>
      <c r="C35" s="97"/>
      <c r="D35" s="100">
        <v>0</v>
      </c>
      <c r="E35" s="101">
        <v>1111</v>
      </c>
    </row>
    <row r="36" spans="1:5" ht="12.75" customHeight="1">
      <c r="A36" s="95"/>
      <c r="B36" s="96" t="s">
        <v>3080</v>
      </c>
      <c r="C36" s="97"/>
      <c r="D36" s="100">
        <v>2571</v>
      </c>
      <c r="E36" s="101">
        <v>185</v>
      </c>
    </row>
    <row r="37" spans="1:5" ht="12.75" customHeight="1">
      <c r="A37" s="95"/>
      <c r="B37" s="96" t="s">
        <v>3081</v>
      </c>
      <c r="C37" s="97"/>
      <c r="D37" s="100">
        <v>-33236</v>
      </c>
      <c r="E37" s="101">
        <v>-14384</v>
      </c>
    </row>
    <row r="38" spans="1:5" ht="12.75" customHeight="1">
      <c r="A38" s="95"/>
      <c r="B38" s="96" t="s">
        <v>3082</v>
      </c>
      <c r="C38" s="97"/>
      <c r="D38" s="100">
        <v>22246</v>
      </c>
      <c r="E38" s="101">
        <v>0</v>
      </c>
    </row>
    <row r="39" spans="1:5" ht="12.75" customHeight="1">
      <c r="A39" s="95"/>
      <c r="B39" s="96" t="s">
        <v>3083</v>
      </c>
      <c r="C39" s="97"/>
      <c r="D39" s="100">
        <v>-857</v>
      </c>
      <c r="E39" s="101">
        <v>-795</v>
      </c>
    </row>
    <row r="40" spans="1:5" ht="12.75" customHeight="1">
      <c r="A40" s="95"/>
      <c r="B40" s="96" t="s">
        <v>3084</v>
      </c>
      <c r="C40" s="97"/>
      <c r="D40" s="100">
        <v>-2154</v>
      </c>
      <c r="E40" s="101">
        <v>0</v>
      </c>
    </row>
    <row r="41" spans="1:5" ht="12.75" customHeight="1">
      <c r="A41" s="95"/>
      <c r="B41" s="96" t="s">
        <v>2973</v>
      </c>
      <c r="C41" s="97"/>
      <c r="D41" s="100">
        <v>-114</v>
      </c>
      <c r="E41" s="101"/>
    </row>
    <row r="42" spans="1:5" ht="12.75" customHeight="1">
      <c r="A42" s="95"/>
      <c r="B42" s="96" t="s">
        <v>3085</v>
      </c>
      <c r="C42" s="97"/>
      <c r="D42" s="100">
        <v>-1417</v>
      </c>
      <c r="E42" s="101">
        <v>-1253</v>
      </c>
    </row>
    <row r="43" spans="1:5" ht="12.75" customHeight="1">
      <c r="A43" s="95"/>
      <c r="B43" s="96"/>
      <c r="C43" s="97"/>
      <c r="D43" s="100"/>
      <c r="E43" s="101"/>
    </row>
    <row r="44" spans="1:5" s="94" customFormat="1" ht="12.75" customHeight="1">
      <c r="A44" s="89"/>
      <c r="B44" s="90"/>
      <c r="C44" s="91" t="s">
        <v>3086</v>
      </c>
      <c r="D44" s="103">
        <f>SUM(D33:D42)</f>
        <v>-7511</v>
      </c>
      <c r="E44" s="103">
        <f>SUM(E33:E42)</f>
        <v>-5305</v>
      </c>
    </row>
    <row r="45" spans="1:5" ht="12.75" customHeight="1">
      <c r="A45" s="95"/>
      <c r="B45" s="96"/>
      <c r="C45" s="97"/>
      <c r="D45" s="100"/>
      <c r="E45" s="101"/>
    </row>
    <row r="46" spans="1:5" s="94" customFormat="1" ht="12.75" customHeight="1">
      <c r="A46" s="89" t="s">
        <v>3087</v>
      </c>
      <c r="B46" s="90"/>
      <c r="C46" s="91"/>
      <c r="D46" s="100"/>
      <c r="E46" s="101"/>
    </row>
    <row r="47" spans="1:5" s="94" customFormat="1" ht="12.75" customHeight="1">
      <c r="A47" s="89"/>
      <c r="B47" s="90"/>
      <c r="C47" s="91"/>
      <c r="D47" s="100"/>
      <c r="E47" s="101"/>
    </row>
    <row r="48" spans="1:5" ht="12.75" customHeight="1">
      <c r="A48" s="95"/>
      <c r="B48" s="96" t="s">
        <v>3088</v>
      </c>
      <c r="C48" s="97"/>
      <c r="D48" s="100">
        <v>73388</v>
      </c>
      <c r="E48" s="101">
        <v>75845</v>
      </c>
    </row>
    <row r="49" spans="1:5" ht="12.75" customHeight="1">
      <c r="A49" s="95"/>
      <c r="B49" s="96" t="s">
        <v>3046</v>
      </c>
      <c r="C49" s="97"/>
      <c r="D49" s="100">
        <v>0</v>
      </c>
      <c r="E49" s="101">
        <v>70</v>
      </c>
    </row>
    <row r="50" spans="1:5" ht="12.75" customHeight="1">
      <c r="A50" s="95"/>
      <c r="B50" s="96" t="s">
        <v>3089</v>
      </c>
      <c r="C50" s="97"/>
      <c r="D50" s="100">
        <v>2887</v>
      </c>
      <c r="E50" s="101">
        <v>2644</v>
      </c>
    </row>
    <row r="51" spans="1:5" ht="12.75" customHeight="1">
      <c r="A51" s="95"/>
      <c r="B51" s="96" t="s">
        <v>3090</v>
      </c>
      <c r="C51" s="97"/>
      <c r="D51" s="100">
        <v>1561</v>
      </c>
      <c r="E51" s="101">
        <v>646</v>
      </c>
    </row>
    <row r="52" spans="1:5" ht="12.75" customHeight="1">
      <c r="A52" s="95"/>
      <c r="B52" s="96" t="s">
        <v>3091</v>
      </c>
      <c r="C52" s="97"/>
      <c r="D52" s="100">
        <v>16728</v>
      </c>
      <c r="E52" s="101">
        <v>-125</v>
      </c>
    </row>
    <row r="53" spans="1:5" ht="12.75" customHeight="1">
      <c r="A53" s="95"/>
      <c r="B53" s="96"/>
      <c r="C53" s="97"/>
      <c r="D53" s="100"/>
      <c r="E53" s="101"/>
    </row>
    <row r="54" spans="1:5" s="94" customFormat="1" ht="12.75" customHeight="1">
      <c r="A54" s="89"/>
      <c r="B54" s="90"/>
      <c r="C54" s="91" t="s">
        <v>3092</v>
      </c>
      <c r="D54" s="102">
        <f>SUM(D48:D52)</f>
        <v>94564</v>
      </c>
      <c r="E54" s="103">
        <f>SUM(E48:E52)</f>
        <v>79080</v>
      </c>
    </row>
    <row r="55" spans="1:5" ht="12.75" customHeight="1">
      <c r="A55" s="95"/>
      <c r="B55" s="96"/>
      <c r="C55" s="97"/>
      <c r="D55" s="100"/>
      <c r="E55" s="101"/>
    </row>
    <row r="56" spans="1:5" s="94" customFormat="1" ht="12.75" customHeight="1">
      <c r="A56" s="89"/>
      <c r="B56" s="90" t="s">
        <v>3093</v>
      </c>
      <c r="C56" s="91"/>
      <c r="D56" s="102">
        <f>D22+D29+D44+D54</f>
        <v>-6365</v>
      </c>
      <c r="E56" s="103">
        <f>E22+E29+E44+E54</f>
        <v>-2288</v>
      </c>
    </row>
    <row r="57" spans="1:5" ht="12.75" customHeight="1">
      <c r="A57" s="95"/>
      <c r="B57" s="96"/>
      <c r="C57" s="97"/>
      <c r="D57" s="100"/>
      <c r="E57" s="101"/>
    </row>
    <row r="58" spans="1:5" s="94" customFormat="1" ht="12.75" customHeight="1">
      <c r="A58" s="89" t="s">
        <v>3094</v>
      </c>
      <c r="B58" s="90"/>
      <c r="C58" s="91"/>
      <c r="D58" s="102">
        <f>E60</f>
        <v>25194</v>
      </c>
      <c r="E58" s="103">
        <v>27482</v>
      </c>
    </row>
    <row r="59" spans="1:5" ht="12.75" customHeight="1">
      <c r="A59" s="95"/>
      <c r="B59" s="96"/>
      <c r="C59" s="97"/>
      <c r="D59" s="92"/>
      <c r="E59" s="104"/>
    </row>
    <row r="60" spans="1:5" s="94" customFormat="1" ht="12.75" customHeight="1">
      <c r="A60" s="89" t="s">
        <v>3095</v>
      </c>
      <c r="B60" s="90"/>
      <c r="C60" s="91"/>
      <c r="D60" s="105">
        <f>D56+D58</f>
        <v>18829</v>
      </c>
      <c r="E60" s="106">
        <f>E56+E58</f>
        <v>25194</v>
      </c>
    </row>
    <row r="61" ht="12.75">
      <c r="D61" s="108"/>
    </row>
    <row r="62" ht="6" customHeight="1" hidden="1">
      <c r="D62" s="108"/>
    </row>
    <row r="63" spans="1:4" ht="12.75" hidden="1">
      <c r="A63" s="110" t="s">
        <v>3096</v>
      </c>
      <c r="D63" s="108"/>
    </row>
    <row r="64" spans="2:4" ht="12.75" hidden="1">
      <c r="B64" s="110" t="s">
        <v>3097</v>
      </c>
      <c r="D64" s="108"/>
    </row>
    <row r="65" spans="2:4" ht="12.75" hidden="1">
      <c r="B65" s="107" t="s">
        <v>3098</v>
      </c>
      <c r="D65" s="111"/>
    </row>
    <row r="66" spans="2:4" ht="12.75" hidden="1">
      <c r="B66" s="107" t="s">
        <v>3099</v>
      </c>
      <c r="D66" s="108"/>
    </row>
    <row r="67" spans="3:4" ht="12.75" hidden="1">
      <c r="C67" s="80" t="s">
        <v>3097</v>
      </c>
      <c r="D67" s="108"/>
    </row>
    <row r="68" spans="3:4" ht="12.75" hidden="1">
      <c r="C68" s="80" t="s">
        <v>3100</v>
      </c>
      <c r="D68" s="108"/>
    </row>
    <row r="69" spans="3:4" ht="12.75" hidden="1">
      <c r="C69" s="80" t="s">
        <v>3101</v>
      </c>
      <c r="D69" s="108"/>
    </row>
    <row r="70" spans="3:4" ht="12.75" hidden="1">
      <c r="C70" s="80" t="s">
        <v>3102</v>
      </c>
      <c r="D70" s="108"/>
    </row>
    <row r="71" spans="3:4" ht="12.75" hidden="1">
      <c r="C71" s="80" t="s">
        <v>3103</v>
      </c>
      <c r="D71" s="108"/>
    </row>
    <row r="72" spans="3:4" ht="12.75" hidden="1">
      <c r="C72" s="80" t="s">
        <v>3104</v>
      </c>
      <c r="D72" s="108"/>
    </row>
    <row r="73" spans="3:4" ht="12.75" hidden="1">
      <c r="C73" s="80" t="s">
        <v>3105</v>
      </c>
      <c r="D73" s="108"/>
    </row>
    <row r="74" spans="3:4" ht="12.75" hidden="1">
      <c r="C74" s="80" t="s">
        <v>3106</v>
      </c>
      <c r="D74" s="108"/>
    </row>
    <row r="75" spans="1:5" s="44" customFormat="1" ht="12.75" hidden="1">
      <c r="A75" s="2"/>
      <c r="B75" s="2"/>
      <c r="C75" s="1" t="s">
        <v>3107</v>
      </c>
      <c r="D75" s="112"/>
      <c r="E75" s="113"/>
    </row>
    <row r="76" ht="6" customHeight="1" hidden="1" thickBot="1"/>
    <row r="77" spans="1:5" s="94" customFormat="1" ht="13.5" hidden="1" thickBot="1">
      <c r="A77" s="110"/>
      <c r="B77" s="110"/>
      <c r="C77" s="94" t="s">
        <v>3108</v>
      </c>
      <c r="D77" s="115">
        <f>SUM(D65:D75)</f>
        <v>0</v>
      </c>
      <c r="E77" s="116"/>
    </row>
    <row r="82" ht="12.75">
      <c r="A82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3"/>
  <sheetViews>
    <sheetView workbookViewId="0" topLeftCell="B2">
      <selection activeCell="B6" sqref="B6"/>
    </sheetView>
  </sheetViews>
  <sheetFormatPr defaultColWidth="9.140625" defaultRowHeight="12.75" outlineLevelRow="1" outlineLevelCol="1"/>
  <cols>
    <col min="1" max="1" width="0" style="1" hidden="1" customWidth="1"/>
    <col min="2" max="2" width="2.57421875" style="2" customWidth="1"/>
    <col min="3" max="3" width="45.7109375" style="1" customWidth="1"/>
    <col min="4" max="4" width="7.140625" style="2" customWidth="1"/>
    <col min="5" max="6" width="18.7109375" style="1" hidden="1" customWidth="1" outlineLevel="1"/>
    <col min="7" max="7" width="16.7109375" style="1" customWidth="1" collapsed="1"/>
    <col min="8" max="8" width="16.7109375" style="1" customWidth="1"/>
    <col min="9" max="11" width="18.7109375" style="1" hidden="1" customWidth="1" outlineLevel="1"/>
    <col min="12" max="12" width="16.7109375" style="1" customWidth="1" collapsed="1"/>
    <col min="13" max="15" width="18.7109375" style="1" hidden="1" customWidth="1" outlineLevel="1"/>
    <col min="16" max="16" width="16.7109375" style="1" customWidth="1" collapsed="1"/>
    <col min="17" max="20" width="18.7109375" style="1" hidden="1" customWidth="1" outlineLevel="1"/>
    <col min="21" max="21" width="16.7109375" style="1" customWidth="1" collapsed="1"/>
    <col min="22" max="22" width="16.7109375" style="1" customWidth="1"/>
    <col min="23" max="23" width="16.7109375" style="117" hidden="1" customWidth="1"/>
    <col min="24" max="24" width="18.7109375" style="1" hidden="1" customWidth="1"/>
    <col min="25" max="25" width="18.7109375" style="118" customWidth="1"/>
    <col min="26" max="29" width="0" style="118" hidden="1" customWidth="1"/>
    <col min="30" max="16384" width="9.140625" style="118" customWidth="1"/>
  </cols>
  <sheetData>
    <row r="1" spans="1:25" ht="12.75" hidden="1">
      <c r="A1" s="1" t="s">
        <v>3109</v>
      </c>
      <c r="B1" s="2" t="s">
        <v>726</v>
      </c>
      <c r="C1" s="1" t="s">
        <v>727</v>
      </c>
      <c r="D1" s="2" t="s">
        <v>3110</v>
      </c>
      <c r="E1" s="1" t="s">
        <v>3111</v>
      </c>
      <c r="F1" s="1" t="s">
        <v>3112</v>
      </c>
      <c r="G1" s="1" t="s">
        <v>728</v>
      </c>
      <c r="H1" s="1" t="s">
        <v>3113</v>
      </c>
      <c r="I1" s="1" t="s">
        <v>3114</v>
      </c>
      <c r="J1" s="1" t="s">
        <v>3115</v>
      </c>
      <c r="K1" s="1" t="s">
        <v>2974</v>
      </c>
      <c r="L1" s="1" t="s">
        <v>728</v>
      </c>
      <c r="M1" s="1" t="s">
        <v>3116</v>
      </c>
      <c r="N1" s="1" t="s">
        <v>3117</v>
      </c>
      <c r="O1" s="1" t="s">
        <v>2975</v>
      </c>
      <c r="P1" s="1" t="s">
        <v>728</v>
      </c>
      <c r="Q1" s="1" t="s">
        <v>3118</v>
      </c>
      <c r="R1" s="1" t="s">
        <v>3119</v>
      </c>
      <c r="S1" s="1" t="s">
        <v>3120</v>
      </c>
      <c r="T1" s="1" t="s">
        <v>3121</v>
      </c>
      <c r="U1" s="1" t="s">
        <v>728</v>
      </c>
      <c r="V1" s="1" t="s">
        <v>3122</v>
      </c>
      <c r="W1" s="117" t="s">
        <v>728</v>
      </c>
      <c r="X1" s="1" t="s">
        <v>3123</v>
      </c>
      <c r="Y1" s="118" t="s">
        <v>728</v>
      </c>
    </row>
    <row r="2" spans="1:25" s="124" customFormat="1" ht="15.75" customHeight="1">
      <c r="A2" s="119"/>
      <c r="B2" s="46" t="s">
        <v>729</v>
      </c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1"/>
      <c r="Y2" s="123"/>
    </row>
    <row r="3" spans="1:25" s="128" customFormat="1" ht="15.75" customHeight="1">
      <c r="A3" s="125"/>
      <c r="B3" s="51" t="s">
        <v>3124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26"/>
      <c r="X3" s="13"/>
      <c r="Y3" s="127"/>
    </row>
    <row r="4" spans="1:29" ht="15.75" customHeight="1">
      <c r="A4" s="129"/>
      <c r="B4" s="130" t="str">
        <f>"  As of "&amp;TEXT(Z4,"MMMM DD, YYY")</f>
        <v>  As of June 30, 2004</v>
      </c>
      <c r="C4" s="16"/>
      <c r="D4" s="16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131"/>
      <c r="Y4" s="133"/>
      <c r="Z4" s="1" t="s">
        <v>2976</v>
      </c>
      <c r="AC4" s="118" t="s">
        <v>3125</v>
      </c>
    </row>
    <row r="5" spans="1:26" ht="12.75" customHeight="1">
      <c r="A5" s="129"/>
      <c r="B5" s="134"/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36"/>
      <c r="Y5" s="138"/>
      <c r="Z5" s="1"/>
    </row>
    <row r="6" spans="1:25" ht="12.75">
      <c r="A6" s="22"/>
      <c r="B6" s="139"/>
      <c r="C6" s="140"/>
      <c r="D6" s="141"/>
      <c r="E6" s="27"/>
      <c r="F6" s="27"/>
      <c r="G6" s="139"/>
      <c r="H6" s="141"/>
      <c r="I6" s="142"/>
      <c r="J6" s="142"/>
      <c r="K6" s="143"/>
      <c r="L6" s="143"/>
      <c r="M6" s="142" t="s">
        <v>764</v>
      </c>
      <c r="N6" s="142" t="s">
        <v>3126</v>
      </c>
      <c r="O6" s="142" t="s">
        <v>2977</v>
      </c>
      <c r="P6" s="143"/>
      <c r="Q6" s="144" t="s">
        <v>3127</v>
      </c>
      <c r="R6" s="145"/>
      <c r="S6" s="145"/>
      <c r="T6" s="145"/>
      <c r="U6" s="146"/>
      <c r="V6" s="147"/>
      <c r="W6" s="143" t="s">
        <v>3128</v>
      </c>
      <c r="X6" s="147"/>
      <c r="Y6" s="143" t="s">
        <v>3128</v>
      </c>
    </row>
    <row r="7" spans="1:25" ht="12.75">
      <c r="A7" s="22"/>
      <c r="B7" s="148"/>
      <c r="C7" s="29"/>
      <c r="D7" s="149"/>
      <c r="E7" s="27"/>
      <c r="F7" s="27"/>
      <c r="G7" s="148"/>
      <c r="H7" s="149"/>
      <c r="I7" s="142" t="s">
        <v>764</v>
      </c>
      <c r="J7" s="142" t="s">
        <v>3126</v>
      </c>
      <c r="K7" s="142" t="s">
        <v>2977</v>
      </c>
      <c r="L7" s="150"/>
      <c r="M7" s="142" t="s">
        <v>3129</v>
      </c>
      <c r="N7" s="142" t="s">
        <v>3129</v>
      </c>
      <c r="O7" s="142" t="s">
        <v>3129</v>
      </c>
      <c r="P7" s="150" t="s">
        <v>3129</v>
      </c>
      <c r="Q7" s="142" t="s">
        <v>764</v>
      </c>
      <c r="R7" s="142" t="s">
        <v>3130</v>
      </c>
      <c r="S7" s="151"/>
      <c r="T7" s="151"/>
      <c r="U7" s="150"/>
      <c r="V7" s="152"/>
      <c r="W7" s="150" t="s">
        <v>3131</v>
      </c>
      <c r="X7" s="152"/>
      <c r="Y7" s="150" t="s">
        <v>3131</v>
      </c>
    </row>
    <row r="8" spans="1:25" ht="12.75">
      <c r="A8" s="22"/>
      <c r="B8" s="148"/>
      <c r="C8" s="29"/>
      <c r="D8" s="149"/>
      <c r="E8" s="153"/>
      <c r="F8" s="153"/>
      <c r="G8" s="154" t="s">
        <v>3132</v>
      </c>
      <c r="H8" s="154"/>
      <c r="I8" s="142" t="s">
        <v>3133</v>
      </c>
      <c r="J8" s="142" t="s">
        <v>3133</v>
      </c>
      <c r="K8" s="142" t="s">
        <v>3133</v>
      </c>
      <c r="L8" s="150" t="s">
        <v>3133</v>
      </c>
      <c r="M8" s="142" t="s">
        <v>3134</v>
      </c>
      <c r="N8" s="142" t="s">
        <v>3134</v>
      </c>
      <c r="O8" s="142" t="s">
        <v>3134</v>
      </c>
      <c r="P8" s="150" t="s">
        <v>3134</v>
      </c>
      <c r="Q8" s="142" t="s">
        <v>3135</v>
      </c>
      <c r="R8" s="142" t="s">
        <v>3135</v>
      </c>
      <c r="S8" s="142" t="s">
        <v>3136</v>
      </c>
      <c r="T8" s="142" t="s">
        <v>3137</v>
      </c>
      <c r="U8" s="150" t="s">
        <v>3138</v>
      </c>
      <c r="V8" s="152"/>
      <c r="W8" s="150" t="s">
        <v>3139</v>
      </c>
      <c r="X8" s="150" t="s">
        <v>3140</v>
      </c>
      <c r="Y8" s="150" t="s">
        <v>3141</v>
      </c>
    </row>
    <row r="9" spans="1:25" ht="12.75">
      <c r="A9" s="22"/>
      <c r="B9" s="155"/>
      <c r="C9" s="156"/>
      <c r="D9" s="157"/>
      <c r="E9" s="142" t="s">
        <v>764</v>
      </c>
      <c r="F9" s="142" t="s">
        <v>3142</v>
      </c>
      <c r="G9" s="142" t="s">
        <v>764</v>
      </c>
      <c r="H9" s="142" t="s">
        <v>3126</v>
      </c>
      <c r="I9" s="142" t="s">
        <v>3131</v>
      </c>
      <c r="J9" s="142" t="s">
        <v>3131</v>
      </c>
      <c r="K9" s="142" t="s">
        <v>3131</v>
      </c>
      <c r="L9" s="158" t="s">
        <v>3131</v>
      </c>
      <c r="M9" s="142" t="s">
        <v>3131</v>
      </c>
      <c r="N9" s="142" t="s">
        <v>3131</v>
      </c>
      <c r="O9" s="142" t="s">
        <v>3131</v>
      </c>
      <c r="P9" s="158" t="s">
        <v>3131</v>
      </c>
      <c r="Q9" s="142" t="s">
        <v>3143</v>
      </c>
      <c r="R9" s="142" t="s">
        <v>3143</v>
      </c>
      <c r="S9" s="142" t="s">
        <v>3140</v>
      </c>
      <c r="T9" s="142" t="s">
        <v>3144</v>
      </c>
      <c r="U9" s="158" t="s">
        <v>3131</v>
      </c>
      <c r="V9" s="158" t="s">
        <v>3145</v>
      </c>
      <c r="W9" s="158" t="s">
        <v>3140</v>
      </c>
      <c r="X9" s="158" t="s">
        <v>3131</v>
      </c>
      <c r="Y9" s="158" t="s">
        <v>3140</v>
      </c>
    </row>
    <row r="10" spans="1:25" ht="12.75" customHeight="1">
      <c r="A10" s="22"/>
      <c r="B10" s="23"/>
      <c r="C10" s="159"/>
      <c r="D10" s="24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53"/>
    </row>
    <row r="11" spans="1:25" ht="12.75" customHeight="1">
      <c r="A11" s="29"/>
      <c r="B11" s="23" t="s">
        <v>731</v>
      </c>
      <c r="C11" s="159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42"/>
      <c r="X11" s="27"/>
      <c r="Y11" s="153"/>
    </row>
    <row r="12" spans="1:25" ht="12.75" customHeight="1">
      <c r="A12" s="2"/>
      <c r="B12" s="30"/>
      <c r="C12" s="16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1"/>
      <c r="X12" s="32"/>
      <c r="Y12" s="153"/>
    </row>
    <row r="13" spans="1:25" ht="12.75" customHeight="1">
      <c r="A13" s="29"/>
      <c r="B13" s="23" t="s">
        <v>732</v>
      </c>
      <c r="C13" s="159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42"/>
      <c r="X13" s="27"/>
      <c r="Y13" s="153"/>
    </row>
    <row r="14" spans="1:25" ht="12.75" customHeight="1">
      <c r="A14" s="160" t="s">
        <v>3146</v>
      </c>
      <c r="B14" s="30"/>
      <c r="C14" s="160" t="s">
        <v>733</v>
      </c>
      <c r="D14" s="31"/>
      <c r="E14" s="32">
        <v>0</v>
      </c>
      <c r="F14" s="32">
        <v>0</v>
      </c>
      <c r="G14" s="34">
        <f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>I14+J14+K14</f>
        <v>0</v>
      </c>
      <c r="M14" s="34">
        <v>0</v>
      </c>
      <c r="N14" s="34">
        <v>0</v>
      </c>
      <c r="O14" s="34">
        <v>0</v>
      </c>
      <c r="P14" s="34">
        <f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>Q14+R14+S14+T14</f>
        <v>0</v>
      </c>
      <c r="V14" s="34">
        <v>0</v>
      </c>
      <c r="W14" s="162">
        <f>G14+H14+L14+P14+U14+V14</f>
        <v>0</v>
      </c>
      <c r="X14" s="32">
        <v>0</v>
      </c>
      <c r="Y14" s="163">
        <f>W14+X14</f>
        <v>0</v>
      </c>
    </row>
    <row r="15" spans="1:25" ht="12.75" hidden="1" outlineLevel="1">
      <c r="A15" s="1" t="s">
        <v>3147</v>
      </c>
      <c r="C15" s="1" t="s">
        <v>3148</v>
      </c>
      <c r="D15" s="2" t="s">
        <v>3149</v>
      </c>
      <c r="E15" s="1">
        <v>44167.28</v>
      </c>
      <c r="F15" s="1">
        <v>0</v>
      </c>
      <c r="G15" s="166">
        <f aca="true" t="shared" si="0" ref="G15:G48">E15+F15</f>
        <v>44167.28</v>
      </c>
      <c r="H15" s="166">
        <v>0</v>
      </c>
      <c r="I15" s="166">
        <v>0</v>
      </c>
      <c r="J15" s="166">
        <v>0</v>
      </c>
      <c r="K15" s="166">
        <v>0</v>
      </c>
      <c r="L15" s="166">
        <f aca="true" t="shared" si="1" ref="L15:L48">I15+J15+K15</f>
        <v>0</v>
      </c>
      <c r="M15" s="166">
        <v>0</v>
      </c>
      <c r="N15" s="166">
        <v>0</v>
      </c>
      <c r="O15" s="166">
        <v>0</v>
      </c>
      <c r="P15" s="166">
        <f aca="true" t="shared" si="2" ref="P15:P48">M15+N15+O15</f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f aca="true" t="shared" si="3" ref="U15:U48">Q15+R15+S15+T15</f>
        <v>0</v>
      </c>
      <c r="V15" s="166">
        <v>0</v>
      </c>
      <c r="W15" s="167">
        <f aca="true" t="shared" si="4" ref="W15:W48">G15+H15+L15+P15+U15+V15</f>
        <v>44167.28</v>
      </c>
      <c r="X15" s="1">
        <v>0</v>
      </c>
      <c r="Y15" s="164">
        <f aca="true" t="shared" si="5" ref="Y15:Y48">W15+X15</f>
        <v>44167.28</v>
      </c>
    </row>
    <row r="16" spans="1:25" ht="12.75" hidden="1" outlineLevel="1">
      <c r="A16" s="1" t="s">
        <v>2978</v>
      </c>
      <c r="C16" s="1" t="s">
        <v>2979</v>
      </c>
      <c r="D16" s="2" t="s">
        <v>2980</v>
      </c>
      <c r="E16" s="1">
        <v>8593613.5</v>
      </c>
      <c r="F16" s="1">
        <v>0</v>
      </c>
      <c r="G16" s="166">
        <f t="shared" si="0"/>
        <v>8593613.5</v>
      </c>
      <c r="H16" s="166">
        <v>0</v>
      </c>
      <c r="I16" s="166">
        <v>0</v>
      </c>
      <c r="J16" s="166">
        <v>0</v>
      </c>
      <c r="K16" s="166">
        <v>39633.34</v>
      </c>
      <c r="L16" s="166">
        <f t="shared" si="1"/>
        <v>39633.34</v>
      </c>
      <c r="M16" s="166">
        <v>0</v>
      </c>
      <c r="N16" s="166">
        <v>864098.34</v>
      </c>
      <c r="O16" s="166">
        <v>0</v>
      </c>
      <c r="P16" s="166">
        <f t="shared" si="2"/>
        <v>864098.34</v>
      </c>
      <c r="Q16" s="166">
        <v>665425.81</v>
      </c>
      <c r="R16" s="166">
        <v>744777.66</v>
      </c>
      <c r="S16" s="166">
        <v>47292.65</v>
      </c>
      <c r="T16" s="166">
        <v>0</v>
      </c>
      <c r="U16" s="166">
        <f t="shared" si="3"/>
        <v>1457496.12</v>
      </c>
      <c r="V16" s="166">
        <v>128780.69</v>
      </c>
      <c r="W16" s="167">
        <f t="shared" si="4"/>
        <v>11083621.99</v>
      </c>
      <c r="X16" s="1">
        <v>0</v>
      </c>
      <c r="Y16" s="164">
        <f t="shared" si="5"/>
        <v>11083621.99</v>
      </c>
    </row>
    <row r="17" spans="1:25" ht="12.75" hidden="1" outlineLevel="1">
      <c r="A17" s="1" t="s">
        <v>2981</v>
      </c>
      <c r="C17" s="1" t="s">
        <v>2982</v>
      </c>
      <c r="D17" s="2" t="s">
        <v>2983</v>
      </c>
      <c r="E17" s="1">
        <v>0</v>
      </c>
      <c r="F17" s="1">
        <v>0</v>
      </c>
      <c r="G17" s="166">
        <f t="shared" si="0"/>
        <v>0</v>
      </c>
      <c r="H17" s="166">
        <v>2985.52</v>
      </c>
      <c r="I17" s="166">
        <v>0</v>
      </c>
      <c r="J17" s="166">
        <v>0</v>
      </c>
      <c r="K17" s="166">
        <v>0</v>
      </c>
      <c r="L17" s="166">
        <f t="shared" si="1"/>
        <v>0</v>
      </c>
      <c r="M17" s="166">
        <v>0</v>
      </c>
      <c r="N17" s="166">
        <v>0</v>
      </c>
      <c r="O17" s="166">
        <v>4572.79</v>
      </c>
      <c r="P17" s="166">
        <f t="shared" si="2"/>
        <v>4572.79</v>
      </c>
      <c r="Q17" s="166">
        <v>0</v>
      </c>
      <c r="R17" s="166">
        <v>0</v>
      </c>
      <c r="S17" s="166">
        <v>0</v>
      </c>
      <c r="T17" s="166">
        <v>0</v>
      </c>
      <c r="U17" s="166">
        <f t="shared" si="3"/>
        <v>0</v>
      </c>
      <c r="V17" s="166">
        <v>0</v>
      </c>
      <c r="W17" s="167">
        <f t="shared" si="4"/>
        <v>7558.3099999999995</v>
      </c>
      <c r="X17" s="1">
        <v>0</v>
      </c>
      <c r="Y17" s="164">
        <f t="shared" si="5"/>
        <v>7558.3099999999995</v>
      </c>
    </row>
    <row r="18" spans="1:25" ht="12.75" hidden="1" outlineLevel="1">
      <c r="A18" s="1" t="s">
        <v>3150</v>
      </c>
      <c r="C18" s="1" t="s">
        <v>3151</v>
      </c>
      <c r="D18" s="2" t="s">
        <v>3152</v>
      </c>
      <c r="E18" s="1">
        <v>0</v>
      </c>
      <c r="F18" s="1">
        <v>0</v>
      </c>
      <c r="G18" s="166">
        <f t="shared" si="0"/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f t="shared" si="1"/>
        <v>0</v>
      </c>
      <c r="M18" s="166">
        <v>0</v>
      </c>
      <c r="N18" s="166">
        <v>0</v>
      </c>
      <c r="O18" s="166">
        <v>0</v>
      </c>
      <c r="P18" s="166">
        <f t="shared" si="2"/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f t="shared" si="3"/>
        <v>0</v>
      </c>
      <c r="V18" s="166">
        <v>2053.95</v>
      </c>
      <c r="W18" s="167">
        <f t="shared" si="4"/>
        <v>2053.95</v>
      </c>
      <c r="X18" s="1">
        <v>0</v>
      </c>
      <c r="Y18" s="164">
        <f t="shared" si="5"/>
        <v>2053.95</v>
      </c>
    </row>
    <row r="19" spans="1:25" ht="12.75" hidden="1" outlineLevel="1">
      <c r="A19" s="1" t="s">
        <v>2984</v>
      </c>
      <c r="C19" s="1" t="s">
        <v>2985</v>
      </c>
      <c r="D19" s="2" t="s">
        <v>2986</v>
      </c>
      <c r="E19" s="1">
        <v>0</v>
      </c>
      <c r="F19" s="1">
        <v>0</v>
      </c>
      <c r="G19" s="166">
        <f t="shared" si="0"/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f t="shared" si="1"/>
        <v>0</v>
      </c>
      <c r="M19" s="166">
        <v>0</v>
      </c>
      <c r="N19" s="166">
        <v>237098.86</v>
      </c>
      <c r="O19" s="166">
        <v>0</v>
      </c>
      <c r="P19" s="166">
        <f t="shared" si="2"/>
        <v>237098.86</v>
      </c>
      <c r="Q19" s="166">
        <v>0</v>
      </c>
      <c r="R19" s="166">
        <v>0</v>
      </c>
      <c r="S19" s="166">
        <v>0</v>
      </c>
      <c r="T19" s="166">
        <v>0</v>
      </c>
      <c r="U19" s="166">
        <f t="shared" si="3"/>
        <v>0</v>
      </c>
      <c r="V19" s="166">
        <v>0</v>
      </c>
      <c r="W19" s="167">
        <f t="shared" si="4"/>
        <v>237098.86</v>
      </c>
      <c r="X19" s="1">
        <v>0</v>
      </c>
      <c r="Y19" s="164">
        <f t="shared" si="5"/>
        <v>237098.86</v>
      </c>
    </row>
    <row r="20" spans="1:25" ht="12.75" hidden="1" outlineLevel="1">
      <c r="A20" s="1" t="s">
        <v>3153</v>
      </c>
      <c r="C20" s="1" t="s">
        <v>2987</v>
      </c>
      <c r="D20" s="2" t="s">
        <v>3154</v>
      </c>
      <c r="E20" s="1">
        <v>0</v>
      </c>
      <c r="F20" s="1">
        <v>0</v>
      </c>
      <c r="G20" s="166">
        <f t="shared" si="0"/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f t="shared" si="1"/>
        <v>0</v>
      </c>
      <c r="M20" s="166">
        <v>0</v>
      </c>
      <c r="N20" s="166">
        <v>2671072.85</v>
      </c>
      <c r="O20" s="166">
        <v>0</v>
      </c>
      <c r="P20" s="166">
        <f t="shared" si="2"/>
        <v>2671072.85</v>
      </c>
      <c r="Q20" s="166">
        <v>0</v>
      </c>
      <c r="R20" s="166">
        <v>0</v>
      </c>
      <c r="S20" s="166">
        <v>0</v>
      </c>
      <c r="T20" s="166">
        <v>0</v>
      </c>
      <c r="U20" s="166">
        <f t="shared" si="3"/>
        <v>0</v>
      </c>
      <c r="V20" s="166">
        <v>0</v>
      </c>
      <c r="W20" s="167">
        <f t="shared" si="4"/>
        <v>2671072.85</v>
      </c>
      <c r="X20" s="1">
        <v>0</v>
      </c>
      <c r="Y20" s="164">
        <f t="shared" si="5"/>
        <v>2671072.85</v>
      </c>
    </row>
    <row r="21" spans="1:25" ht="12.75" hidden="1" outlineLevel="1">
      <c r="A21" s="1" t="s">
        <v>3155</v>
      </c>
      <c r="C21" s="1" t="s">
        <v>2988</v>
      </c>
      <c r="D21" s="2" t="s">
        <v>3156</v>
      </c>
      <c r="E21" s="1">
        <v>0</v>
      </c>
      <c r="F21" s="1">
        <v>0</v>
      </c>
      <c r="G21" s="166">
        <f t="shared" si="0"/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f t="shared" si="1"/>
        <v>0</v>
      </c>
      <c r="M21" s="166">
        <v>0</v>
      </c>
      <c r="N21" s="166">
        <v>18355.43</v>
      </c>
      <c r="O21" s="166">
        <v>0</v>
      </c>
      <c r="P21" s="166">
        <f t="shared" si="2"/>
        <v>18355.43</v>
      </c>
      <c r="Q21" s="166">
        <v>0</v>
      </c>
      <c r="R21" s="166">
        <v>0</v>
      </c>
      <c r="S21" s="166">
        <v>0</v>
      </c>
      <c r="T21" s="166">
        <v>0</v>
      </c>
      <c r="U21" s="166">
        <f t="shared" si="3"/>
        <v>0</v>
      </c>
      <c r="V21" s="166">
        <v>0</v>
      </c>
      <c r="W21" s="167">
        <f t="shared" si="4"/>
        <v>18355.43</v>
      </c>
      <c r="X21" s="1">
        <v>0</v>
      </c>
      <c r="Y21" s="164">
        <f t="shared" si="5"/>
        <v>18355.43</v>
      </c>
    </row>
    <row r="22" spans="1:25" ht="12.75" hidden="1" outlineLevel="1">
      <c r="A22" s="1" t="s">
        <v>3157</v>
      </c>
      <c r="C22" s="1" t="s">
        <v>3158</v>
      </c>
      <c r="D22" s="2" t="s">
        <v>3159</v>
      </c>
      <c r="E22" s="1">
        <v>0</v>
      </c>
      <c r="F22" s="1">
        <v>0</v>
      </c>
      <c r="G22" s="166">
        <f t="shared" si="0"/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f t="shared" si="1"/>
        <v>0</v>
      </c>
      <c r="M22" s="166">
        <v>0</v>
      </c>
      <c r="N22" s="166">
        <v>7148424.87</v>
      </c>
      <c r="O22" s="166">
        <v>0</v>
      </c>
      <c r="P22" s="166">
        <f t="shared" si="2"/>
        <v>7148424.87</v>
      </c>
      <c r="Q22" s="166">
        <v>0</v>
      </c>
      <c r="R22" s="166">
        <v>0</v>
      </c>
      <c r="S22" s="166">
        <v>0</v>
      </c>
      <c r="T22" s="166">
        <v>0</v>
      </c>
      <c r="U22" s="166">
        <f t="shared" si="3"/>
        <v>0</v>
      </c>
      <c r="V22" s="166">
        <v>0</v>
      </c>
      <c r="W22" s="167">
        <f t="shared" si="4"/>
        <v>7148424.87</v>
      </c>
      <c r="X22" s="1">
        <v>0</v>
      </c>
      <c r="Y22" s="164">
        <f t="shared" si="5"/>
        <v>7148424.87</v>
      </c>
    </row>
    <row r="23" spans="1:25" ht="12.75" hidden="1" outlineLevel="1">
      <c r="A23" s="1" t="s">
        <v>3160</v>
      </c>
      <c r="C23" s="1" t="s">
        <v>3161</v>
      </c>
      <c r="D23" s="2" t="s">
        <v>3162</v>
      </c>
      <c r="E23" s="1">
        <v>-16854368.720000003</v>
      </c>
      <c r="F23" s="1">
        <v>-887698.5</v>
      </c>
      <c r="G23" s="166">
        <f t="shared" si="0"/>
        <v>-17742067.220000003</v>
      </c>
      <c r="H23" s="166">
        <v>15894244.02</v>
      </c>
      <c r="I23" s="166">
        <v>207169.59</v>
      </c>
      <c r="J23" s="166">
        <v>0</v>
      </c>
      <c r="K23" s="166">
        <v>4228489.35</v>
      </c>
      <c r="L23" s="166">
        <f t="shared" si="1"/>
        <v>4435658.9399999995</v>
      </c>
      <c r="M23" s="166">
        <v>0</v>
      </c>
      <c r="N23" s="166">
        <v>-4635600.17</v>
      </c>
      <c r="O23" s="166">
        <v>5618.28</v>
      </c>
      <c r="P23" s="166">
        <f t="shared" si="2"/>
        <v>-4629981.89</v>
      </c>
      <c r="Q23" s="166">
        <v>-143081.74</v>
      </c>
      <c r="R23" s="166">
        <v>-160144.21</v>
      </c>
      <c r="S23" s="166">
        <v>-71871.41</v>
      </c>
      <c r="T23" s="166">
        <v>61702.43</v>
      </c>
      <c r="U23" s="166">
        <f t="shared" si="3"/>
        <v>-313394.93</v>
      </c>
      <c r="V23" s="166">
        <v>-27690.8</v>
      </c>
      <c r="W23" s="167">
        <f t="shared" si="4"/>
        <v>-2383231.880000003</v>
      </c>
      <c r="X23" s="1">
        <v>0</v>
      </c>
      <c r="Y23" s="164">
        <f t="shared" si="5"/>
        <v>-2383231.880000003</v>
      </c>
    </row>
    <row r="24" spans="1:25" ht="12.75" customHeight="1" collapsed="1">
      <c r="A24" s="160" t="s">
        <v>3163</v>
      </c>
      <c r="B24" s="30"/>
      <c r="C24" s="160" t="s">
        <v>3164</v>
      </c>
      <c r="D24" s="31"/>
      <c r="E24" s="32">
        <v>-8216587.940000003</v>
      </c>
      <c r="F24" s="32">
        <v>-887698.5</v>
      </c>
      <c r="G24" s="36">
        <f t="shared" si="0"/>
        <v>-9104286.440000003</v>
      </c>
      <c r="H24" s="36">
        <v>15897229.54</v>
      </c>
      <c r="I24" s="36">
        <v>207169.59</v>
      </c>
      <c r="J24" s="36">
        <v>0</v>
      </c>
      <c r="K24" s="36">
        <v>4268122.69</v>
      </c>
      <c r="L24" s="36">
        <f t="shared" si="1"/>
        <v>4475292.28</v>
      </c>
      <c r="M24" s="36">
        <v>0</v>
      </c>
      <c r="N24" s="36">
        <v>6303450.18</v>
      </c>
      <c r="O24" s="36">
        <v>10191.07</v>
      </c>
      <c r="P24" s="36">
        <f t="shared" si="2"/>
        <v>6313641.25</v>
      </c>
      <c r="Q24" s="36">
        <v>522344.07</v>
      </c>
      <c r="R24" s="36">
        <v>584633.45</v>
      </c>
      <c r="S24" s="36">
        <v>-24578.76</v>
      </c>
      <c r="T24" s="36">
        <v>61702.43</v>
      </c>
      <c r="U24" s="36">
        <f t="shared" si="3"/>
        <v>1144101.19</v>
      </c>
      <c r="V24" s="36">
        <v>103143.84</v>
      </c>
      <c r="W24" s="165">
        <f t="shared" si="4"/>
        <v>18829121.659999996</v>
      </c>
      <c r="X24" s="32">
        <v>0</v>
      </c>
      <c r="Y24" s="163">
        <f t="shared" si="5"/>
        <v>18829121.659999996</v>
      </c>
    </row>
    <row r="25" spans="1:25" ht="12.75" hidden="1" outlineLevel="1">
      <c r="A25" s="1" t="s">
        <v>3165</v>
      </c>
      <c r="C25" s="1" t="s">
        <v>3166</v>
      </c>
      <c r="D25" s="2" t="s">
        <v>3167</v>
      </c>
      <c r="E25" s="1">
        <v>0</v>
      </c>
      <c r="F25" s="1">
        <v>0</v>
      </c>
      <c r="G25" s="166">
        <f>E25+F25</f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f t="shared" si="1"/>
        <v>0</v>
      </c>
      <c r="M25" s="166">
        <v>0</v>
      </c>
      <c r="N25" s="166">
        <v>0</v>
      </c>
      <c r="O25" s="166">
        <v>0</v>
      </c>
      <c r="P25" s="166">
        <f t="shared" si="2"/>
        <v>0</v>
      </c>
      <c r="Q25" s="166">
        <v>0</v>
      </c>
      <c r="R25" s="166">
        <v>336348.78</v>
      </c>
      <c r="S25" s="166">
        <v>0</v>
      </c>
      <c r="T25" s="166">
        <v>0</v>
      </c>
      <c r="U25" s="166">
        <f>Q25+R25+S25+T25</f>
        <v>336348.78</v>
      </c>
      <c r="V25" s="166">
        <v>0</v>
      </c>
      <c r="W25" s="167">
        <f t="shared" si="4"/>
        <v>336348.78</v>
      </c>
      <c r="X25" s="1">
        <v>0</v>
      </c>
      <c r="Y25" s="164">
        <f>W25+X25</f>
        <v>336348.78</v>
      </c>
    </row>
    <row r="26" spans="1:25" ht="12.75" customHeight="1" collapsed="1">
      <c r="A26" s="160" t="s">
        <v>3168</v>
      </c>
      <c r="B26" s="30"/>
      <c r="C26" s="160" t="s">
        <v>3169</v>
      </c>
      <c r="D26" s="31"/>
      <c r="E26" s="32">
        <v>0</v>
      </c>
      <c r="F26" s="32">
        <v>0</v>
      </c>
      <c r="G26" s="36">
        <f t="shared" si="0"/>
        <v>0</v>
      </c>
      <c r="H26" s="36">
        <v>0</v>
      </c>
      <c r="I26" s="36">
        <v>0</v>
      </c>
      <c r="J26" s="36">
        <v>0</v>
      </c>
      <c r="K26" s="36">
        <v>0</v>
      </c>
      <c r="L26" s="36">
        <f t="shared" si="1"/>
        <v>0</v>
      </c>
      <c r="M26" s="36">
        <v>0</v>
      </c>
      <c r="N26" s="36">
        <v>0</v>
      </c>
      <c r="O26" s="36">
        <v>0</v>
      </c>
      <c r="P26" s="36">
        <f t="shared" si="2"/>
        <v>0</v>
      </c>
      <c r="Q26" s="36">
        <v>0</v>
      </c>
      <c r="R26" s="36">
        <v>336348.78</v>
      </c>
      <c r="S26" s="36">
        <v>0</v>
      </c>
      <c r="T26" s="36">
        <v>0</v>
      </c>
      <c r="U26" s="36">
        <f t="shared" si="3"/>
        <v>336348.78</v>
      </c>
      <c r="V26" s="36">
        <v>0</v>
      </c>
      <c r="W26" s="165">
        <f t="shared" si="4"/>
        <v>336348.78</v>
      </c>
      <c r="X26" s="32">
        <v>0</v>
      </c>
      <c r="Y26" s="163">
        <f t="shared" si="5"/>
        <v>336348.78</v>
      </c>
    </row>
    <row r="27" spans="1:25" ht="12.75" hidden="1" outlineLevel="1">
      <c r="A27" s="1" t="s">
        <v>2989</v>
      </c>
      <c r="C27" s="1" t="s">
        <v>2990</v>
      </c>
      <c r="D27" s="2" t="s">
        <v>2991</v>
      </c>
      <c r="E27" s="1">
        <v>0</v>
      </c>
      <c r="F27" s="1">
        <v>0</v>
      </c>
      <c r="G27" s="166">
        <f>E27+F27</f>
        <v>0</v>
      </c>
      <c r="H27" s="166">
        <v>1370390.82</v>
      </c>
      <c r="I27" s="166">
        <v>0</v>
      </c>
      <c r="J27" s="166">
        <v>0</v>
      </c>
      <c r="K27" s="166">
        <v>0</v>
      </c>
      <c r="L27" s="166">
        <f t="shared" si="1"/>
        <v>0</v>
      </c>
      <c r="M27" s="166">
        <v>0</v>
      </c>
      <c r="N27" s="166">
        <v>0</v>
      </c>
      <c r="O27" s="166">
        <v>0</v>
      </c>
      <c r="P27" s="166">
        <f t="shared" si="2"/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f>Q27+R27+S27+T27</f>
        <v>0</v>
      </c>
      <c r="V27" s="166">
        <v>0</v>
      </c>
      <c r="W27" s="167">
        <f t="shared" si="4"/>
        <v>1370390.82</v>
      </c>
      <c r="X27" s="1">
        <v>0</v>
      </c>
      <c r="Y27" s="164">
        <f>W27+X27</f>
        <v>1370390.82</v>
      </c>
    </row>
    <row r="28" spans="1:25" ht="12.75" hidden="1" outlineLevel="1">
      <c r="A28" s="1" t="s">
        <v>3170</v>
      </c>
      <c r="C28" s="1" t="s">
        <v>3171</v>
      </c>
      <c r="D28" s="2" t="s">
        <v>3172</v>
      </c>
      <c r="E28" s="1">
        <v>0</v>
      </c>
      <c r="F28" s="1">
        <v>0</v>
      </c>
      <c r="G28" s="166">
        <f>E28+F28</f>
        <v>0</v>
      </c>
      <c r="H28" s="166">
        <v>3113308.13</v>
      </c>
      <c r="I28" s="166">
        <v>0</v>
      </c>
      <c r="J28" s="166">
        <v>0</v>
      </c>
      <c r="K28" s="166">
        <v>0</v>
      </c>
      <c r="L28" s="166">
        <f t="shared" si="1"/>
        <v>0</v>
      </c>
      <c r="M28" s="166">
        <v>0</v>
      </c>
      <c r="N28" s="166">
        <v>0</v>
      </c>
      <c r="O28" s="166">
        <v>0</v>
      </c>
      <c r="P28" s="166">
        <f t="shared" si="2"/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f>Q28+R28+S28+T28</f>
        <v>0</v>
      </c>
      <c r="V28" s="166">
        <v>0</v>
      </c>
      <c r="W28" s="167">
        <f t="shared" si="4"/>
        <v>3113308.13</v>
      </c>
      <c r="X28" s="1">
        <v>0</v>
      </c>
      <c r="Y28" s="164">
        <f>W28+X28</f>
        <v>3113308.13</v>
      </c>
    </row>
    <row r="29" spans="1:25" ht="12.75" customHeight="1" collapsed="1">
      <c r="A29" s="160" t="s">
        <v>3173</v>
      </c>
      <c r="B29" s="30"/>
      <c r="C29" s="160" t="s">
        <v>3174</v>
      </c>
      <c r="D29" s="31"/>
      <c r="E29" s="32">
        <v>0</v>
      </c>
      <c r="F29" s="32">
        <v>0</v>
      </c>
      <c r="G29" s="36">
        <f t="shared" si="0"/>
        <v>0</v>
      </c>
      <c r="H29" s="36">
        <v>4483698.95</v>
      </c>
      <c r="I29" s="36">
        <v>0</v>
      </c>
      <c r="J29" s="36">
        <v>0</v>
      </c>
      <c r="K29" s="36">
        <v>0</v>
      </c>
      <c r="L29" s="36">
        <f t="shared" si="1"/>
        <v>0</v>
      </c>
      <c r="M29" s="36">
        <v>0</v>
      </c>
      <c r="N29" s="36">
        <v>0</v>
      </c>
      <c r="O29" s="36">
        <v>0</v>
      </c>
      <c r="P29" s="36">
        <f t="shared" si="2"/>
        <v>0</v>
      </c>
      <c r="Q29" s="36">
        <v>0</v>
      </c>
      <c r="R29" s="36">
        <v>0</v>
      </c>
      <c r="S29" s="36">
        <v>0</v>
      </c>
      <c r="T29" s="36">
        <v>0</v>
      </c>
      <c r="U29" s="36">
        <f t="shared" si="3"/>
        <v>0</v>
      </c>
      <c r="V29" s="36">
        <v>0</v>
      </c>
      <c r="W29" s="165">
        <f t="shared" si="4"/>
        <v>4483698.95</v>
      </c>
      <c r="X29" s="32">
        <v>0</v>
      </c>
      <c r="Y29" s="163">
        <f t="shared" si="5"/>
        <v>4483698.95</v>
      </c>
    </row>
    <row r="30" spans="1:25" ht="12.75" customHeight="1">
      <c r="A30" s="160" t="s">
        <v>3175</v>
      </c>
      <c r="B30" s="30"/>
      <c r="C30" s="160" t="s">
        <v>3176</v>
      </c>
      <c r="D30" s="31"/>
      <c r="E30" s="32">
        <v>0</v>
      </c>
      <c r="F30" s="32">
        <v>0</v>
      </c>
      <c r="G30" s="36">
        <f t="shared" si="0"/>
        <v>0</v>
      </c>
      <c r="H30" s="36">
        <v>0</v>
      </c>
      <c r="I30" s="36">
        <v>0</v>
      </c>
      <c r="J30" s="36">
        <v>0</v>
      </c>
      <c r="K30" s="36">
        <v>0</v>
      </c>
      <c r="L30" s="36">
        <f t="shared" si="1"/>
        <v>0</v>
      </c>
      <c r="M30" s="36">
        <v>0</v>
      </c>
      <c r="N30" s="36">
        <v>0</v>
      </c>
      <c r="O30" s="36">
        <v>0</v>
      </c>
      <c r="P30" s="36">
        <f t="shared" si="2"/>
        <v>0</v>
      </c>
      <c r="Q30" s="36">
        <v>0</v>
      </c>
      <c r="R30" s="36">
        <v>0</v>
      </c>
      <c r="S30" s="36">
        <v>0</v>
      </c>
      <c r="T30" s="36">
        <v>0</v>
      </c>
      <c r="U30" s="36">
        <f t="shared" si="3"/>
        <v>0</v>
      </c>
      <c r="V30" s="36">
        <v>0</v>
      </c>
      <c r="W30" s="165">
        <f t="shared" si="4"/>
        <v>0</v>
      </c>
      <c r="X30" s="32">
        <v>0</v>
      </c>
      <c r="Y30" s="163">
        <f t="shared" si="5"/>
        <v>0</v>
      </c>
    </row>
    <row r="31" spans="1:25" ht="12.75" hidden="1" outlineLevel="1">
      <c r="A31" s="1" t="s">
        <v>3177</v>
      </c>
      <c r="C31" s="1" t="s">
        <v>3178</v>
      </c>
      <c r="D31" s="2" t="s">
        <v>3179</v>
      </c>
      <c r="E31" s="1">
        <v>0</v>
      </c>
      <c r="F31" s="1">
        <v>0</v>
      </c>
      <c r="G31" s="166">
        <f>E31+F31</f>
        <v>0</v>
      </c>
      <c r="H31" s="166">
        <v>6993705.26</v>
      </c>
      <c r="I31" s="166">
        <v>0</v>
      </c>
      <c r="J31" s="166">
        <v>0</v>
      </c>
      <c r="K31" s="166">
        <v>0</v>
      </c>
      <c r="L31" s="166">
        <f t="shared" si="1"/>
        <v>0</v>
      </c>
      <c r="M31" s="166">
        <v>0</v>
      </c>
      <c r="N31" s="166">
        <v>0</v>
      </c>
      <c r="O31" s="166">
        <v>0</v>
      </c>
      <c r="P31" s="166">
        <f t="shared" si="2"/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f>Q31+R31+S31+T31</f>
        <v>0</v>
      </c>
      <c r="V31" s="166">
        <v>0</v>
      </c>
      <c r="W31" s="167">
        <f t="shared" si="4"/>
        <v>6993705.26</v>
      </c>
      <c r="X31" s="1">
        <v>0</v>
      </c>
      <c r="Y31" s="164">
        <f>W31+X31</f>
        <v>6993705.26</v>
      </c>
    </row>
    <row r="32" spans="1:25" ht="12.75" customHeight="1" collapsed="1">
      <c r="A32" s="160" t="s">
        <v>3180</v>
      </c>
      <c r="B32" s="30"/>
      <c r="C32" s="160" t="s">
        <v>737</v>
      </c>
      <c r="D32" s="31"/>
      <c r="E32" s="32">
        <v>0</v>
      </c>
      <c r="F32" s="32">
        <v>0</v>
      </c>
      <c r="G32" s="36">
        <f t="shared" si="0"/>
        <v>0</v>
      </c>
      <c r="H32" s="36">
        <v>6993705.26</v>
      </c>
      <c r="I32" s="36">
        <v>0</v>
      </c>
      <c r="J32" s="36">
        <v>0</v>
      </c>
      <c r="K32" s="36">
        <v>0</v>
      </c>
      <c r="L32" s="36">
        <f t="shared" si="1"/>
        <v>0</v>
      </c>
      <c r="M32" s="36">
        <v>0</v>
      </c>
      <c r="N32" s="36">
        <v>0</v>
      </c>
      <c r="O32" s="36">
        <v>0</v>
      </c>
      <c r="P32" s="36">
        <f t="shared" si="2"/>
        <v>0</v>
      </c>
      <c r="Q32" s="36">
        <v>0</v>
      </c>
      <c r="R32" s="36">
        <v>0</v>
      </c>
      <c r="S32" s="36">
        <v>0</v>
      </c>
      <c r="T32" s="36">
        <v>0</v>
      </c>
      <c r="U32" s="36">
        <f t="shared" si="3"/>
        <v>0</v>
      </c>
      <c r="V32" s="36">
        <v>0</v>
      </c>
      <c r="W32" s="165">
        <f t="shared" si="4"/>
        <v>6993705.26</v>
      </c>
      <c r="X32" s="32">
        <v>0</v>
      </c>
      <c r="Y32" s="163">
        <f t="shared" si="5"/>
        <v>6993705.26</v>
      </c>
    </row>
    <row r="33" spans="1:25" ht="12.75" hidden="1" outlineLevel="1">
      <c r="A33" s="1" t="s">
        <v>3181</v>
      </c>
      <c r="C33" s="1" t="s">
        <v>3182</v>
      </c>
      <c r="D33" s="2" t="s">
        <v>3183</v>
      </c>
      <c r="E33" s="1">
        <v>5135596.63</v>
      </c>
      <c r="F33" s="1">
        <v>-10800.58</v>
      </c>
      <c r="G33" s="166">
        <f>E33+F33</f>
        <v>5124796.05</v>
      </c>
      <c r="H33" s="166">
        <v>0</v>
      </c>
      <c r="I33" s="166">
        <v>0</v>
      </c>
      <c r="J33" s="166">
        <v>0</v>
      </c>
      <c r="K33" s="166">
        <v>49630.32</v>
      </c>
      <c r="L33" s="166">
        <f t="shared" si="1"/>
        <v>49630.32</v>
      </c>
      <c r="M33" s="166">
        <v>0</v>
      </c>
      <c r="N33" s="166">
        <v>0</v>
      </c>
      <c r="O33" s="166">
        <v>0</v>
      </c>
      <c r="P33" s="166">
        <f t="shared" si="2"/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f>Q33+R33+S33+T33</f>
        <v>0</v>
      </c>
      <c r="V33" s="166">
        <v>50</v>
      </c>
      <c r="W33" s="167">
        <f t="shared" si="4"/>
        <v>5174476.37</v>
      </c>
      <c r="X33" s="1">
        <v>0</v>
      </c>
      <c r="Y33" s="164">
        <f>W33+X33</f>
        <v>5174476.37</v>
      </c>
    </row>
    <row r="34" spans="1:25" ht="12.75" hidden="1" outlineLevel="1">
      <c r="A34" s="1" t="s">
        <v>3184</v>
      </c>
      <c r="C34" s="1" t="s">
        <v>3185</v>
      </c>
      <c r="D34" s="2" t="s">
        <v>3186</v>
      </c>
      <c r="E34" s="1">
        <v>622315.67</v>
      </c>
      <c r="F34" s="1">
        <v>32697.18</v>
      </c>
      <c r="G34" s="166">
        <f>E34+F34</f>
        <v>655012.8500000001</v>
      </c>
      <c r="H34" s="166">
        <v>0</v>
      </c>
      <c r="I34" s="166">
        <v>0</v>
      </c>
      <c r="J34" s="166">
        <v>0</v>
      </c>
      <c r="K34" s="166">
        <v>0</v>
      </c>
      <c r="L34" s="166">
        <f t="shared" si="1"/>
        <v>0</v>
      </c>
      <c r="M34" s="166">
        <v>0</v>
      </c>
      <c r="N34" s="166">
        <v>0</v>
      </c>
      <c r="O34" s="166">
        <v>0</v>
      </c>
      <c r="P34" s="166">
        <f t="shared" si="2"/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f>Q34+R34+S34+T34</f>
        <v>0</v>
      </c>
      <c r="V34" s="166">
        <v>28000</v>
      </c>
      <c r="W34" s="167">
        <f t="shared" si="4"/>
        <v>683012.8500000001</v>
      </c>
      <c r="X34" s="1">
        <v>0</v>
      </c>
      <c r="Y34" s="164">
        <f>W34+X34</f>
        <v>683012.8500000001</v>
      </c>
    </row>
    <row r="35" spans="1:25" ht="12.75" hidden="1" outlineLevel="1">
      <c r="A35" s="1" t="s">
        <v>3187</v>
      </c>
      <c r="C35" s="1" t="s">
        <v>3188</v>
      </c>
      <c r="D35" s="2" t="s">
        <v>3189</v>
      </c>
      <c r="E35" s="1">
        <v>4601267.66</v>
      </c>
      <c r="F35" s="1">
        <v>491117.1</v>
      </c>
      <c r="G35" s="166">
        <f>E35+F35</f>
        <v>5092384.76</v>
      </c>
      <c r="H35" s="166">
        <v>54904.67</v>
      </c>
      <c r="I35" s="166">
        <v>3000</v>
      </c>
      <c r="J35" s="166">
        <v>0</v>
      </c>
      <c r="K35" s="166">
        <v>134203.19</v>
      </c>
      <c r="L35" s="166">
        <f t="shared" si="1"/>
        <v>137203.19</v>
      </c>
      <c r="M35" s="166">
        <v>0</v>
      </c>
      <c r="N35" s="166">
        <v>0</v>
      </c>
      <c r="O35" s="166">
        <v>0</v>
      </c>
      <c r="P35" s="166">
        <f t="shared" si="2"/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f>Q35+R35+S35+T35</f>
        <v>0</v>
      </c>
      <c r="V35" s="166">
        <v>0</v>
      </c>
      <c r="W35" s="167">
        <f t="shared" si="4"/>
        <v>5284492.62</v>
      </c>
      <c r="X35" s="1">
        <v>0</v>
      </c>
      <c r="Y35" s="164">
        <f>W35+X35</f>
        <v>5284492.62</v>
      </c>
    </row>
    <row r="36" spans="1:25" ht="12.75" hidden="1" outlineLevel="1">
      <c r="A36" s="1" t="s">
        <v>3190</v>
      </c>
      <c r="C36" s="1" t="s">
        <v>3191</v>
      </c>
      <c r="D36" s="2" t="s">
        <v>3192</v>
      </c>
      <c r="E36" s="1">
        <v>-827531.19</v>
      </c>
      <c r="F36" s="1">
        <v>0</v>
      </c>
      <c r="G36" s="166">
        <f>E36+F36</f>
        <v>-827531.19</v>
      </c>
      <c r="H36" s="166">
        <v>0</v>
      </c>
      <c r="I36" s="166">
        <v>0</v>
      </c>
      <c r="J36" s="166">
        <v>0</v>
      </c>
      <c r="K36" s="166">
        <v>0</v>
      </c>
      <c r="L36" s="166">
        <f t="shared" si="1"/>
        <v>0</v>
      </c>
      <c r="M36" s="166">
        <v>0</v>
      </c>
      <c r="N36" s="166">
        <v>0</v>
      </c>
      <c r="O36" s="166">
        <v>0</v>
      </c>
      <c r="P36" s="166">
        <f t="shared" si="2"/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f>Q36+R36+S36+T36</f>
        <v>0</v>
      </c>
      <c r="V36" s="166">
        <v>0</v>
      </c>
      <c r="W36" s="167">
        <f t="shared" si="4"/>
        <v>-827531.19</v>
      </c>
      <c r="X36" s="1">
        <v>0</v>
      </c>
      <c r="Y36" s="164">
        <f>W36+X36</f>
        <v>-827531.19</v>
      </c>
    </row>
    <row r="37" spans="1:25" ht="12.75" hidden="1" outlineLevel="1">
      <c r="A37" s="1" t="s">
        <v>3193</v>
      </c>
      <c r="C37" s="1" t="s">
        <v>3194</v>
      </c>
      <c r="D37" s="2" t="s">
        <v>3195</v>
      </c>
      <c r="E37" s="1">
        <v>0</v>
      </c>
      <c r="F37" s="1">
        <v>0</v>
      </c>
      <c r="G37" s="166">
        <f>E37+F37</f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f t="shared" si="1"/>
        <v>0</v>
      </c>
      <c r="M37" s="166">
        <v>0</v>
      </c>
      <c r="N37" s="166">
        <v>0</v>
      </c>
      <c r="O37" s="166">
        <v>0</v>
      </c>
      <c r="P37" s="166">
        <f t="shared" si="2"/>
        <v>0</v>
      </c>
      <c r="Q37" s="166">
        <v>0</v>
      </c>
      <c r="R37" s="166">
        <v>0</v>
      </c>
      <c r="S37" s="166">
        <v>0</v>
      </c>
      <c r="T37" s="166">
        <v>0</v>
      </c>
      <c r="U37" s="166">
        <f>Q37+R37+S37+T37</f>
        <v>0</v>
      </c>
      <c r="V37" s="166">
        <v>1517.18</v>
      </c>
      <c r="W37" s="167">
        <f t="shared" si="4"/>
        <v>1517.18</v>
      </c>
      <c r="X37" s="1">
        <v>0</v>
      </c>
      <c r="Y37" s="164">
        <f>W37+X37</f>
        <v>1517.18</v>
      </c>
    </row>
    <row r="38" spans="1:25" ht="12.75" customHeight="1" collapsed="1">
      <c r="A38" s="160" t="s">
        <v>3196</v>
      </c>
      <c r="B38" s="30"/>
      <c r="C38" s="160" t="s">
        <v>3197</v>
      </c>
      <c r="D38" s="31"/>
      <c r="E38" s="32">
        <v>9531648.770000001</v>
      </c>
      <c r="F38" s="32">
        <v>513013.7</v>
      </c>
      <c r="G38" s="36">
        <f t="shared" si="0"/>
        <v>10044662.47</v>
      </c>
      <c r="H38" s="36">
        <v>54904.67</v>
      </c>
      <c r="I38" s="36">
        <v>3000</v>
      </c>
      <c r="J38" s="36">
        <v>0</v>
      </c>
      <c r="K38" s="36">
        <v>183833.51</v>
      </c>
      <c r="L38" s="36">
        <f t="shared" si="1"/>
        <v>186833.51</v>
      </c>
      <c r="M38" s="36">
        <v>0</v>
      </c>
      <c r="N38" s="36">
        <v>0</v>
      </c>
      <c r="O38" s="36">
        <v>0</v>
      </c>
      <c r="P38" s="36">
        <f t="shared" si="2"/>
        <v>0</v>
      </c>
      <c r="Q38" s="36">
        <v>0</v>
      </c>
      <c r="R38" s="36">
        <v>0</v>
      </c>
      <c r="S38" s="36">
        <v>0</v>
      </c>
      <c r="T38" s="36">
        <v>0</v>
      </c>
      <c r="U38" s="36">
        <f t="shared" si="3"/>
        <v>0</v>
      </c>
      <c r="V38" s="36">
        <v>29567.18</v>
      </c>
      <c r="W38" s="165">
        <f t="shared" si="4"/>
        <v>10315967.83</v>
      </c>
      <c r="X38" s="32">
        <v>0</v>
      </c>
      <c r="Y38" s="163">
        <f t="shared" si="5"/>
        <v>10315967.83</v>
      </c>
    </row>
    <row r="39" spans="1:25" ht="12.75" customHeight="1">
      <c r="A39" s="160" t="s">
        <v>3198</v>
      </c>
      <c r="B39" s="30"/>
      <c r="C39" s="160" t="s">
        <v>3199</v>
      </c>
      <c r="D39" s="31"/>
      <c r="E39" s="32">
        <v>0</v>
      </c>
      <c r="F39" s="32">
        <v>0</v>
      </c>
      <c r="G39" s="36">
        <f t="shared" si="0"/>
        <v>0</v>
      </c>
      <c r="H39" s="36">
        <v>0</v>
      </c>
      <c r="I39" s="36">
        <v>0</v>
      </c>
      <c r="J39" s="36">
        <v>0</v>
      </c>
      <c r="K39" s="36">
        <v>0</v>
      </c>
      <c r="L39" s="36">
        <f t="shared" si="1"/>
        <v>0</v>
      </c>
      <c r="M39" s="36">
        <v>0</v>
      </c>
      <c r="N39" s="36">
        <v>0</v>
      </c>
      <c r="O39" s="36">
        <v>0</v>
      </c>
      <c r="P39" s="36">
        <f t="shared" si="2"/>
        <v>0</v>
      </c>
      <c r="Q39" s="36">
        <v>0</v>
      </c>
      <c r="R39" s="36">
        <v>0</v>
      </c>
      <c r="S39" s="36">
        <v>0</v>
      </c>
      <c r="T39" s="36">
        <v>0</v>
      </c>
      <c r="U39" s="36">
        <f t="shared" si="3"/>
        <v>0</v>
      </c>
      <c r="V39" s="36">
        <v>0</v>
      </c>
      <c r="W39" s="165">
        <f t="shared" si="4"/>
        <v>0</v>
      </c>
      <c r="X39" s="32">
        <v>0</v>
      </c>
      <c r="Y39" s="163">
        <f t="shared" si="5"/>
        <v>0</v>
      </c>
    </row>
    <row r="40" spans="1:25" ht="12.75" customHeight="1">
      <c r="A40" s="160" t="s">
        <v>3200</v>
      </c>
      <c r="B40" s="30"/>
      <c r="C40" s="160" t="s">
        <v>3201</v>
      </c>
      <c r="D40" s="31"/>
      <c r="E40" s="32">
        <v>0</v>
      </c>
      <c r="F40" s="32">
        <v>0</v>
      </c>
      <c r="G40" s="36">
        <f t="shared" si="0"/>
        <v>0</v>
      </c>
      <c r="H40" s="36">
        <v>0</v>
      </c>
      <c r="I40" s="36">
        <v>0</v>
      </c>
      <c r="J40" s="36">
        <v>0</v>
      </c>
      <c r="K40" s="36">
        <v>0</v>
      </c>
      <c r="L40" s="36">
        <f t="shared" si="1"/>
        <v>0</v>
      </c>
      <c r="M40" s="36">
        <v>0</v>
      </c>
      <c r="N40" s="36">
        <v>0</v>
      </c>
      <c r="O40" s="36">
        <v>0</v>
      </c>
      <c r="P40" s="36">
        <f t="shared" si="2"/>
        <v>0</v>
      </c>
      <c r="Q40" s="36">
        <v>0</v>
      </c>
      <c r="R40" s="36">
        <v>0</v>
      </c>
      <c r="S40" s="36">
        <v>0</v>
      </c>
      <c r="T40" s="36">
        <v>0</v>
      </c>
      <c r="U40" s="36">
        <f t="shared" si="3"/>
        <v>0</v>
      </c>
      <c r="V40" s="36">
        <v>0</v>
      </c>
      <c r="W40" s="165">
        <f t="shared" si="4"/>
        <v>0</v>
      </c>
      <c r="X40" s="32">
        <v>0</v>
      </c>
      <c r="Y40" s="163">
        <f t="shared" si="5"/>
        <v>0</v>
      </c>
    </row>
    <row r="41" spans="1:25" ht="12.75" hidden="1" outlineLevel="1">
      <c r="A41" s="1" t="s">
        <v>3202</v>
      </c>
      <c r="C41" s="1" t="s">
        <v>739</v>
      </c>
      <c r="D41" s="2" t="s">
        <v>3203</v>
      </c>
      <c r="E41" s="1">
        <v>1624509.87</v>
      </c>
      <c r="F41" s="1">
        <v>0</v>
      </c>
      <c r="G41" s="166">
        <f>E41+F41</f>
        <v>1624509.87</v>
      </c>
      <c r="H41" s="166">
        <v>0</v>
      </c>
      <c r="I41" s="166">
        <v>0</v>
      </c>
      <c r="J41" s="166">
        <v>0</v>
      </c>
      <c r="K41" s="166">
        <v>0</v>
      </c>
      <c r="L41" s="166">
        <f t="shared" si="1"/>
        <v>0</v>
      </c>
      <c r="M41" s="166">
        <v>0</v>
      </c>
      <c r="N41" s="166">
        <v>0</v>
      </c>
      <c r="O41" s="166">
        <v>0</v>
      </c>
      <c r="P41" s="166">
        <f t="shared" si="2"/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f>Q41+R41+S41+T41</f>
        <v>0</v>
      </c>
      <c r="V41" s="166">
        <v>0</v>
      </c>
      <c r="W41" s="167">
        <f t="shared" si="4"/>
        <v>1624509.87</v>
      </c>
      <c r="X41" s="1">
        <v>0</v>
      </c>
      <c r="Y41" s="164">
        <f>W41+X41</f>
        <v>1624509.87</v>
      </c>
    </row>
    <row r="42" spans="1:25" ht="12.75" customHeight="1" collapsed="1">
      <c r="A42" s="160" t="s">
        <v>3204</v>
      </c>
      <c r="B42" s="30"/>
      <c r="C42" s="160" t="s">
        <v>739</v>
      </c>
      <c r="D42" s="31"/>
      <c r="E42" s="32">
        <v>1624509.87</v>
      </c>
      <c r="F42" s="32">
        <v>0</v>
      </c>
      <c r="G42" s="36">
        <f t="shared" si="0"/>
        <v>1624509.87</v>
      </c>
      <c r="H42" s="36">
        <v>0</v>
      </c>
      <c r="I42" s="36">
        <v>0</v>
      </c>
      <c r="J42" s="36">
        <v>0</v>
      </c>
      <c r="K42" s="36">
        <v>0</v>
      </c>
      <c r="L42" s="36">
        <f t="shared" si="1"/>
        <v>0</v>
      </c>
      <c r="M42" s="36">
        <v>0</v>
      </c>
      <c r="N42" s="36">
        <v>0</v>
      </c>
      <c r="O42" s="36">
        <v>0</v>
      </c>
      <c r="P42" s="36">
        <f t="shared" si="2"/>
        <v>0</v>
      </c>
      <c r="Q42" s="36">
        <v>0</v>
      </c>
      <c r="R42" s="36">
        <v>0</v>
      </c>
      <c r="S42" s="36">
        <v>0</v>
      </c>
      <c r="T42" s="36">
        <v>0</v>
      </c>
      <c r="U42" s="36">
        <f t="shared" si="3"/>
        <v>0</v>
      </c>
      <c r="V42" s="36">
        <v>0</v>
      </c>
      <c r="W42" s="165">
        <f t="shared" si="4"/>
        <v>1624509.87</v>
      </c>
      <c r="X42" s="32">
        <v>0</v>
      </c>
      <c r="Y42" s="163">
        <f t="shared" si="5"/>
        <v>1624509.87</v>
      </c>
    </row>
    <row r="43" spans="1:25" ht="12.75" hidden="1" outlineLevel="1">
      <c r="A43" s="1" t="s">
        <v>3205</v>
      </c>
      <c r="C43" s="1" t="s">
        <v>3206</v>
      </c>
      <c r="D43" s="2" t="s">
        <v>3207</v>
      </c>
      <c r="E43" s="1">
        <v>2608936.43</v>
      </c>
      <c r="F43" s="1">
        <v>953413.62</v>
      </c>
      <c r="G43" s="166">
        <f>E43+F43</f>
        <v>3562350.0500000003</v>
      </c>
      <c r="H43" s="166">
        <v>237509.69</v>
      </c>
      <c r="I43" s="166">
        <v>0</v>
      </c>
      <c r="J43" s="166">
        <v>0</v>
      </c>
      <c r="K43" s="166">
        <v>0</v>
      </c>
      <c r="L43" s="166">
        <f t="shared" si="1"/>
        <v>0</v>
      </c>
      <c r="M43" s="166">
        <v>0</v>
      </c>
      <c r="N43" s="166">
        <v>0</v>
      </c>
      <c r="O43" s="166">
        <v>0</v>
      </c>
      <c r="P43" s="166">
        <f t="shared" si="2"/>
        <v>0</v>
      </c>
      <c r="Q43" s="166">
        <v>0</v>
      </c>
      <c r="R43" s="166">
        <v>0</v>
      </c>
      <c r="S43" s="166">
        <v>0</v>
      </c>
      <c r="T43" s="166">
        <v>0</v>
      </c>
      <c r="U43" s="166">
        <f>Q43+R43+S43+T43</f>
        <v>0</v>
      </c>
      <c r="V43" s="166">
        <v>3468233.59</v>
      </c>
      <c r="W43" s="167">
        <f t="shared" si="4"/>
        <v>7268093.33</v>
      </c>
      <c r="X43" s="1">
        <v>0</v>
      </c>
      <c r="Y43" s="164">
        <f>W43+X43</f>
        <v>7268093.33</v>
      </c>
    </row>
    <row r="44" spans="1:25" ht="12.75" customHeight="1" collapsed="1">
      <c r="A44" s="160" t="s">
        <v>3208</v>
      </c>
      <c r="B44" s="30"/>
      <c r="C44" s="160" t="s">
        <v>3209</v>
      </c>
      <c r="D44" s="31"/>
      <c r="E44" s="32">
        <v>2608936.43</v>
      </c>
      <c r="F44" s="32">
        <v>953413.62</v>
      </c>
      <c r="G44" s="36">
        <f t="shared" si="0"/>
        <v>3562350.0500000003</v>
      </c>
      <c r="H44" s="36">
        <v>237509.69</v>
      </c>
      <c r="I44" s="36">
        <v>0</v>
      </c>
      <c r="J44" s="36">
        <v>0</v>
      </c>
      <c r="K44" s="36">
        <v>0</v>
      </c>
      <c r="L44" s="36">
        <f t="shared" si="1"/>
        <v>0</v>
      </c>
      <c r="M44" s="36">
        <v>0</v>
      </c>
      <c r="N44" s="36">
        <v>0</v>
      </c>
      <c r="O44" s="36">
        <v>0</v>
      </c>
      <c r="P44" s="36">
        <f t="shared" si="2"/>
        <v>0</v>
      </c>
      <c r="Q44" s="36">
        <v>0</v>
      </c>
      <c r="R44" s="36">
        <v>0</v>
      </c>
      <c r="S44" s="36">
        <v>0</v>
      </c>
      <c r="T44" s="36">
        <v>0</v>
      </c>
      <c r="U44" s="36">
        <f t="shared" si="3"/>
        <v>0</v>
      </c>
      <c r="V44" s="36">
        <v>3468233.59</v>
      </c>
      <c r="W44" s="165">
        <f t="shared" si="4"/>
        <v>7268093.33</v>
      </c>
      <c r="X44" s="32">
        <v>0</v>
      </c>
      <c r="Y44" s="163">
        <f t="shared" si="5"/>
        <v>7268093.33</v>
      </c>
    </row>
    <row r="45" spans="1:25" ht="12.75" hidden="1" outlineLevel="1">
      <c r="A45" s="1" t="s">
        <v>3210</v>
      </c>
      <c r="C45" s="1" t="s">
        <v>3211</v>
      </c>
      <c r="D45" s="2" t="s">
        <v>3212</v>
      </c>
      <c r="E45" s="1">
        <v>0</v>
      </c>
      <c r="F45" s="1">
        <v>0</v>
      </c>
      <c r="G45" s="166">
        <f>E45+F45</f>
        <v>0</v>
      </c>
      <c r="H45" s="166">
        <v>0</v>
      </c>
      <c r="I45" s="166">
        <v>70000</v>
      </c>
      <c r="J45" s="166">
        <v>0</v>
      </c>
      <c r="K45" s="166">
        <v>1570000</v>
      </c>
      <c r="L45" s="166">
        <f t="shared" si="1"/>
        <v>1640000</v>
      </c>
      <c r="M45" s="166">
        <v>0</v>
      </c>
      <c r="N45" s="166">
        <v>0</v>
      </c>
      <c r="O45" s="166">
        <v>0</v>
      </c>
      <c r="P45" s="166">
        <f t="shared" si="2"/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f>Q45+R45+S45+T45</f>
        <v>0</v>
      </c>
      <c r="V45" s="166">
        <v>0</v>
      </c>
      <c r="W45" s="167">
        <f t="shared" si="4"/>
        <v>1640000</v>
      </c>
      <c r="X45" s="1">
        <v>0</v>
      </c>
      <c r="Y45" s="164">
        <f>W45+X45</f>
        <v>1640000</v>
      </c>
    </row>
    <row r="46" spans="1:25" ht="12.75" hidden="1" outlineLevel="1">
      <c r="A46" s="1" t="s">
        <v>3213</v>
      </c>
      <c r="C46" s="1" t="s">
        <v>3214</v>
      </c>
      <c r="D46" s="2" t="s">
        <v>3215</v>
      </c>
      <c r="E46" s="1">
        <v>0</v>
      </c>
      <c r="F46" s="1">
        <v>0</v>
      </c>
      <c r="G46" s="166">
        <f>E46+F46</f>
        <v>0</v>
      </c>
      <c r="H46" s="166">
        <v>0</v>
      </c>
      <c r="I46" s="166">
        <v>-10000</v>
      </c>
      <c r="J46" s="166">
        <v>0</v>
      </c>
      <c r="K46" s="166">
        <v>-110000</v>
      </c>
      <c r="L46" s="166">
        <f t="shared" si="1"/>
        <v>-120000</v>
      </c>
      <c r="M46" s="166">
        <v>0</v>
      </c>
      <c r="N46" s="166">
        <v>0</v>
      </c>
      <c r="O46" s="166">
        <v>0</v>
      </c>
      <c r="P46" s="166">
        <f t="shared" si="2"/>
        <v>0</v>
      </c>
      <c r="Q46" s="166">
        <v>0</v>
      </c>
      <c r="R46" s="166">
        <v>0</v>
      </c>
      <c r="S46" s="166">
        <v>0</v>
      </c>
      <c r="T46" s="166">
        <v>0</v>
      </c>
      <c r="U46" s="166">
        <f>Q46+R46+S46+T46</f>
        <v>0</v>
      </c>
      <c r="V46" s="166">
        <v>0</v>
      </c>
      <c r="W46" s="167">
        <f t="shared" si="4"/>
        <v>-120000</v>
      </c>
      <c r="X46" s="1">
        <v>0</v>
      </c>
      <c r="Y46" s="164">
        <f>W46+X46</f>
        <v>-120000</v>
      </c>
    </row>
    <row r="47" spans="1:25" ht="12.75" customHeight="1" collapsed="1">
      <c r="A47" s="160" t="s">
        <v>3216</v>
      </c>
      <c r="B47" s="30"/>
      <c r="C47" s="160" t="s">
        <v>738</v>
      </c>
      <c r="D47" s="31"/>
      <c r="E47" s="32">
        <v>0</v>
      </c>
      <c r="F47" s="32">
        <v>0</v>
      </c>
      <c r="G47" s="36">
        <f t="shared" si="0"/>
        <v>0</v>
      </c>
      <c r="H47" s="36">
        <v>0</v>
      </c>
      <c r="I47" s="36">
        <v>60000</v>
      </c>
      <c r="J47" s="36">
        <v>0</v>
      </c>
      <c r="K47" s="36">
        <v>1460000</v>
      </c>
      <c r="L47" s="36">
        <f t="shared" si="1"/>
        <v>1520000</v>
      </c>
      <c r="M47" s="36">
        <v>0</v>
      </c>
      <c r="N47" s="36">
        <v>0</v>
      </c>
      <c r="O47" s="36">
        <v>0</v>
      </c>
      <c r="P47" s="36">
        <f t="shared" si="2"/>
        <v>0</v>
      </c>
      <c r="Q47" s="36">
        <v>0</v>
      </c>
      <c r="R47" s="36">
        <v>0</v>
      </c>
      <c r="S47" s="36">
        <v>0</v>
      </c>
      <c r="T47" s="36">
        <v>0</v>
      </c>
      <c r="U47" s="36">
        <f t="shared" si="3"/>
        <v>0</v>
      </c>
      <c r="V47" s="36">
        <v>0</v>
      </c>
      <c r="W47" s="165">
        <f t="shared" si="4"/>
        <v>1520000</v>
      </c>
      <c r="X47" s="32">
        <v>0</v>
      </c>
      <c r="Y47" s="163">
        <f t="shared" si="5"/>
        <v>1520000</v>
      </c>
    </row>
    <row r="48" spans="1:25" ht="12.75" customHeight="1">
      <c r="A48" s="160" t="s">
        <v>3217</v>
      </c>
      <c r="B48" s="30"/>
      <c r="C48" s="160" t="s">
        <v>3218</v>
      </c>
      <c r="D48" s="31"/>
      <c r="E48" s="32">
        <v>0</v>
      </c>
      <c r="F48" s="32">
        <v>0</v>
      </c>
      <c r="G48" s="36">
        <f t="shared" si="0"/>
        <v>0</v>
      </c>
      <c r="H48" s="36">
        <v>0</v>
      </c>
      <c r="I48" s="36">
        <v>0</v>
      </c>
      <c r="J48" s="36">
        <v>0</v>
      </c>
      <c r="K48" s="36">
        <v>0</v>
      </c>
      <c r="L48" s="36">
        <f t="shared" si="1"/>
        <v>0</v>
      </c>
      <c r="M48" s="36">
        <v>0</v>
      </c>
      <c r="N48" s="36">
        <v>0</v>
      </c>
      <c r="O48" s="36">
        <v>0</v>
      </c>
      <c r="P48" s="36">
        <f t="shared" si="2"/>
        <v>0</v>
      </c>
      <c r="Q48" s="36">
        <v>0</v>
      </c>
      <c r="R48" s="36">
        <v>0</v>
      </c>
      <c r="S48" s="36">
        <v>0</v>
      </c>
      <c r="T48" s="36">
        <v>0</v>
      </c>
      <c r="U48" s="36">
        <f t="shared" si="3"/>
        <v>0</v>
      </c>
      <c r="V48" s="36">
        <v>0</v>
      </c>
      <c r="W48" s="165">
        <f t="shared" si="4"/>
        <v>0</v>
      </c>
      <c r="X48" s="32">
        <v>0</v>
      </c>
      <c r="Y48" s="163">
        <f t="shared" si="5"/>
        <v>0</v>
      </c>
    </row>
    <row r="49" spans="1:25" ht="12.75" customHeight="1">
      <c r="A49" s="2"/>
      <c r="B49" s="30"/>
      <c r="C49" s="160"/>
      <c r="D49" s="31"/>
      <c r="E49" s="32"/>
      <c r="F49" s="32"/>
      <c r="G49" s="36"/>
      <c r="H49" s="36"/>
      <c r="I49" s="36"/>
      <c r="J49" s="36"/>
      <c r="K49" s="36"/>
      <c r="L49" s="3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165"/>
      <c r="X49" s="32"/>
      <c r="Y49" s="153"/>
    </row>
    <row r="50" spans="1:25" s="169" customFormat="1" ht="12.75" customHeight="1">
      <c r="A50" s="29"/>
      <c r="B50" s="23" t="s">
        <v>2958</v>
      </c>
      <c r="C50" s="159"/>
      <c r="D50" s="24"/>
      <c r="E50" s="27">
        <f aca="true" t="shared" si="6" ref="E50:Y50">+E14+E26+E29+E30+E32+E38+E42+E44+E47+E24+E48+E40+E39</f>
        <v>5548507.129999997</v>
      </c>
      <c r="F50" s="27">
        <f t="shared" si="6"/>
        <v>578728.8200000001</v>
      </c>
      <c r="G50" s="39">
        <f t="shared" si="6"/>
        <v>6127235.949999997</v>
      </c>
      <c r="H50" s="39">
        <f t="shared" si="6"/>
        <v>27667048.11</v>
      </c>
      <c r="I50" s="39">
        <f t="shared" si="6"/>
        <v>270169.58999999997</v>
      </c>
      <c r="J50" s="39">
        <f t="shared" si="6"/>
        <v>0</v>
      </c>
      <c r="K50" s="39">
        <f t="shared" si="6"/>
        <v>5911956.2</v>
      </c>
      <c r="L50" s="39">
        <f t="shared" si="6"/>
        <v>6182125.79</v>
      </c>
      <c r="M50" s="39">
        <f t="shared" si="6"/>
        <v>0</v>
      </c>
      <c r="N50" s="39">
        <f t="shared" si="6"/>
        <v>6303450.18</v>
      </c>
      <c r="O50" s="39">
        <f t="shared" si="6"/>
        <v>10191.07</v>
      </c>
      <c r="P50" s="39">
        <f t="shared" si="6"/>
        <v>6313641.25</v>
      </c>
      <c r="Q50" s="39">
        <f t="shared" si="6"/>
        <v>522344.07</v>
      </c>
      <c r="R50" s="39">
        <f t="shared" si="6"/>
        <v>920982.23</v>
      </c>
      <c r="S50" s="39">
        <f t="shared" si="6"/>
        <v>-24578.76</v>
      </c>
      <c r="T50" s="39">
        <f t="shared" si="6"/>
        <v>61702.43</v>
      </c>
      <c r="U50" s="39">
        <f t="shared" si="6"/>
        <v>1480449.97</v>
      </c>
      <c r="V50" s="39">
        <f t="shared" si="6"/>
        <v>3600944.61</v>
      </c>
      <c r="W50" s="39">
        <f t="shared" si="6"/>
        <v>51371445.68</v>
      </c>
      <c r="X50" s="27">
        <f t="shared" si="6"/>
        <v>0</v>
      </c>
      <c r="Y50" s="27">
        <f t="shared" si="6"/>
        <v>51371445.68</v>
      </c>
    </row>
    <row r="51" spans="1:25" ht="12.75" customHeight="1">
      <c r="A51" s="2"/>
      <c r="B51" s="30"/>
      <c r="C51" s="160"/>
      <c r="D51" s="31"/>
      <c r="E51" s="32"/>
      <c r="F51" s="3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165"/>
      <c r="X51" s="32"/>
      <c r="Y51" s="153"/>
    </row>
    <row r="52" spans="1:25" ht="12.75" customHeight="1">
      <c r="A52" s="29"/>
      <c r="B52" s="23" t="s">
        <v>741</v>
      </c>
      <c r="C52" s="159"/>
      <c r="D52" s="24"/>
      <c r="E52" s="27"/>
      <c r="F52" s="27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68"/>
      <c r="X52" s="27"/>
      <c r="Y52" s="153"/>
    </row>
    <row r="53" spans="1:25" ht="12.75" customHeight="1">
      <c r="A53" s="2" t="s">
        <v>3219</v>
      </c>
      <c r="B53" s="30"/>
      <c r="C53" s="160" t="s">
        <v>3220</v>
      </c>
      <c r="D53" s="31"/>
      <c r="E53" s="32">
        <v>0</v>
      </c>
      <c r="F53" s="32">
        <v>0</v>
      </c>
      <c r="G53" s="36">
        <f aca="true" t="shared" si="7" ref="G53:G68">E53+F53</f>
        <v>0</v>
      </c>
      <c r="H53" s="36">
        <v>0</v>
      </c>
      <c r="I53" s="36">
        <v>0</v>
      </c>
      <c r="J53" s="36">
        <v>0</v>
      </c>
      <c r="K53" s="36">
        <v>0</v>
      </c>
      <c r="L53" s="36">
        <f aca="true" t="shared" si="8" ref="L53:L68">I53+J53+K53</f>
        <v>0</v>
      </c>
      <c r="M53" s="36">
        <v>0</v>
      </c>
      <c r="N53" s="36">
        <v>0</v>
      </c>
      <c r="O53" s="36">
        <v>0</v>
      </c>
      <c r="P53" s="36">
        <f aca="true" t="shared" si="9" ref="P53:P68">M53+N53+O53</f>
        <v>0</v>
      </c>
      <c r="Q53" s="36">
        <v>0</v>
      </c>
      <c r="R53" s="36">
        <v>0</v>
      </c>
      <c r="S53" s="36">
        <v>0</v>
      </c>
      <c r="T53" s="36">
        <v>0</v>
      </c>
      <c r="U53" s="36">
        <f aca="true" t="shared" si="10" ref="U53:U68">Q53+R53+S53+T53</f>
        <v>0</v>
      </c>
      <c r="V53" s="36">
        <v>0</v>
      </c>
      <c r="W53" s="165">
        <f aca="true" t="shared" si="11" ref="W53:W68">G53+H53+L53+P53+U53+V53</f>
        <v>0</v>
      </c>
      <c r="X53" s="32">
        <v>0</v>
      </c>
      <c r="Y53" s="163">
        <f aca="true" t="shared" si="12" ref="Y53:Y68">W53+X53</f>
        <v>0</v>
      </c>
    </row>
    <row r="54" spans="1:25" ht="12.75" hidden="1" outlineLevel="1">
      <c r="A54" s="1" t="s">
        <v>3221</v>
      </c>
      <c r="C54" s="1" t="s">
        <v>3222</v>
      </c>
      <c r="D54" s="2" t="s">
        <v>3223</v>
      </c>
      <c r="E54" s="1">
        <v>0</v>
      </c>
      <c r="F54" s="1">
        <v>0</v>
      </c>
      <c r="G54" s="166">
        <f t="shared" si="7"/>
        <v>0</v>
      </c>
      <c r="H54" s="166">
        <v>1594054.16</v>
      </c>
      <c r="I54" s="166">
        <v>0</v>
      </c>
      <c r="J54" s="166">
        <v>0</v>
      </c>
      <c r="K54" s="166">
        <v>0</v>
      </c>
      <c r="L54" s="166">
        <f t="shared" si="8"/>
        <v>0</v>
      </c>
      <c r="M54" s="166">
        <v>0</v>
      </c>
      <c r="N54" s="166">
        <v>0</v>
      </c>
      <c r="O54" s="166">
        <v>0</v>
      </c>
      <c r="P54" s="166">
        <f t="shared" si="9"/>
        <v>0</v>
      </c>
      <c r="Q54" s="166">
        <v>0</v>
      </c>
      <c r="R54" s="166">
        <v>0</v>
      </c>
      <c r="S54" s="166">
        <v>0</v>
      </c>
      <c r="T54" s="166">
        <v>0</v>
      </c>
      <c r="U54" s="166">
        <f t="shared" si="10"/>
        <v>0</v>
      </c>
      <c r="V54" s="166">
        <v>0</v>
      </c>
      <c r="W54" s="167">
        <f t="shared" si="11"/>
        <v>1594054.16</v>
      </c>
      <c r="X54" s="1">
        <v>0</v>
      </c>
      <c r="Y54" s="164">
        <f t="shared" si="12"/>
        <v>1594054.16</v>
      </c>
    </row>
    <row r="55" spans="1:25" ht="12.75" customHeight="1" collapsed="1">
      <c r="A55" s="160" t="s">
        <v>3224</v>
      </c>
      <c r="B55" s="30"/>
      <c r="C55" s="160" t="s">
        <v>742</v>
      </c>
      <c r="D55" s="31"/>
      <c r="E55" s="32">
        <v>0</v>
      </c>
      <c r="F55" s="32">
        <v>0</v>
      </c>
      <c r="G55" s="36">
        <f t="shared" si="7"/>
        <v>0</v>
      </c>
      <c r="H55" s="36">
        <v>1594054.16</v>
      </c>
      <c r="I55" s="36">
        <v>0</v>
      </c>
      <c r="J55" s="36">
        <v>0</v>
      </c>
      <c r="K55" s="36">
        <v>0</v>
      </c>
      <c r="L55" s="36">
        <f t="shared" si="8"/>
        <v>0</v>
      </c>
      <c r="M55" s="36">
        <v>0</v>
      </c>
      <c r="N55" s="36">
        <v>0</v>
      </c>
      <c r="O55" s="36">
        <v>0</v>
      </c>
      <c r="P55" s="36">
        <f t="shared" si="9"/>
        <v>0</v>
      </c>
      <c r="Q55" s="36">
        <v>0</v>
      </c>
      <c r="R55" s="36">
        <v>0</v>
      </c>
      <c r="S55" s="36">
        <v>0</v>
      </c>
      <c r="T55" s="36">
        <v>0</v>
      </c>
      <c r="U55" s="36">
        <f t="shared" si="10"/>
        <v>0</v>
      </c>
      <c r="V55" s="36">
        <v>0</v>
      </c>
      <c r="W55" s="165">
        <f t="shared" si="11"/>
        <v>1594054.16</v>
      </c>
      <c r="X55" s="32">
        <v>0</v>
      </c>
      <c r="Y55" s="163">
        <f t="shared" si="12"/>
        <v>1594054.16</v>
      </c>
    </row>
    <row r="56" spans="1:25" ht="12.75" hidden="1" outlineLevel="1">
      <c r="A56" s="1" t="s">
        <v>3225</v>
      </c>
      <c r="C56" s="1" t="s">
        <v>3226</v>
      </c>
      <c r="D56" s="2" t="s">
        <v>3227</v>
      </c>
      <c r="E56" s="1">
        <v>86500</v>
      </c>
      <c r="F56" s="1">
        <v>0</v>
      </c>
      <c r="G56" s="166">
        <f t="shared" si="7"/>
        <v>86500</v>
      </c>
      <c r="H56" s="166">
        <v>0</v>
      </c>
      <c r="I56" s="166">
        <v>-69434.07</v>
      </c>
      <c r="J56" s="166">
        <v>0</v>
      </c>
      <c r="K56" s="166">
        <v>-4002096.45</v>
      </c>
      <c r="L56" s="166">
        <f t="shared" si="8"/>
        <v>-4071530.52</v>
      </c>
      <c r="M56" s="166">
        <v>0</v>
      </c>
      <c r="N56" s="166">
        <v>0</v>
      </c>
      <c r="O56" s="166">
        <v>0</v>
      </c>
      <c r="P56" s="166">
        <f t="shared" si="9"/>
        <v>0</v>
      </c>
      <c r="Q56" s="166">
        <v>0</v>
      </c>
      <c r="R56" s="166">
        <v>0</v>
      </c>
      <c r="S56" s="166">
        <v>0</v>
      </c>
      <c r="T56" s="166">
        <v>0</v>
      </c>
      <c r="U56" s="166">
        <f t="shared" si="10"/>
        <v>0</v>
      </c>
      <c r="V56" s="166">
        <v>0</v>
      </c>
      <c r="W56" s="167">
        <f t="shared" si="11"/>
        <v>-3985030.52</v>
      </c>
      <c r="X56" s="1">
        <v>0</v>
      </c>
      <c r="Y56" s="164">
        <f t="shared" si="12"/>
        <v>-3985030.52</v>
      </c>
    </row>
    <row r="57" spans="1:25" ht="12.75" hidden="1" outlineLevel="1">
      <c r="A57" s="1" t="s">
        <v>3228</v>
      </c>
      <c r="C57" s="1" t="s">
        <v>3229</v>
      </c>
      <c r="D57" s="2" t="s">
        <v>3230</v>
      </c>
      <c r="E57" s="1">
        <v>0</v>
      </c>
      <c r="F57" s="1">
        <v>0</v>
      </c>
      <c r="G57" s="166">
        <f t="shared" si="7"/>
        <v>0</v>
      </c>
      <c r="H57" s="166">
        <v>0</v>
      </c>
      <c r="I57" s="166">
        <v>8000</v>
      </c>
      <c r="J57" s="166">
        <v>0</v>
      </c>
      <c r="K57" s="166">
        <v>4121173.28</v>
      </c>
      <c r="L57" s="166">
        <f t="shared" si="8"/>
        <v>4129173.28</v>
      </c>
      <c r="M57" s="166">
        <v>0</v>
      </c>
      <c r="N57" s="166">
        <v>0</v>
      </c>
      <c r="O57" s="166">
        <v>0</v>
      </c>
      <c r="P57" s="166">
        <f t="shared" si="9"/>
        <v>0</v>
      </c>
      <c r="Q57" s="166">
        <v>0</v>
      </c>
      <c r="R57" s="166">
        <v>0</v>
      </c>
      <c r="S57" s="166">
        <v>0</v>
      </c>
      <c r="T57" s="166">
        <v>0</v>
      </c>
      <c r="U57" s="166">
        <f t="shared" si="10"/>
        <v>0</v>
      </c>
      <c r="V57" s="166">
        <v>0</v>
      </c>
      <c r="W57" s="167">
        <f t="shared" si="11"/>
        <v>4129173.28</v>
      </c>
      <c r="X57" s="1">
        <v>0</v>
      </c>
      <c r="Y57" s="164">
        <f t="shared" si="12"/>
        <v>4129173.28</v>
      </c>
    </row>
    <row r="58" spans="1:25" ht="12.75" hidden="1" outlineLevel="1">
      <c r="A58" s="1" t="s">
        <v>3231</v>
      </c>
      <c r="C58" s="1" t="s">
        <v>3232</v>
      </c>
      <c r="D58" s="2" t="s">
        <v>3233</v>
      </c>
      <c r="E58" s="1">
        <v>0</v>
      </c>
      <c r="F58" s="1">
        <v>0</v>
      </c>
      <c r="G58" s="166">
        <f t="shared" si="7"/>
        <v>0</v>
      </c>
      <c r="H58" s="166">
        <v>0</v>
      </c>
      <c r="I58" s="166">
        <v>325631.54</v>
      </c>
      <c r="J58" s="166">
        <v>0</v>
      </c>
      <c r="K58" s="166">
        <v>16536819.38</v>
      </c>
      <c r="L58" s="166">
        <f t="shared" si="8"/>
        <v>16862450.92</v>
      </c>
      <c r="M58" s="166">
        <v>0</v>
      </c>
      <c r="N58" s="166">
        <v>0</v>
      </c>
      <c r="O58" s="166">
        <v>0</v>
      </c>
      <c r="P58" s="166">
        <f t="shared" si="9"/>
        <v>0</v>
      </c>
      <c r="Q58" s="166">
        <v>0</v>
      </c>
      <c r="R58" s="166">
        <v>0</v>
      </c>
      <c r="S58" s="166">
        <v>0</v>
      </c>
      <c r="T58" s="166">
        <v>0</v>
      </c>
      <c r="U58" s="166">
        <f t="shared" si="10"/>
        <v>0</v>
      </c>
      <c r="V58" s="166">
        <v>0</v>
      </c>
      <c r="W58" s="167">
        <f t="shared" si="11"/>
        <v>16862450.92</v>
      </c>
      <c r="X58" s="1">
        <v>0</v>
      </c>
      <c r="Y58" s="164">
        <f t="shared" si="12"/>
        <v>16862450.92</v>
      </c>
    </row>
    <row r="59" spans="1:25" ht="12.75" hidden="1" outlineLevel="1">
      <c r="A59" s="1" t="s">
        <v>3234</v>
      </c>
      <c r="C59" s="1" t="s">
        <v>3235</v>
      </c>
      <c r="D59" s="2" t="s">
        <v>3236</v>
      </c>
      <c r="E59" s="1">
        <v>0</v>
      </c>
      <c r="F59" s="1">
        <v>0</v>
      </c>
      <c r="G59" s="166">
        <f t="shared" si="7"/>
        <v>0</v>
      </c>
      <c r="H59" s="166">
        <v>0</v>
      </c>
      <c r="I59" s="166">
        <v>-50000</v>
      </c>
      <c r="J59" s="166">
        <v>0</v>
      </c>
      <c r="K59" s="166">
        <v>-1150000</v>
      </c>
      <c r="L59" s="166">
        <f t="shared" si="8"/>
        <v>-1200000</v>
      </c>
      <c r="M59" s="166">
        <v>0</v>
      </c>
      <c r="N59" s="166">
        <v>0</v>
      </c>
      <c r="O59" s="166">
        <v>0</v>
      </c>
      <c r="P59" s="166">
        <f t="shared" si="9"/>
        <v>0</v>
      </c>
      <c r="Q59" s="166">
        <v>0</v>
      </c>
      <c r="R59" s="166">
        <v>0</v>
      </c>
      <c r="S59" s="166">
        <v>0</v>
      </c>
      <c r="T59" s="166">
        <v>0</v>
      </c>
      <c r="U59" s="166">
        <f t="shared" si="10"/>
        <v>0</v>
      </c>
      <c r="V59" s="166">
        <v>0</v>
      </c>
      <c r="W59" s="167">
        <f t="shared" si="11"/>
        <v>-1200000</v>
      </c>
      <c r="X59" s="1">
        <v>0</v>
      </c>
      <c r="Y59" s="164">
        <f t="shared" si="12"/>
        <v>-1200000</v>
      </c>
    </row>
    <row r="60" spans="1:25" ht="12.75" customHeight="1" collapsed="1">
      <c r="A60" s="160" t="s">
        <v>3237</v>
      </c>
      <c r="B60" s="30"/>
      <c r="C60" s="160" t="s">
        <v>743</v>
      </c>
      <c r="D60" s="31"/>
      <c r="E60" s="32">
        <v>86500</v>
      </c>
      <c r="F60" s="32">
        <v>0</v>
      </c>
      <c r="G60" s="36">
        <f t="shared" si="7"/>
        <v>86500</v>
      </c>
      <c r="H60" s="36">
        <v>0</v>
      </c>
      <c r="I60" s="36">
        <v>214197.47</v>
      </c>
      <c r="J60" s="36">
        <v>0</v>
      </c>
      <c r="K60" s="36">
        <v>15505896.21</v>
      </c>
      <c r="L60" s="36">
        <f t="shared" si="8"/>
        <v>15720093.680000002</v>
      </c>
      <c r="M60" s="36">
        <v>0</v>
      </c>
      <c r="N60" s="36">
        <v>0</v>
      </c>
      <c r="O60" s="36">
        <v>0</v>
      </c>
      <c r="P60" s="36">
        <f t="shared" si="9"/>
        <v>0</v>
      </c>
      <c r="Q60" s="36">
        <v>0</v>
      </c>
      <c r="R60" s="36">
        <v>0</v>
      </c>
      <c r="S60" s="36">
        <v>0</v>
      </c>
      <c r="T60" s="36">
        <v>0</v>
      </c>
      <c r="U60" s="36">
        <f t="shared" si="10"/>
        <v>0</v>
      </c>
      <c r="V60" s="36">
        <v>0</v>
      </c>
      <c r="W60" s="165">
        <f t="shared" si="11"/>
        <v>15806593.680000002</v>
      </c>
      <c r="X60" s="32">
        <v>0</v>
      </c>
      <c r="Y60" s="163">
        <f t="shared" si="12"/>
        <v>15806593.680000002</v>
      </c>
    </row>
    <row r="61" spans="1:25" ht="12.75" hidden="1" outlineLevel="1">
      <c r="A61" s="1" t="s">
        <v>3244</v>
      </c>
      <c r="C61" s="1" t="s">
        <v>3245</v>
      </c>
      <c r="D61" s="2" t="s">
        <v>3246</v>
      </c>
      <c r="E61" s="1">
        <v>0</v>
      </c>
      <c r="F61" s="1">
        <v>0</v>
      </c>
      <c r="G61" s="166">
        <f t="shared" si="7"/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f t="shared" si="8"/>
        <v>0</v>
      </c>
      <c r="M61" s="166">
        <v>0</v>
      </c>
      <c r="N61" s="166">
        <v>0</v>
      </c>
      <c r="O61" s="166">
        <v>0</v>
      </c>
      <c r="P61" s="166">
        <f t="shared" si="9"/>
        <v>0</v>
      </c>
      <c r="Q61" s="166">
        <v>0</v>
      </c>
      <c r="R61" s="166">
        <v>0</v>
      </c>
      <c r="S61" s="166">
        <v>236022.66</v>
      </c>
      <c r="T61" s="166">
        <v>0</v>
      </c>
      <c r="U61" s="166">
        <f t="shared" si="10"/>
        <v>236022.66</v>
      </c>
      <c r="V61" s="166">
        <v>0</v>
      </c>
      <c r="W61" s="167">
        <f t="shared" si="11"/>
        <v>236022.66</v>
      </c>
      <c r="X61" s="1">
        <v>0</v>
      </c>
      <c r="Y61" s="164">
        <f t="shared" si="12"/>
        <v>236022.66</v>
      </c>
    </row>
    <row r="62" spans="1:25" ht="12.75" customHeight="1" collapsed="1">
      <c r="A62" s="160" t="s">
        <v>3247</v>
      </c>
      <c r="B62" s="30"/>
      <c r="C62" s="160" t="s">
        <v>744</v>
      </c>
      <c r="D62" s="31"/>
      <c r="E62" s="32">
        <v>0</v>
      </c>
      <c r="F62" s="32">
        <v>0</v>
      </c>
      <c r="G62" s="36">
        <f t="shared" si="7"/>
        <v>0</v>
      </c>
      <c r="H62" s="36">
        <v>0</v>
      </c>
      <c r="I62" s="36">
        <v>0</v>
      </c>
      <c r="J62" s="36">
        <v>0</v>
      </c>
      <c r="K62" s="36">
        <v>0</v>
      </c>
      <c r="L62" s="36">
        <f t="shared" si="8"/>
        <v>0</v>
      </c>
      <c r="M62" s="36">
        <v>0</v>
      </c>
      <c r="N62" s="36">
        <v>0</v>
      </c>
      <c r="O62" s="36">
        <v>0</v>
      </c>
      <c r="P62" s="36">
        <f t="shared" si="9"/>
        <v>0</v>
      </c>
      <c r="Q62" s="36">
        <v>0</v>
      </c>
      <c r="R62" s="36">
        <v>0</v>
      </c>
      <c r="S62" s="36">
        <v>236022.66</v>
      </c>
      <c r="T62" s="36">
        <v>0</v>
      </c>
      <c r="U62" s="36">
        <f t="shared" si="10"/>
        <v>236022.66</v>
      </c>
      <c r="V62" s="36">
        <v>0</v>
      </c>
      <c r="W62" s="165">
        <f t="shared" si="11"/>
        <v>236022.66</v>
      </c>
      <c r="X62" s="32">
        <v>0</v>
      </c>
      <c r="Y62" s="163">
        <f t="shared" si="12"/>
        <v>236022.66</v>
      </c>
    </row>
    <row r="63" spans="1:25" ht="12.75" hidden="1" outlineLevel="1">
      <c r="A63" s="1" t="s">
        <v>3248</v>
      </c>
      <c r="C63" s="1" t="s">
        <v>3249</v>
      </c>
      <c r="D63" s="2" t="s">
        <v>3250</v>
      </c>
      <c r="E63" s="1">
        <v>0</v>
      </c>
      <c r="F63" s="1">
        <v>0</v>
      </c>
      <c r="G63" s="166">
        <f t="shared" si="7"/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f t="shared" si="8"/>
        <v>0</v>
      </c>
      <c r="M63" s="166">
        <v>0</v>
      </c>
      <c r="N63" s="166">
        <v>6931899.5</v>
      </c>
      <c r="O63" s="166">
        <v>318984.99</v>
      </c>
      <c r="P63" s="166">
        <f t="shared" si="9"/>
        <v>7250884.49</v>
      </c>
      <c r="Q63" s="166">
        <v>0</v>
      </c>
      <c r="R63" s="166">
        <v>0</v>
      </c>
      <c r="S63" s="166">
        <v>0</v>
      </c>
      <c r="T63" s="166">
        <v>0</v>
      </c>
      <c r="U63" s="166">
        <f t="shared" si="10"/>
        <v>0</v>
      </c>
      <c r="V63" s="166">
        <v>0</v>
      </c>
      <c r="W63" s="167">
        <f t="shared" si="11"/>
        <v>7250884.49</v>
      </c>
      <c r="X63" s="1">
        <v>0</v>
      </c>
      <c r="Y63" s="164">
        <f t="shared" si="12"/>
        <v>7250884.49</v>
      </c>
    </row>
    <row r="64" spans="1:25" ht="12.75" hidden="1" outlineLevel="1">
      <c r="A64" s="1" t="s">
        <v>3251</v>
      </c>
      <c r="C64" s="1" t="s">
        <v>3252</v>
      </c>
      <c r="D64" s="2" t="s">
        <v>3253</v>
      </c>
      <c r="E64" s="1">
        <v>0</v>
      </c>
      <c r="F64" s="1">
        <v>0</v>
      </c>
      <c r="G64" s="166">
        <f t="shared" si="7"/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f t="shared" si="8"/>
        <v>0</v>
      </c>
      <c r="M64" s="166">
        <v>0</v>
      </c>
      <c r="N64" s="166">
        <v>51182145.8</v>
      </c>
      <c r="O64" s="166">
        <v>21360502.1</v>
      </c>
      <c r="P64" s="166">
        <f t="shared" si="9"/>
        <v>72542647.9</v>
      </c>
      <c r="Q64" s="166">
        <v>0</v>
      </c>
      <c r="R64" s="166">
        <v>0</v>
      </c>
      <c r="S64" s="166">
        <v>0</v>
      </c>
      <c r="T64" s="166">
        <v>0</v>
      </c>
      <c r="U64" s="166">
        <f t="shared" si="10"/>
        <v>0</v>
      </c>
      <c r="V64" s="166">
        <v>13945004.32</v>
      </c>
      <c r="W64" s="167">
        <f t="shared" si="11"/>
        <v>86487652.22</v>
      </c>
      <c r="X64" s="1">
        <v>0</v>
      </c>
      <c r="Y64" s="164">
        <f t="shared" si="12"/>
        <v>86487652.22</v>
      </c>
    </row>
    <row r="65" spans="1:25" ht="12.75" hidden="1" outlineLevel="1">
      <c r="A65" s="1" t="s">
        <v>3254</v>
      </c>
      <c r="C65" s="1" t="s">
        <v>3255</v>
      </c>
      <c r="D65" s="2" t="s">
        <v>3256</v>
      </c>
      <c r="E65" s="1">
        <v>0</v>
      </c>
      <c r="F65" s="1">
        <v>0</v>
      </c>
      <c r="G65" s="166">
        <f t="shared" si="7"/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f t="shared" si="8"/>
        <v>0</v>
      </c>
      <c r="M65" s="166">
        <v>0</v>
      </c>
      <c r="N65" s="166">
        <v>454864.88</v>
      </c>
      <c r="O65" s="166">
        <v>0</v>
      </c>
      <c r="P65" s="166">
        <f t="shared" si="9"/>
        <v>454864.88</v>
      </c>
      <c r="Q65" s="166">
        <v>0</v>
      </c>
      <c r="R65" s="166">
        <v>0</v>
      </c>
      <c r="S65" s="166">
        <v>0</v>
      </c>
      <c r="T65" s="166">
        <v>0</v>
      </c>
      <c r="U65" s="166">
        <f t="shared" si="10"/>
        <v>0</v>
      </c>
      <c r="V65" s="166">
        <v>0</v>
      </c>
      <c r="W65" s="167">
        <f t="shared" si="11"/>
        <v>454864.88</v>
      </c>
      <c r="X65" s="1">
        <v>0</v>
      </c>
      <c r="Y65" s="164">
        <f t="shared" si="12"/>
        <v>454864.88</v>
      </c>
    </row>
    <row r="66" spans="1:25" ht="12.75" hidden="1" outlineLevel="1">
      <c r="A66" s="1" t="s">
        <v>3257</v>
      </c>
      <c r="C66" s="1" t="s">
        <v>3258</v>
      </c>
      <c r="D66" s="2" t="s">
        <v>3259</v>
      </c>
      <c r="E66" s="1">
        <v>0</v>
      </c>
      <c r="F66" s="1">
        <v>0</v>
      </c>
      <c r="G66" s="166">
        <f t="shared" si="7"/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f t="shared" si="8"/>
        <v>0</v>
      </c>
      <c r="M66" s="166">
        <v>0</v>
      </c>
      <c r="N66" s="166">
        <v>300098.89</v>
      </c>
      <c r="O66" s="166">
        <v>0</v>
      </c>
      <c r="P66" s="166">
        <f t="shared" si="9"/>
        <v>300098.89</v>
      </c>
      <c r="Q66" s="166">
        <v>0</v>
      </c>
      <c r="R66" s="166">
        <v>0</v>
      </c>
      <c r="S66" s="166">
        <v>0</v>
      </c>
      <c r="T66" s="166">
        <v>0</v>
      </c>
      <c r="U66" s="166">
        <f t="shared" si="10"/>
        <v>0</v>
      </c>
      <c r="V66" s="166">
        <v>0</v>
      </c>
      <c r="W66" s="167">
        <f t="shared" si="11"/>
        <v>300098.89</v>
      </c>
      <c r="X66" s="1">
        <v>0</v>
      </c>
      <c r="Y66" s="164">
        <f t="shared" si="12"/>
        <v>300098.89</v>
      </c>
    </row>
    <row r="67" spans="1:25" ht="12.75" hidden="1" outlineLevel="1">
      <c r="A67" s="1" t="s">
        <v>2992</v>
      </c>
      <c r="C67" s="1" t="s">
        <v>2993</v>
      </c>
      <c r="D67" s="2" t="s">
        <v>2994</v>
      </c>
      <c r="E67" s="1">
        <v>37726795.77</v>
      </c>
      <c r="F67" s="1">
        <v>0</v>
      </c>
      <c r="G67" s="166">
        <f t="shared" si="7"/>
        <v>37726795.77</v>
      </c>
      <c r="H67" s="166">
        <v>0</v>
      </c>
      <c r="I67" s="166">
        <v>0</v>
      </c>
      <c r="J67" s="166">
        <v>0</v>
      </c>
      <c r="K67" s="166">
        <v>173994.18</v>
      </c>
      <c r="L67" s="166">
        <f t="shared" si="8"/>
        <v>173994.18</v>
      </c>
      <c r="M67" s="166">
        <v>0</v>
      </c>
      <c r="N67" s="166">
        <v>3793475.42</v>
      </c>
      <c r="O67" s="166">
        <v>0</v>
      </c>
      <c r="P67" s="166">
        <f t="shared" si="9"/>
        <v>3793475.42</v>
      </c>
      <c r="Q67" s="166">
        <v>2921283.78</v>
      </c>
      <c r="R67" s="166">
        <v>3269646.06</v>
      </c>
      <c r="S67" s="166">
        <v>207619.35</v>
      </c>
      <c r="T67" s="166">
        <v>0</v>
      </c>
      <c r="U67" s="166">
        <f t="shared" si="10"/>
        <v>6398549.1899999995</v>
      </c>
      <c r="V67" s="166">
        <v>565359.7</v>
      </c>
      <c r="W67" s="167">
        <f t="shared" si="11"/>
        <v>48658174.260000005</v>
      </c>
      <c r="X67" s="1">
        <v>0</v>
      </c>
      <c r="Y67" s="164">
        <f t="shared" si="12"/>
        <v>48658174.260000005</v>
      </c>
    </row>
    <row r="68" spans="1:25" ht="12.75" hidden="1" outlineLevel="1">
      <c r="A68" s="1" t="s">
        <v>3260</v>
      </c>
      <c r="C68" s="1" t="s">
        <v>3261</v>
      </c>
      <c r="D68" s="2" t="s">
        <v>3262</v>
      </c>
      <c r="E68" s="1">
        <v>447565.27</v>
      </c>
      <c r="F68" s="1">
        <v>0</v>
      </c>
      <c r="G68" s="166">
        <f t="shared" si="7"/>
        <v>447565.27</v>
      </c>
      <c r="H68" s="166">
        <v>88741.61</v>
      </c>
      <c r="I68" s="166">
        <v>0</v>
      </c>
      <c r="J68" s="166">
        <v>0</v>
      </c>
      <c r="K68" s="166">
        <v>5096.38</v>
      </c>
      <c r="L68" s="166">
        <f t="shared" si="8"/>
        <v>5096.38</v>
      </c>
      <c r="M68" s="166">
        <v>0</v>
      </c>
      <c r="N68" s="166">
        <v>52784.97</v>
      </c>
      <c r="O68" s="166">
        <v>-0.02</v>
      </c>
      <c r="P68" s="166">
        <f t="shared" si="9"/>
        <v>52784.950000000004</v>
      </c>
      <c r="Q68" s="166">
        <v>34656.14</v>
      </c>
      <c r="R68" s="166">
        <v>38788.88</v>
      </c>
      <c r="S68" s="166">
        <v>2463.06</v>
      </c>
      <c r="T68" s="166">
        <v>0</v>
      </c>
      <c r="U68" s="166">
        <f t="shared" si="10"/>
        <v>75908.07999999999</v>
      </c>
      <c r="V68" s="166">
        <v>6707.05</v>
      </c>
      <c r="W68" s="167">
        <f t="shared" si="11"/>
        <v>676803.34</v>
      </c>
      <c r="X68" s="1">
        <v>0</v>
      </c>
      <c r="Y68" s="164">
        <f t="shared" si="12"/>
        <v>676803.34</v>
      </c>
    </row>
    <row r="69" spans="1:25" ht="12.75" customHeight="1" collapsed="1">
      <c r="A69" s="160" t="s">
        <v>3263</v>
      </c>
      <c r="B69" s="30"/>
      <c r="C69" s="160" t="s">
        <v>745</v>
      </c>
      <c r="D69" s="31"/>
      <c r="E69" s="32">
        <v>38174361.04000001</v>
      </c>
      <c r="F69" s="32">
        <v>0</v>
      </c>
      <c r="G69" s="36">
        <f>E69+F69</f>
        <v>38174361.04000001</v>
      </c>
      <c r="H69" s="36">
        <v>88741.61</v>
      </c>
      <c r="I69" s="36">
        <v>0</v>
      </c>
      <c r="J69" s="36">
        <v>0</v>
      </c>
      <c r="K69" s="36">
        <v>179090.56</v>
      </c>
      <c r="L69" s="36">
        <f>I69+J69+K69</f>
        <v>179090.56</v>
      </c>
      <c r="M69" s="36">
        <v>0</v>
      </c>
      <c r="N69" s="36">
        <v>62715269.46</v>
      </c>
      <c r="O69" s="36">
        <v>21679487.07</v>
      </c>
      <c r="P69" s="36">
        <f>M69+N69+O69</f>
        <v>84394756.53</v>
      </c>
      <c r="Q69" s="36">
        <v>2955939.92</v>
      </c>
      <c r="R69" s="36">
        <v>3308434.94</v>
      </c>
      <c r="S69" s="36">
        <v>210082.41</v>
      </c>
      <c r="T69" s="36">
        <v>0</v>
      </c>
      <c r="U69" s="36">
        <f>Q69+R69+S69+T69</f>
        <v>6474457.27</v>
      </c>
      <c r="V69" s="36">
        <v>14517071.07</v>
      </c>
      <c r="W69" s="165">
        <f>G69+H69+L69+P69+U69+V69</f>
        <v>143828478.08</v>
      </c>
      <c r="X69" s="32">
        <v>0</v>
      </c>
      <c r="Y69" s="163">
        <f>W69+X69</f>
        <v>143828478.08</v>
      </c>
    </row>
    <row r="70" spans="1:25" ht="12.75" hidden="1" outlineLevel="1">
      <c r="A70" s="1" t="s">
        <v>3264</v>
      </c>
      <c r="C70" s="1" t="s">
        <v>3265</v>
      </c>
      <c r="D70" s="2" t="s">
        <v>3266</v>
      </c>
      <c r="E70" s="1">
        <v>0</v>
      </c>
      <c r="F70" s="1">
        <v>0</v>
      </c>
      <c r="G70" s="166">
        <f aca="true" t="shared" si="13" ref="G70:G80">E70+F70</f>
        <v>0</v>
      </c>
      <c r="H70" s="166">
        <v>0</v>
      </c>
      <c r="I70" s="166">
        <v>0</v>
      </c>
      <c r="J70" s="166">
        <v>0</v>
      </c>
      <c r="K70" s="166">
        <v>0</v>
      </c>
      <c r="L70" s="166">
        <f aca="true" t="shared" si="14" ref="L70:L80">I70+J70+K70</f>
        <v>0</v>
      </c>
      <c r="M70" s="166">
        <v>0</v>
      </c>
      <c r="N70" s="166">
        <v>0</v>
      </c>
      <c r="O70" s="166">
        <v>0</v>
      </c>
      <c r="P70" s="166">
        <f aca="true" t="shared" si="15" ref="P70:P80">M70+N70+O70</f>
        <v>0</v>
      </c>
      <c r="Q70" s="166">
        <v>0</v>
      </c>
      <c r="R70" s="166">
        <v>0</v>
      </c>
      <c r="S70" s="166">
        <v>0</v>
      </c>
      <c r="T70" s="166">
        <v>10475292.25</v>
      </c>
      <c r="U70" s="166">
        <f aca="true" t="shared" si="16" ref="U70:U80">Q70+R70+S70+T70</f>
        <v>10475292.25</v>
      </c>
      <c r="V70" s="166">
        <v>0</v>
      </c>
      <c r="W70" s="167">
        <f aca="true" t="shared" si="17" ref="W70:W80">G70+H70+L70+P70+U70+V70</f>
        <v>10475292.25</v>
      </c>
      <c r="X70" s="1">
        <v>0</v>
      </c>
      <c r="Y70" s="164">
        <f aca="true" t="shared" si="18" ref="Y70:Y80">W70+X70</f>
        <v>10475292.25</v>
      </c>
    </row>
    <row r="71" spans="1:25" ht="12.75" hidden="1" outlineLevel="1">
      <c r="A71" s="1" t="s">
        <v>3267</v>
      </c>
      <c r="C71" s="1" t="s">
        <v>3268</v>
      </c>
      <c r="D71" s="2" t="s">
        <v>3269</v>
      </c>
      <c r="E71" s="1">
        <v>0</v>
      </c>
      <c r="F71" s="1">
        <v>0</v>
      </c>
      <c r="G71" s="166">
        <f t="shared" si="13"/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f t="shared" si="14"/>
        <v>0</v>
      </c>
      <c r="M71" s="166">
        <v>0</v>
      </c>
      <c r="N71" s="166">
        <v>0</v>
      </c>
      <c r="O71" s="166">
        <v>0</v>
      </c>
      <c r="P71" s="166">
        <f t="shared" si="15"/>
        <v>0</v>
      </c>
      <c r="Q71" s="166">
        <v>0</v>
      </c>
      <c r="R71" s="166">
        <v>0</v>
      </c>
      <c r="S71" s="166">
        <v>0</v>
      </c>
      <c r="T71" s="166">
        <v>22372480.55</v>
      </c>
      <c r="U71" s="166">
        <f t="shared" si="16"/>
        <v>22372480.55</v>
      </c>
      <c r="V71" s="166">
        <v>0</v>
      </c>
      <c r="W71" s="167">
        <f t="shared" si="17"/>
        <v>22372480.55</v>
      </c>
      <c r="X71" s="1">
        <v>0</v>
      </c>
      <c r="Y71" s="164">
        <f t="shared" si="18"/>
        <v>22372480.55</v>
      </c>
    </row>
    <row r="72" spans="1:25" ht="12.75" hidden="1" outlineLevel="1">
      <c r="A72" s="1" t="s">
        <v>3270</v>
      </c>
      <c r="C72" s="1" t="s">
        <v>3271</v>
      </c>
      <c r="D72" s="2" t="s">
        <v>3272</v>
      </c>
      <c r="E72" s="1">
        <v>0</v>
      </c>
      <c r="F72" s="1">
        <v>0</v>
      </c>
      <c r="G72" s="166">
        <f t="shared" si="13"/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f t="shared" si="14"/>
        <v>0</v>
      </c>
      <c r="M72" s="166">
        <v>0</v>
      </c>
      <c r="N72" s="166">
        <v>0</v>
      </c>
      <c r="O72" s="166">
        <v>0</v>
      </c>
      <c r="P72" s="166">
        <f t="shared" si="15"/>
        <v>0</v>
      </c>
      <c r="Q72" s="166">
        <v>0</v>
      </c>
      <c r="R72" s="166">
        <v>0</v>
      </c>
      <c r="S72" s="166">
        <v>0</v>
      </c>
      <c r="T72" s="166">
        <v>-8158852.08</v>
      </c>
      <c r="U72" s="166">
        <f t="shared" si="16"/>
        <v>-8158852.08</v>
      </c>
      <c r="V72" s="166">
        <v>0</v>
      </c>
      <c r="W72" s="167">
        <f t="shared" si="17"/>
        <v>-8158852.08</v>
      </c>
      <c r="X72" s="1">
        <v>0</v>
      </c>
      <c r="Y72" s="164">
        <f t="shared" si="18"/>
        <v>-8158852.08</v>
      </c>
    </row>
    <row r="73" spans="1:25" ht="12.75" hidden="1" outlineLevel="1">
      <c r="A73" s="1" t="s">
        <v>3273</v>
      </c>
      <c r="C73" s="1" t="s">
        <v>3274</v>
      </c>
      <c r="D73" s="2" t="s">
        <v>3275</v>
      </c>
      <c r="E73" s="1">
        <v>0</v>
      </c>
      <c r="F73" s="1">
        <v>0</v>
      </c>
      <c r="G73" s="166">
        <f t="shared" si="13"/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f t="shared" si="14"/>
        <v>0</v>
      </c>
      <c r="M73" s="166">
        <v>0</v>
      </c>
      <c r="N73" s="166">
        <v>0</v>
      </c>
      <c r="O73" s="166">
        <v>0</v>
      </c>
      <c r="P73" s="166">
        <f t="shared" si="15"/>
        <v>0</v>
      </c>
      <c r="Q73" s="166">
        <v>0</v>
      </c>
      <c r="R73" s="166">
        <v>0</v>
      </c>
      <c r="S73" s="166">
        <v>0</v>
      </c>
      <c r="T73" s="166">
        <v>236739675</v>
      </c>
      <c r="U73" s="166">
        <f t="shared" si="16"/>
        <v>236739675</v>
      </c>
      <c r="V73" s="166">
        <v>0</v>
      </c>
      <c r="W73" s="167">
        <f t="shared" si="17"/>
        <v>236739675</v>
      </c>
      <c r="X73" s="1">
        <v>0</v>
      </c>
      <c r="Y73" s="164">
        <f t="shared" si="18"/>
        <v>236739675</v>
      </c>
    </row>
    <row r="74" spans="1:25" ht="12.75" hidden="1" outlineLevel="1">
      <c r="A74" s="1" t="s">
        <v>3276</v>
      </c>
      <c r="C74" s="1" t="s">
        <v>3277</v>
      </c>
      <c r="D74" s="2" t="s">
        <v>3278</v>
      </c>
      <c r="E74" s="1">
        <v>0</v>
      </c>
      <c r="F74" s="1">
        <v>0</v>
      </c>
      <c r="G74" s="166">
        <f t="shared" si="13"/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f t="shared" si="14"/>
        <v>0</v>
      </c>
      <c r="M74" s="166">
        <v>0</v>
      </c>
      <c r="N74" s="166">
        <v>0</v>
      </c>
      <c r="O74" s="166">
        <v>0</v>
      </c>
      <c r="P74" s="166">
        <f t="shared" si="15"/>
        <v>0</v>
      </c>
      <c r="Q74" s="166">
        <v>0</v>
      </c>
      <c r="R74" s="166">
        <v>0</v>
      </c>
      <c r="S74" s="166">
        <v>0</v>
      </c>
      <c r="T74" s="166">
        <v>-125804703.47</v>
      </c>
      <c r="U74" s="166">
        <f t="shared" si="16"/>
        <v>-125804703.47</v>
      </c>
      <c r="V74" s="166">
        <v>0</v>
      </c>
      <c r="W74" s="167">
        <f t="shared" si="17"/>
        <v>-125804703.47</v>
      </c>
      <c r="X74" s="1">
        <v>0</v>
      </c>
      <c r="Y74" s="164">
        <f t="shared" si="18"/>
        <v>-125804703.47</v>
      </c>
    </row>
    <row r="75" spans="1:25" ht="12.75" hidden="1" outlineLevel="1">
      <c r="A75" s="1" t="s">
        <v>3279</v>
      </c>
      <c r="C75" s="1" t="s">
        <v>3280</v>
      </c>
      <c r="D75" s="2" t="s">
        <v>3281</v>
      </c>
      <c r="E75" s="1">
        <v>0</v>
      </c>
      <c r="F75" s="1">
        <v>0</v>
      </c>
      <c r="G75" s="166">
        <f t="shared" si="13"/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f t="shared" si="14"/>
        <v>0</v>
      </c>
      <c r="M75" s="166">
        <v>0</v>
      </c>
      <c r="N75" s="166">
        <v>0</v>
      </c>
      <c r="O75" s="166">
        <v>0</v>
      </c>
      <c r="P75" s="166">
        <f t="shared" si="15"/>
        <v>0</v>
      </c>
      <c r="Q75" s="166">
        <v>0</v>
      </c>
      <c r="R75" s="166">
        <v>0</v>
      </c>
      <c r="S75" s="166">
        <v>0</v>
      </c>
      <c r="T75" s="166">
        <v>23897329.8</v>
      </c>
      <c r="U75" s="166">
        <f t="shared" si="16"/>
        <v>23897329.8</v>
      </c>
      <c r="V75" s="166">
        <v>0</v>
      </c>
      <c r="W75" s="167">
        <f t="shared" si="17"/>
        <v>23897329.8</v>
      </c>
      <c r="X75" s="1">
        <v>0</v>
      </c>
      <c r="Y75" s="164">
        <f t="shared" si="18"/>
        <v>23897329.8</v>
      </c>
    </row>
    <row r="76" spans="1:25" ht="12.75" hidden="1" outlineLevel="1">
      <c r="A76" s="1" t="s">
        <v>863</v>
      </c>
      <c r="C76" s="1" t="s">
        <v>864</v>
      </c>
      <c r="D76" s="2" t="s">
        <v>865</v>
      </c>
      <c r="E76" s="1">
        <v>0</v>
      </c>
      <c r="F76" s="1">
        <v>0</v>
      </c>
      <c r="G76" s="166">
        <f t="shared" si="13"/>
        <v>0</v>
      </c>
      <c r="H76" s="166">
        <v>0</v>
      </c>
      <c r="I76" s="166">
        <v>0</v>
      </c>
      <c r="J76" s="166">
        <v>0</v>
      </c>
      <c r="K76" s="166">
        <v>0</v>
      </c>
      <c r="L76" s="166">
        <f t="shared" si="14"/>
        <v>0</v>
      </c>
      <c r="M76" s="166">
        <v>0</v>
      </c>
      <c r="N76" s="166">
        <v>0</v>
      </c>
      <c r="O76" s="166">
        <v>0</v>
      </c>
      <c r="P76" s="166">
        <f t="shared" si="15"/>
        <v>0</v>
      </c>
      <c r="Q76" s="166">
        <v>0</v>
      </c>
      <c r="R76" s="166">
        <v>0</v>
      </c>
      <c r="S76" s="166">
        <v>0</v>
      </c>
      <c r="T76" s="166">
        <v>195000</v>
      </c>
      <c r="U76" s="166">
        <f t="shared" si="16"/>
        <v>195000</v>
      </c>
      <c r="V76" s="166">
        <v>0</v>
      </c>
      <c r="W76" s="167">
        <f t="shared" si="17"/>
        <v>195000</v>
      </c>
      <c r="X76" s="1">
        <v>0</v>
      </c>
      <c r="Y76" s="164">
        <f t="shared" si="18"/>
        <v>195000</v>
      </c>
    </row>
    <row r="77" spans="1:25" ht="12.75" hidden="1" outlineLevel="1">
      <c r="A77" s="1" t="s">
        <v>3282</v>
      </c>
      <c r="C77" s="1" t="s">
        <v>3283</v>
      </c>
      <c r="D77" s="2" t="s">
        <v>3284</v>
      </c>
      <c r="E77" s="1">
        <v>0</v>
      </c>
      <c r="F77" s="1">
        <v>0</v>
      </c>
      <c r="G77" s="166">
        <f t="shared" si="13"/>
        <v>0</v>
      </c>
      <c r="H77" s="166">
        <v>0</v>
      </c>
      <c r="I77" s="166">
        <v>0</v>
      </c>
      <c r="J77" s="166">
        <v>0</v>
      </c>
      <c r="K77" s="166">
        <v>0</v>
      </c>
      <c r="L77" s="166">
        <f t="shared" si="14"/>
        <v>0</v>
      </c>
      <c r="M77" s="166">
        <v>0</v>
      </c>
      <c r="N77" s="166">
        <v>0</v>
      </c>
      <c r="O77" s="166">
        <v>0</v>
      </c>
      <c r="P77" s="166">
        <f t="shared" si="15"/>
        <v>0</v>
      </c>
      <c r="Q77" s="166">
        <v>0</v>
      </c>
      <c r="R77" s="166">
        <v>0</v>
      </c>
      <c r="S77" s="166">
        <v>0</v>
      </c>
      <c r="T77" s="166">
        <v>-14309212.01</v>
      </c>
      <c r="U77" s="166">
        <f t="shared" si="16"/>
        <v>-14309212.01</v>
      </c>
      <c r="V77" s="166">
        <v>0</v>
      </c>
      <c r="W77" s="167">
        <f t="shared" si="17"/>
        <v>-14309212.01</v>
      </c>
      <c r="X77" s="1">
        <v>0</v>
      </c>
      <c r="Y77" s="164">
        <f t="shared" si="18"/>
        <v>-14309212.01</v>
      </c>
    </row>
    <row r="78" spans="1:25" ht="12.75" hidden="1" outlineLevel="1">
      <c r="A78" s="1" t="s">
        <v>3285</v>
      </c>
      <c r="C78" s="1" t="s">
        <v>3286</v>
      </c>
      <c r="D78" s="2" t="s">
        <v>3287</v>
      </c>
      <c r="E78" s="1">
        <v>0</v>
      </c>
      <c r="F78" s="1">
        <v>0</v>
      </c>
      <c r="G78" s="166">
        <f t="shared" si="13"/>
        <v>0</v>
      </c>
      <c r="H78" s="166">
        <v>0</v>
      </c>
      <c r="I78" s="166">
        <v>0</v>
      </c>
      <c r="J78" s="166">
        <v>0</v>
      </c>
      <c r="K78" s="166">
        <v>0</v>
      </c>
      <c r="L78" s="166">
        <f t="shared" si="14"/>
        <v>0</v>
      </c>
      <c r="M78" s="166">
        <v>0</v>
      </c>
      <c r="N78" s="166">
        <v>0</v>
      </c>
      <c r="O78" s="166">
        <v>0</v>
      </c>
      <c r="P78" s="166">
        <f t="shared" si="15"/>
        <v>0</v>
      </c>
      <c r="Q78" s="166">
        <v>0</v>
      </c>
      <c r="R78" s="166">
        <v>0</v>
      </c>
      <c r="S78" s="166">
        <v>0</v>
      </c>
      <c r="T78" s="166">
        <v>32740859.73</v>
      </c>
      <c r="U78" s="166">
        <f t="shared" si="16"/>
        <v>32740859.73</v>
      </c>
      <c r="V78" s="166">
        <v>0</v>
      </c>
      <c r="W78" s="167">
        <f t="shared" si="17"/>
        <v>32740859.73</v>
      </c>
      <c r="X78" s="1">
        <v>0</v>
      </c>
      <c r="Y78" s="164">
        <f t="shared" si="18"/>
        <v>32740859.73</v>
      </c>
    </row>
    <row r="79" spans="1:25" ht="12.75" hidden="1" outlineLevel="1">
      <c r="A79" s="1" t="s">
        <v>3288</v>
      </c>
      <c r="C79" s="1" t="s">
        <v>3289</v>
      </c>
      <c r="D79" s="2" t="s">
        <v>3290</v>
      </c>
      <c r="E79" s="1">
        <v>0</v>
      </c>
      <c r="F79" s="1">
        <v>0</v>
      </c>
      <c r="G79" s="166">
        <f t="shared" si="13"/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f t="shared" si="14"/>
        <v>0</v>
      </c>
      <c r="M79" s="166">
        <v>0</v>
      </c>
      <c r="N79" s="166">
        <v>0</v>
      </c>
      <c r="O79" s="166">
        <v>0</v>
      </c>
      <c r="P79" s="166">
        <f t="shared" si="15"/>
        <v>0</v>
      </c>
      <c r="Q79" s="166">
        <v>0</v>
      </c>
      <c r="R79" s="166">
        <v>0</v>
      </c>
      <c r="S79" s="166">
        <v>0</v>
      </c>
      <c r="T79" s="166">
        <v>5090356.62</v>
      </c>
      <c r="U79" s="166">
        <f t="shared" si="16"/>
        <v>5090356.62</v>
      </c>
      <c r="V79" s="166">
        <v>0</v>
      </c>
      <c r="W79" s="167">
        <f t="shared" si="17"/>
        <v>5090356.62</v>
      </c>
      <c r="X79" s="1">
        <v>0</v>
      </c>
      <c r="Y79" s="164">
        <f t="shared" si="18"/>
        <v>5090356.62</v>
      </c>
    </row>
    <row r="80" spans="1:25" ht="12.75" hidden="1" outlineLevel="1">
      <c r="A80" s="1" t="s">
        <v>3291</v>
      </c>
      <c r="C80" s="1" t="s">
        <v>3292</v>
      </c>
      <c r="D80" s="2" t="s">
        <v>3293</v>
      </c>
      <c r="E80" s="1">
        <v>0</v>
      </c>
      <c r="F80" s="1">
        <v>0</v>
      </c>
      <c r="G80" s="166">
        <f t="shared" si="13"/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f t="shared" si="14"/>
        <v>0</v>
      </c>
      <c r="M80" s="166">
        <v>0</v>
      </c>
      <c r="N80" s="166">
        <v>0</v>
      </c>
      <c r="O80" s="166">
        <v>0</v>
      </c>
      <c r="P80" s="166">
        <f t="shared" si="15"/>
        <v>0</v>
      </c>
      <c r="Q80" s="166">
        <v>0</v>
      </c>
      <c r="R80" s="166">
        <v>0</v>
      </c>
      <c r="S80" s="166">
        <v>0</v>
      </c>
      <c r="T80" s="166">
        <v>5583643.45</v>
      </c>
      <c r="U80" s="166">
        <f t="shared" si="16"/>
        <v>5583643.45</v>
      </c>
      <c r="V80" s="166">
        <v>0</v>
      </c>
      <c r="W80" s="167">
        <f t="shared" si="17"/>
        <v>5583643.45</v>
      </c>
      <c r="X80" s="1">
        <v>0</v>
      </c>
      <c r="Y80" s="164">
        <f t="shared" si="18"/>
        <v>5583643.45</v>
      </c>
    </row>
    <row r="81" spans="1:25" ht="12.75" customHeight="1" collapsed="1">
      <c r="A81" s="160" t="s">
        <v>3294</v>
      </c>
      <c r="B81" s="30"/>
      <c r="C81" s="160" t="s">
        <v>746</v>
      </c>
      <c r="D81" s="31"/>
      <c r="E81" s="32">
        <v>0</v>
      </c>
      <c r="F81" s="32">
        <v>0</v>
      </c>
      <c r="G81" s="36">
        <f>E81+F81</f>
        <v>0</v>
      </c>
      <c r="H81" s="36">
        <v>0</v>
      </c>
      <c r="I81" s="36">
        <v>0</v>
      </c>
      <c r="J81" s="36">
        <v>0</v>
      </c>
      <c r="K81" s="36">
        <v>0</v>
      </c>
      <c r="L81" s="36">
        <f>I81+J81+K81</f>
        <v>0</v>
      </c>
      <c r="M81" s="36">
        <v>0</v>
      </c>
      <c r="N81" s="36">
        <v>0</v>
      </c>
      <c r="O81" s="36">
        <v>0</v>
      </c>
      <c r="P81" s="36">
        <f>M81+N81+O81</f>
        <v>0</v>
      </c>
      <c r="Q81" s="36">
        <v>0</v>
      </c>
      <c r="R81" s="36">
        <v>0</v>
      </c>
      <c r="S81" s="36">
        <v>0</v>
      </c>
      <c r="T81" s="36">
        <v>188821869.84</v>
      </c>
      <c r="U81" s="36">
        <f>Q81+R81+S81+T81</f>
        <v>188821869.84</v>
      </c>
      <c r="V81" s="36">
        <v>0</v>
      </c>
      <c r="W81" s="165">
        <f>G81+H81+L81+P81+U81+V81</f>
        <v>188821869.84</v>
      </c>
      <c r="X81" s="32">
        <v>0</v>
      </c>
      <c r="Y81" s="163">
        <f>W81+X81</f>
        <v>188821869.84</v>
      </c>
    </row>
    <row r="82" spans="1:25" ht="12.75" customHeight="1">
      <c r="A82" s="2"/>
      <c r="B82" s="30"/>
      <c r="C82" s="160"/>
      <c r="D82" s="31"/>
      <c r="E82" s="32"/>
      <c r="F82" s="32"/>
      <c r="G82" s="36"/>
      <c r="H82" s="36"/>
      <c r="I82" s="36"/>
      <c r="J82" s="36"/>
      <c r="K82" s="36"/>
      <c r="L82" s="39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165"/>
      <c r="X82" s="32"/>
      <c r="Y82" s="153"/>
    </row>
    <row r="83" spans="1:25" s="169" customFormat="1" ht="12.75" customHeight="1">
      <c r="A83" s="29"/>
      <c r="B83" s="23" t="s">
        <v>2960</v>
      </c>
      <c r="C83" s="159"/>
      <c r="D83" s="24"/>
      <c r="E83" s="27">
        <f aca="true" t="shared" si="19" ref="E83:Y83">+E55+E60+E62+E69+E81+E53</f>
        <v>38260861.04000001</v>
      </c>
      <c r="F83" s="27">
        <f t="shared" si="19"/>
        <v>0</v>
      </c>
      <c r="G83" s="39">
        <f t="shared" si="19"/>
        <v>38260861.04000001</v>
      </c>
      <c r="H83" s="39">
        <f t="shared" si="19"/>
        <v>1682795.77</v>
      </c>
      <c r="I83" s="39">
        <f t="shared" si="19"/>
        <v>214197.47</v>
      </c>
      <c r="J83" s="39">
        <f t="shared" si="19"/>
        <v>0</v>
      </c>
      <c r="K83" s="39">
        <f t="shared" si="19"/>
        <v>15684986.770000001</v>
      </c>
      <c r="L83" s="39">
        <f t="shared" si="19"/>
        <v>15899184.240000002</v>
      </c>
      <c r="M83" s="39">
        <f t="shared" si="19"/>
        <v>0</v>
      </c>
      <c r="N83" s="39">
        <f t="shared" si="19"/>
        <v>62715269.46</v>
      </c>
      <c r="O83" s="39">
        <f t="shared" si="19"/>
        <v>21679487.07</v>
      </c>
      <c r="P83" s="39">
        <f t="shared" si="19"/>
        <v>84394756.53</v>
      </c>
      <c r="Q83" s="39">
        <f t="shared" si="19"/>
        <v>2955939.92</v>
      </c>
      <c r="R83" s="39">
        <f t="shared" si="19"/>
        <v>3308434.94</v>
      </c>
      <c r="S83" s="39">
        <f t="shared" si="19"/>
        <v>446105.07</v>
      </c>
      <c r="T83" s="39">
        <f t="shared" si="19"/>
        <v>188821869.84</v>
      </c>
      <c r="U83" s="39">
        <f t="shared" si="19"/>
        <v>195532349.77</v>
      </c>
      <c r="V83" s="39">
        <f t="shared" si="19"/>
        <v>14517071.07</v>
      </c>
      <c r="W83" s="168">
        <f t="shared" si="19"/>
        <v>350287018.42</v>
      </c>
      <c r="X83" s="27">
        <f t="shared" si="19"/>
        <v>0</v>
      </c>
      <c r="Y83" s="27">
        <f t="shared" si="19"/>
        <v>350287018.42</v>
      </c>
    </row>
    <row r="84" spans="1:25" ht="12.75" customHeight="1">
      <c r="A84" s="2"/>
      <c r="B84" s="30"/>
      <c r="C84" s="160"/>
      <c r="D84" s="31"/>
      <c r="E84" s="32"/>
      <c r="F84" s="3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5"/>
      <c r="X84" s="32"/>
      <c r="Y84" s="32"/>
    </row>
    <row r="85" spans="1:25" s="169" customFormat="1" ht="12.75" customHeight="1">
      <c r="A85" s="29"/>
      <c r="B85" s="23" t="s">
        <v>747</v>
      </c>
      <c r="C85" s="159"/>
      <c r="D85" s="24"/>
      <c r="E85" s="27">
        <f aca="true" t="shared" si="20" ref="E85:Y85">+E50+E83</f>
        <v>43809368.17</v>
      </c>
      <c r="F85" s="27">
        <f t="shared" si="20"/>
        <v>578728.8200000001</v>
      </c>
      <c r="G85" s="41">
        <f t="shared" si="20"/>
        <v>44388096.99</v>
      </c>
      <c r="H85" s="41">
        <f t="shared" si="20"/>
        <v>29349843.88</v>
      </c>
      <c r="I85" s="41">
        <f t="shared" si="20"/>
        <v>484367.05999999994</v>
      </c>
      <c r="J85" s="41">
        <f t="shared" si="20"/>
        <v>0</v>
      </c>
      <c r="K85" s="41">
        <f t="shared" si="20"/>
        <v>21596942.970000003</v>
      </c>
      <c r="L85" s="41">
        <f>I85+J85+K85</f>
        <v>22081310.03</v>
      </c>
      <c r="M85" s="41">
        <f t="shared" si="20"/>
        <v>0</v>
      </c>
      <c r="N85" s="41">
        <f t="shared" si="20"/>
        <v>69018719.64</v>
      </c>
      <c r="O85" s="41">
        <f t="shared" si="20"/>
        <v>21689678.14</v>
      </c>
      <c r="P85" s="41">
        <f>M85+N85+O85</f>
        <v>90708397.78</v>
      </c>
      <c r="Q85" s="41">
        <f t="shared" si="20"/>
        <v>3478283.9899999998</v>
      </c>
      <c r="R85" s="41">
        <f t="shared" si="20"/>
        <v>4229417.17</v>
      </c>
      <c r="S85" s="41">
        <f t="shared" si="20"/>
        <v>421526.31</v>
      </c>
      <c r="T85" s="41">
        <f t="shared" si="20"/>
        <v>188883572.27</v>
      </c>
      <c r="U85" s="41">
        <f t="shared" si="20"/>
        <v>197012799.74</v>
      </c>
      <c r="V85" s="41">
        <f t="shared" si="20"/>
        <v>18118015.68</v>
      </c>
      <c r="W85" s="170">
        <f t="shared" si="20"/>
        <v>401658464.1</v>
      </c>
      <c r="X85" s="27">
        <f t="shared" si="20"/>
        <v>0</v>
      </c>
      <c r="Y85" s="27">
        <f t="shared" si="20"/>
        <v>401658464.1</v>
      </c>
    </row>
    <row r="86" spans="1:25" ht="12.75" customHeight="1">
      <c r="A86" s="2"/>
      <c r="B86" s="30"/>
      <c r="C86" s="160"/>
      <c r="D86" s="31"/>
      <c r="E86" s="32"/>
      <c r="F86" s="3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165"/>
      <c r="X86" s="32"/>
      <c r="Y86" s="153"/>
    </row>
    <row r="87" spans="1:25" ht="12.75" customHeight="1">
      <c r="A87" s="29"/>
      <c r="B87" s="23" t="s">
        <v>748</v>
      </c>
      <c r="C87" s="159"/>
      <c r="D87" s="24"/>
      <c r="E87" s="27"/>
      <c r="F87" s="2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168"/>
      <c r="X87" s="27"/>
      <c r="Y87" s="153"/>
    </row>
    <row r="88" spans="1:25" ht="12.75" customHeight="1">
      <c r="A88" s="2"/>
      <c r="B88" s="23"/>
      <c r="C88" s="159"/>
      <c r="D88" s="24"/>
      <c r="E88" s="32"/>
      <c r="F88" s="3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165"/>
      <c r="X88" s="32"/>
      <c r="Y88" s="153"/>
    </row>
    <row r="89" spans="1:25" ht="12.75" customHeight="1">
      <c r="A89" s="29"/>
      <c r="B89" s="23" t="s">
        <v>749</v>
      </c>
      <c r="C89" s="159"/>
      <c r="D89" s="24"/>
      <c r="E89" s="27"/>
      <c r="F89" s="27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168"/>
      <c r="X89" s="27"/>
      <c r="Y89" s="153"/>
    </row>
    <row r="90" spans="1:25" ht="12.75" hidden="1" outlineLevel="1">
      <c r="A90" s="1" t="s">
        <v>3295</v>
      </c>
      <c r="C90" s="1" t="s">
        <v>3296</v>
      </c>
      <c r="D90" s="2" t="s">
        <v>3297</v>
      </c>
      <c r="E90" s="1">
        <v>263834.91</v>
      </c>
      <c r="F90" s="1">
        <v>26137.09</v>
      </c>
      <c r="G90" s="166">
        <f aca="true" t="shared" si="21" ref="G90:G109">E90+F90</f>
        <v>289972</v>
      </c>
      <c r="H90" s="166">
        <v>193771.28</v>
      </c>
      <c r="I90" s="166">
        <v>0</v>
      </c>
      <c r="J90" s="166">
        <v>0</v>
      </c>
      <c r="K90" s="166">
        <v>1812.08</v>
      </c>
      <c r="L90" s="166">
        <f>I90+J90+K90</f>
        <v>1812.08</v>
      </c>
      <c r="M90" s="166">
        <v>0</v>
      </c>
      <c r="N90" s="166">
        <v>0</v>
      </c>
      <c r="O90" s="166">
        <v>0</v>
      </c>
      <c r="P90" s="166">
        <f>M90+N90+O90</f>
        <v>0</v>
      </c>
      <c r="Q90" s="166">
        <v>0</v>
      </c>
      <c r="R90" s="166">
        <v>0</v>
      </c>
      <c r="S90" s="166">
        <v>0</v>
      </c>
      <c r="T90" s="166">
        <v>0</v>
      </c>
      <c r="U90" s="166">
        <f aca="true" t="shared" si="22" ref="U90:U109">Q90+R90+S90+T90</f>
        <v>0</v>
      </c>
      <c r="V90" s="166">
        <v>5291.31</v>
      </c>
      <c r="W90" s="167">
        <f>G90+H90+L90+P90+U90+V90</f>
        <v>490846.67000000004</v>
      </c>
      <c r="X90" s="1">
        <v>0</v>
      </c>
      <c r="Y90" s="164">
        <f aca="true" t="shared" si="23" ref="Y90:Y117">W90+X90</f>
        <v>490846.67000000004</v>
      </c>
    </row>
    <row r="91" spans="1:25" ht="12.75" hidden="1" outlineLevel="1">
      <c r="A91" s="1" t="s">
        <v>3298</v>
      </c>
      <c r="C91" s="1" t="s">
        <v>3299</v>
      </c>
      <c r="D91" s="2" t="s">
        <v>3300</v>
      </c>
      <c r="E91" s="1">
        <v>151348.86</v>
      </c>
      <c r="F91" s="1">
        <v>144.42</v>
      </c>
      <c r="G91" s="166">
        <f t="shared" si="21"/>
        <v>151493.28</v>
      </c>
      <c r="H91" s="166">
        <v>401870.04</v>
      </c>
      <c r="I91" s="166">
        <v>0</v>
      </c>
      <c r="J91" s="166">
        <v>0</v>
      </c>
      <c r="K91" s="166">
        <v>0</v>
      </c>
      <c r="L91" s="166">
        <f>I91+J91+K91</f>
        <v>0</v>
      </c>
      <c r="M91" s="166">
        <v>0</v>
      </c>
      <c r="N91" s="166">
        <v>0</v>
      </c>
      <c r="O91" s="166">
        <v>0</v>
      </c>
      <c r="P91" s="166">
        <f>M91+N91+O91</f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f t="shared" si="22"/>
        <v>0</v>
      </c>
      <c r="V91" s="166">
        <v>4557.01</v>
      </c>
      <c r="W91" s="167">
        <f>G91+H91+L91+P91+U91+V91</f>
        <v>557920.33</v>
      </c>
      <c r="X91" s="1">
        <v>0</v>
      </c>
      <c r="Y91" s="164">
        <f t="shared" si="23"/>
        <v>557920.33</v>
      </c>
    </row>
    <row r="92" spans="1:25" ht="12.75" hidden="1" outlineLevel="1">
      <c r="A92" s="1" t="s">
        <v>866</v>
      </c>
      <c r="C92" s="1" t="s">
        <v>867</v>
      </c>
      <c r="D92" s="2" t="s">
        <v>868</v>
      </c>
      <c r="E92" s="1">
        <v>100484.33</v>
      </c>
      <c r="F92" s="1">
        <v>0</v>
      </c>
      <c r="G92" s="166">
        <f t="shared" si="21"/>
        <v>100484.33</v>
      </c>
      <c r="H92" s="166">
        <v>0</v>
      </c>
      <c r="I92" s="166">
        <v>0</v>
      </c>
      <c r="J92" s="166">
        <v>0</v>
      </c>
      <c r="K92" s="166">
        <v>0</v>
      </c>
      <c r="L92" s="166">
        <f>I92+J92+K92</f>
        <v>0</v>
      </c>
      <c r="M92" s="166">
        <v>0</v>
      </c>
      <c r="N92" s="166">
        <v>0</v>
      </c>
      <c r="O92" s="166">
        <v>0</v>
      </c>
      <c r="P92" s="166">
        <f>M92+N92+O92</f>
        <v>0</v>
      </c>
      <c r="Q92" s="166">
        <v>112033.89</v>
      </c>
      <c r="R92" s="166">
        <v>10249</v>
      </c>
      <c r="S92" s="166">
        <v>0</v>
      </c>
      <c r="T92" s="166">
        <v>0</v>
      </c>
      <c r="U92" s="166">
        <f t="shared" si="22"/>
        <v>122282.89</v>
      </c>
      <c r="V92" s="166">
        <v>0</v>
      </c>
      <c r="W92" s="167">
        <f>G92+H92+L92+P92+U92+V92</f>
        <v>222767.22</v>
      </c>
      <c r="X92" s="1">
        <v>0</v>
      </c>
      <c r="Y92" s="164">
        <f t="shared" si="23"/>
        <v>222767.22</v>
      </c>
    </row>
    <row r="93" spans="1:25" ht="12.75" hidden="1" outlineLevel="1">
      <c r="A93" s="1" t="s">
        <v>3301</v>
      </c>
      <c r="C93" s="1" t="s">
        <v>3302</v>
      </c>
      <c r="D93" s="2" t="s">
        <v>3303</v>
      </c>
      <c r="E93" s="1">
        <v>41.98</v>
      </c>
      <c r="F93" s="1">
        <v>0</v>
      </c>
      <c r="G93" s="166">
        <f t="shared" si="21"/>
        <v>41.98</v>
      </c>
      <c r="H93" s="166">
        <v>0</v>
      </c>
      <c r="I93" s="166">
        <v>0</v>
      </c>
      <c r="J93" s="166">
        <v>0</v>
      </c>
      <c r="K93" s="166">
        <v>0</v>
      </c>
      <c r="L93" s="166">
        <f>I93+J93+K93</f>
        <v>0</v>
      </c>
      <c r="M93" s="166">
        <v>0</v>
      </c>
      <c r="N93" s="166">
        <v>0</v>
      </c>
      <c r="O93" s="166">
        <v>0</v>
      </c>
      <c r="P93" s="166">
        <f>M93+N93+O93</f>
        <v>0</v>
      </c>
      <c r="Q93" s="166">
        <v>0</v>
      </c>
      <c r="R93" s="166">
        <v>0</v>
      </c>
      <c r="S93" s="166">
        <v>0</v>
      </c>
      <c r="T93" s="166">
        <v>0</v>
      </c>
      <c r="U93" s="166">
        <f t="shared" si="22"/>
        <v>0</v>
      </c>
      <c r="V93" s="166">
        <v>0</v>
      </c>
      <c r="W93" s="167">
        <f>G93+H93+L93+P93+U93+V93</f>
        <v>41.98</v>
      </c>
      <c r="X93" s="1">
        <v>0</v>
      </c>
      <c r="Y93" s="164">
        <f t="shared" si="23"/>
        <v>41.98</v>
      </c>
    </row>
    <row r="94" spans="1:25" ht="12.75" hidden="1" outlineLevel="1">
      <c r="A94" s="1" t="s">
        <v>869</v>
      </c>
      <c r="C94" s="1" t="s">
        <v>870</v>
      </c>
      <c r="D94" s="2" t="s">
        <v>871</v>
      </c>
      <c r="E94" s="1">
        <v>72000</v>
      </c>
      <c r="F94" s="1">
        <v>0</v>
      </c>
      <c r="G94" s="166">
        <f t="shared" si="21"/>
        <v>72000</v>
      </c>
      <c r="H94" s="166">
        <v>0</v>
      </c>
      <c r="I94" s="166">
        <v>0</v>
      </c>
      <c r="J94" s="166">
        <v>0</v>
      </c>
      <c r="K94" s="166">
        <v>0</v>
      </c>
      <c r="L94" s="166">
        <f>I94+J94+K94</f>
        <v>0</v>
      </c>
      <c r="M94" s="166">
        <v>0</v>
      </c>
      <c r="N94" s="166">
        <v>0</v>
      </c>
      <c r="O94" s="166">
        <v>0</v>
      </c>
      <c r="P94" s="166">
        <f>M94+N94+O94</f>
        <v>0</v>
      </c>
      <c r="Q94" s="166">
        <v>0</v>
      </c>
      <c r="R94" s="166">
        <v>0</v>
      </c>
      <c r="S94" s="166">
        <v>0</v>
      </c>
      <c r="T94" s="166">
        <v>0</v>
      </c>
      <c r="U94" s="166">
        <f t="shared" si="22"/>
        <v>0</v>
      </c>
      <c r="V94" s="166">
        <v>0</v>
      </c>
      <c r="W94" s="167">
        <f>G94+H94+L94+P94+U94+V94</f>
        <v>72000</v>
      </c>
      <c r="X94" s="1">
        <v>0</v>
      </c>
      <c r="Y94" s="164">
        <f t="shared" si="23"/>
        <v>72000</v>
      </c>
    </row>
    <row r="95" spans="1:25" ht="12.75" customHeight="1" collapsed="1">
      <c r="A95" s="160" t="s">
        <v>3304</v>
      </c>
      <c r="B95" s="30"/>
      <c r="C95" s="160" t="s">
        <v>750</v>
      </c>
      <c r="D95" s="31"/>
      <c r="E95" s="32">
        <v>587710.08</v>
      </c>
      <c r="F95" s="32">
        <v>26281.51</v>
      </c>
      <c r="G95" s="34">
        <f t="shared" si="21"/>
        <v>613991.59</v>
      </c>
      <c r="H95" s="34">
        <v>595641.32</v>
      </c>
      <c r="I95" s="34">
        <v>0</v>
      </c>
      <c r="J95" s="34">
        <v>0</v>
      </c>
      <c r="K95" s="34">
        <v>1812.08</v>
      </c>
      <c r="L95" s="34">
        <f aca="true" t="shared" si="24" ref="L95:L109">I95+J95+K95</f>
        <v>1812.08</v>
      </c>
      <c r="M95" s="34">
        <v>0</v>
      </c>
      <c r="N95" s="34">
        <v>0</v>
      </c>
      <c r="O95" s="34">
        <v>0</v>
      </c>
      <c r="P95" s="34">
        <f aca="true" t="shared" si="25" ref="P95:P117">M95+N95+O95</f>
        <v>0</v>
      </c>
      <c r="Q95" s="34">
        <v>112033.89</v>
      </c>
      <c r="R95" s="34">
        <v>10249</v>
      </c>
      <c r="S95" s="34">
        <v>0</v>
      </c>
      <c r="T95" s="34">
        <v>0</v>
      </c>
      <c r="U95" s="34">
        <f t="shared" si="22"/>
        <v>122282.89</v>
      </c>
      <c r="V95" s="34">
        <v>9848.32</v>
      </c>
      <c r="W95" s="162">
        <f aca="true" t="shared" si="26" ref="W95:W117">G95+H95+L95+P95+U95+V95</f>
        <v>1343576.2</v>
      </c>
      <c r="X95" s="32">
        <v>0</v>
      </c>
      <c r="Y95" s="163">
        <f t="shared" si="23"/>
        <v>1343576.2</v>
      </c>
    </row>
    <row r="96" spans="1:25" ht="12.75" hidden="1" outlineLevel="1">
      <c r="A96" s="1" t="s">
        <v>3305</v>
      </c>
      <c r="C96" s="1" t="s">
        <v>3306</v>
      </c>
      <c r="D96" s="2" t="s">
        <v>3307</v>
      </c>
      <c r="E96" s="1">
        <v>3015848.49</v>
      </c>
      <c r="F96" s="1">
        <v>11061.66</v>
      </c>
      <c r="G96" s="166">
        <f t="shared" si="21"/>
        <v>3026910.1500000004</v>
      </c>
      <c r="H96" s="166">
        <v>72514.64</v>
      </c>
      <c r="I96" s="166">
        <v>0</v>
      </c>
      <c r="J96" s="166">
        <v>0</v>
      </c>
      <c r="K96" s="166">
        <v>0</v>
      </c>
      <c r="L96" s="166">
        <f>I96+J96+K96</f>
        <v>0</v>
      </c>
      <c r="M96" s="166">
        <v>0</v>
      </c>
      <c r="N96" s="166">
        <v>0</v>
      </c>
      <c r="O96" s="166">
        <v>0</v>
      </c>
      <c r="P96" s="166">
        <f>M96+N96+O96</f>
        <v>0</v>
      </c>
      <c r="Q96" s="166">
        <v>0</v>
      </c>
      <c r="R96" s="166">
        <v>0</v>
      </c>
      <c r="S96" s="166">
        <v>0</v>
      </c>
      <c r="T96" s="166">
        <v>0</v>
      </c>
      <c r="U96" s="166">
        <f t="shared" si="22"/>
        <v>0</v>
      </c>
      <c r="V96" s="166">
        <v>0</v>
      </c>
      <c r="W96" s="167">
        <f>G96+H96+L96+P96+U96+V96</f>
        <v>3099424.7900000005</v>
      </c>
      <c r="X96" s="1">
        <v>0</v>
      </c>
      <c r="Y96" s="164">
        <f t="shared" si="23"/>
        <v>3099424.7900000005</v>
      </c>
    </row>
    <row r="97" spans="1:25" ht="12.75" hidden="1" outlineLevel="1">
      <c r="A97" s="1" t="s">
        <v>3308</v>
      </c>
      <c r="C97" s="1" t="s">
        <v>3309</v>
      </c>
      <c r="D97" s="2" t="s">
        <v>3310</v>
      </c>
      <c r="E97" s="1">
        <v>743.7</v>
      </c>
      <c r="F97" s="1">
        <v>0</v>
      </c>
      <c r="G97" s="166">
        <f t="shared" si="21"/>
        <v>743.7</v>
      </c>
      <c r="H97" s="166">
        <v>0</v>
      </c>
      <c r="I97" s="166">
        <v>0</v>
      </c>
      <c r="J97" s="166">
        <v>0</v>
      </c>
      <c r="K97" s="166">
        <v>0</v>
      </c>
      <c r="L97" s="166">
        <f>I97+J97+K97</f>
        <v>0</v>
      </c>
      <c r="M97" s="166">
        <v>0</v>
      </c>
      <c r="N97" s="166">
        <v>0</v>
      </c>
      <c r="O97" s="166">
        <v>0</v>
      </c>
      <c r="P97" s="166">
        <f>M97+N97+O97</f>
        <v>0</v>
      </c>
      <c r="Q97" s="166">
        <v>0</v>
      </c>
      <c r="R97" s="166">
        <v>0</v>
      </c>
      <c r="S97" s="166">
        <v>0</v>
      </c>
      <c r="T97" s="166">
        <v>0</v>
      </c>
      <c r="U97" s="166">
        <f t="shared" si="22"/>
        <v>0</v>
      </c>
      <c r="V97" s="166">
        <v>0</v>
      </c>
      <c r="W97" s="167">
        <f>G97+H97+L97+P97+U97+V97</f>
        <v>743.7</v>
      </c>
      <c r="X97" s="1">
        <v>0</v>
      </c>
      <c r="Y97" s="164">
        <f t="shared" si="23"/>
        <v>743.7</v>
      </c>
    </row>
    <row r="98" spans="1:25" ht="12.75" customHeight="1" collapsed="1">
      <c r="A98" s="160" t="s">
        <v>3311</v>
      </c>
      <c r="B98" s="30"/>
      <c r="C98" s="160" t="s">
        <v>3312</v>
      </c>
      <c r="D98" s="31"/>
      <c r="E98" s="32">
        <v>3016592.19</v>
      </c>
      <c r="F98" s="32">
        <v>11061.66</v>
      </c>
      <c r="G98" s="36">
        <f t="shared" si="21"/>
        <v>3027653.85</v>
      </c>
      <c r="H98" s="36">
        <v>72514.64</v>
      </c>
      <c r="I98" s="36">
        <v>0</v>
      </c>
      <c r="J98" s="36">
        <v>0</v>
      </c>
      <c r="K98" s="36">
        <v>0</v>
      </c>
      <c r="L98" s="36">
        <f t="shared" si="24"/>
        <v>0</v>
      </c>
      <c r="M98" s="36">
        <v>0</v>
      </c>
      <c r="N98" s="36">
        <v>0</v>
      </c>
      <c r="O98" s="36">
        <v>0</v>
      </c>
      <c r="P98" s="36">
        <f t="shared" si="25"/>
        <v>0</v>
      </c>
      <c r="Q98" s="36">
        <v>0</v>
      </c>
      <c r="R98" s="36">
        <v>0</v>
      </c>
      <c r="S98" s="36">
        <v>0</v>
      </c>
      <c r="T98" s="36">
        <v>0</v>
      </c>
      <c r="U98" s="36">
        <f t="shared" si="22"/>
        <v>0</v>
      </c>
      <c r="V98" s="36">
        <v>0</v>
      </c>
      <c r="W98" s="165">
        <f t="shared" si="26"/>
        <v>3100168.49</v>
      </c>
      <c r="X98" s="32">
        <v>0</v>
      </c>
      <c r="Y98" s="163">
        <f t="shared" si="23"/>
        <v>3100168.49</v>
      </c>
    </row>
    <row r="99" spans="1:25" ht="12.75" hidden="1" outlineLevel="1">
      <c r="A99" s="1" t="s">
        <v>3313</v>
      </c>
      <c r="C99" s="1" t="s">
        <v>3314</v>
      </c>
      <c r="D99" s="2" t="s">
        <v>3315</v>
      </c>
      <c r="E99" s="1">
        <v>4073373.46</v>
      </c>
      <c r="F99" s="1">
        <v>14212.64</v>
      </c>
      <c r="G99" s="166">
        <f>E99+F99</f>
        <v>4087586.1</v>
      </c>
      <c r="H99" s="166">
        <v>422125.67</v>
      </c>
      <c r="I99" s="166">
        <v>0</v>
      </c>
      <c r="J99" s="166">
        <v>0</v>
      </c>
      <c r="K99" s="166">
        <v>0</v>
      </c>
      <c r="L99" s="166">
        <f>I99+J99+K99</f>
        <v>0</v>
      </c>
      <c r="M99" s="166">
        <v>0</v>
      </c>
      <c r="N99" s="166">
        <v>0</v>
      </c>
      <c r="O99" s="166">
        <v>0</v>
      </c>
      <c r="P99" s="166">
        <f>M99+N99+O99</f>
        <v>0</v>
      </c>
      <c r="Q99" s="166">
        <v>0</v>
      </c>
      <c r="R99" s="166">
        <v>0</v>
      </c>
      <c r="S99" s="166">
        <v>0</v>
      </c>
      <c r="T99" s="166">
        <v>0</v>
      </c>
      <c r="U99" s="166">
        <f>Q99+R99+S99+T99</f>
        <v>0</v>
      </c>
      <c r="V99" s="166">
        <v>418.14</v>
      </c>
      <c r="W99" s="167">
        <f>G99+H99+L99+P99+U99+V99</f>
        <v>4510129.91</v>
      </c>
      <c r="X99" s="1">
        <v>0</v>
      </c>
      <c r="Y99" s="164">
        <f>W99+X99</f>
        <v>4510129.91</v>
      </c>
    </row>
    <row r="100" spans="1:25" ht="12.75" customHeight="1" collapsed="1">
      <c r="A100" s="160" t="s">
        <v>3316</v>
      </c>
      <c r="B100" s="30"/>
      <c r="C100" s="160" t="s">
        <v>3317</v>
      </c>
      <c r="D100" s="31"/>
      <c r="E100" s="32">
        <v>4073373.46</v>
      </c>
      <c r="F100" s="32">
        <v>14212.64</v>
      </c>
      <c r="G100" s="36">
        <f t="shared" si="21"/>
        <v>4087586.1</v>
      </c>
      <c r="H100" s="36">
        <v>422125.67</v>
      </c>
      <c r="I100" s="36">
        <v>0</v>
      </c>
      <c r="J100" s="36">
        <v>0</v>
      </c>
      <c r="K100" s="36">
        <v>0</v>
      </c>
      <c r="L100" s="36">
        <f t="shared" si="24"/>
        <v>0</v>
      </c>
      <c r="M100" s="36">
        <v>0</v>
      </c>
      <c r="N100" s="36">
        <v>0</v>
      </c>
      <c r="O100" s="36">
        <v>0</v>
      </c>
      <c r="P100" s="36">
        <f t="shared" si="25"/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f t="shared" si="22"/>
        <v>0</v>
      </c>
      <c r="V100" s="36">
        <v>418.14</v>
      </c>
      <c r="W100" s="165">
        <f t="shared" si="26"/>
        <v>4510129.91</v>
      </c>
      <c r="X100" s="32">
        <v>0</v>
      </c>
      <c r="Y100" s="163">
        <f t="shared" si="23"/>
        <v>4510129.91</v>
      </c>
    </row>
    <row r="101" spans="1:25" ht="12.75" customHeight="1">
      <c r="A101" s="160" t="s">
        <v>3318</v>
      </c>
      <c r="B101" s="30"/>
      <c r="C101" s="160" t="s">
        <v>3319</v>
      </c>
      <c r="D101" s="31"/>
      <c r="E101" s="32">
        <v>0</v>
      </c>
      <c r="F101" s="32">
        <v>0</v>
      </c>
      <c r="G101" s="36">
        <f t="shared" si="21"/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f t="shared" si="24"/>
        <v>0</v>
      </c>
      <c r="M101" s="36">
        <v>0</v>
      </c>
      <c r="N101" s="36">
        <v>0</v>
      </c>
      <c r="O101" s="36">
        <v>0</v>
      </c>
      <c r="P101" s="36">
        <f t="shared" si="25"/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f t="shared" si="22"/>
        <v>0</v>
      </c>
      <c r="V101" s="36">
        <v>0</v>
      </c>
      <c r="W101" s="165">
        <f t="shared" si="26"/>
        <v>0</v>
      </c>
      <c r="X101" s="32">
        <v>0</v>
      </c>
      <c r="Y101" s="163">
        <f t="shared" si="23"/>
        <v>0</v>
      </c>
    </row>
    <row r="102" spans="1:25" ht="12.75" customHeight="1">
      <c r="A102" s="160" t="s">
        <v>3320</v>
      </c>
      <c r="B102" s="30"/>
      <c r="C102" s="160" t="s">
        <v>3321</v>
      </c>
      <c r="D102" s="31"/>
      <c r="E102" s="32">
        <v>0</v>
      </c>
      <c r="F102" s="32">
        <v>0</v>
      </c>
      <c r="G102" s="36">
        <f t="shared" si="21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f t="shared" si="24"/>
        <v>0</v>
      </c>
      <c r="M102" s="36">
        <v>0</v>
      </c>
      <c r="N102" s="36">
        <v>0</v>
      </c>
      <c r="O102" s="36">
        <v>0</v>
      </c>
      <c r="P102" s="36">
        <f t="shared" si="25"/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f t="shared" si="22"/>
        <v>0</v>
      </c>
      <c r="V102" s="36">
        <v>0</v>
      </c>
      <c r="W102" s="165">
        <f t="shared" si="26"/>
        <v>0</v>
      </c>
      <c r="X102" s="32">
        <v>0</v>
      </c>
      <c r="Y102" s="163">
        <f t="shared" si="23"/>
        <v>0</v>
      </c>
    </row>
    <row r="103" spans="1:25" ht="12.75" hidden="1" outlineLevel="1">
      <c r="A103" s="1" t="s">
        <v>3322</v>
      </c>
      <c r="C103" s="1" t="s">
        <v>3323</v>
      </c>
      <c r="D103" s="2" t="s">
        <v>3324</v>
      </c>
      <c r="E103" s="1">
        <v>11473671.33</v>
      </c>
      <c r="F103" s="1">
        <v>0</v>
      </c>
      <c r="G103" s="166">
        <f>E103+F103</f>
        <v>11473671.33</v>
      </c>
      <c r="H103" s="166">
        <v>0</v>
      </c>
      <c r="I103" s="166">
        <v>0</v>
      </c>
      <c r="J103" s="166">
        <v>0</v>
      </c>
      <c r="K103" s="166">
        <v>0</v>
      </c>
      <c r="L103" s="166">
        <f>I103+J103+K103</f>
        <v>0</v>
      </c>
      <c r="M103" s="166">
        <v>0</v>
      </c>
      <c r="N103" s="166">
        <v>0</v>
      </c>
      <c r="O103" s="166">
        <v>0</v>
      </c>
      <c r="P103" s="166">
        <f>M103+N103+O103</f>
        <v>0</v>
      </c>
      <c r="Q103" s="166">
        <v>0</v>
      </c>
      <c r="R103" s="166">
        <v>0</v>
      </c>
      <c r="S103" s="166">
        <v>0</v>
      </c>
      <c r="T103" s="166">
        <v>0</v>
      </c>
      <c r="U103" s="166">
        <f>Q103+R103+S103+T103</f>
        <v>0</v>
      </c>
      <c r="V103" s="166">
        <v>0</v>
      </c>
      <c r="W103" s="167">
        <f>G103+H103+L103+P103+U103+V103</f>
        <v>11473671.33</v>
      </c>
      <c r="X103" s="1">
        <v>0</v>
      </c>
      <c r="Y103" s="164">
        <f>W103+X103</f>
        <v>11473671.33</v>
      </c>
    </row>
    <row r="104" spans="1:25" ht="12.75" hidden="1" outlineLevel="1">
      <c r="A104" s="1" t="s">
        <v>3325</v>
      </c>
      <c r="C104" s="1" t="s">
        <v>3326</v>
      </c>
      <c r="D104" s="2" t="s">
        <v>3327</v>
      </c>
      <c r="E104" s="1">
        <v>600765.05</v>
      </c>
      <c r="F104" s="1">
        <v>0</v>
      </c>
      <c r="G104" s="166">
        <f>E104+F104</f>
        <v>600765.05</v>
      </c>
      <c r="H104" s="166">
        <v>0</v>
      </c>
      <c r="I104" s="166">
        <v>0</v>
      </c>
      <c r="J104" s="166">
        <v>0</v>
      </c>
      <c r="K104" s="166">
        <v>0</v>
      </c>
      <c r="L104" s="166">
        <f>I104+J104+K104</f>
        <v>0</v>
      </c>
      <c r="M104" s="166">
        <v>0</v>
      </c>
      <c r="N104" s="166">
        <v>0</v>
      </c>
      <c r="O104" s="166">
        <v>0</v>
      </c>
      <c r="P104" s="166">
        <f>M104+N104+O104</f>
        <v>0</v>
      </c>
      <c r="Q104" s="166">
        <v>0</v>
      </c>
      <c r="R104" s="166">
        <v>0</v>
      </c>
      <c r="S104" s="166">
        <v>0</v>
      </c>
      <c r="T104" s="166">
        <v>0</v>
      </c>
      <c r="U104" s="166">
        <f>Q104+R104+S104+T104</f>
        <v>0</v>
      </c>
      <c r="V104" s="166">
        <v>0</v>
      </c>
      <c r="W104" s="167">
        <f>G104+H104+L104+P104+U104+V104</f>
        <v>600765.05</v>
      </c>
      <c r="X104" s="1">
        <v>0</v>
      </c>
      <c r="Y104" s="164">
        <f>W104+X104</f>
        <v>600765.05</v>
      </c>
    </row>
    <row r="105" spans="1:25" ht="12.75" hidden="1" outlineLevel="1">
      <c r="A105" s="1" t="s">
        <v>3328</v>
      </c>
      <c r="C105" s="1" t="s">
        <v>3329</v>
      </c>
      <c r="D105" s="2" t="s">
        <v>3330</v>
      </c>
      <c r="E105" s="1">
        <v>2289.74</v>
      </c>
      <c r="F105" s="1">
        <v>388533.29</v>
      </c>
      <c r="G105" s="166">
        <f>E105+F105</f>
        <v>390823.02999999997</v>
      </c>
      <c r="H105" s="166">
        <v>0</v>
      </c>
      <c r="I105" s="166">
        <v>0</v>
      </c>
      <c r="J105" s="166">
        <v>0</v>
      </c>
      <c r="K105" s="166">
        <v>0</v>
      </c>
      <c r="L105" s="166">
        <f>I105+J105+K105</f>
        <v>0</v>
      </c>
      <c r="M105" s="166">
        <v>0</v>
      </c>
      <c r="N105" s="166">
        <v>0</v>
      </c>
      <c r="O105" s="166">
        <v>0</v>
      </c>
      <c r="P105" s="166">
        <f>M105+N105+O105</f>
        <v>0</v>
      </c>
      <c r="Q105" s="166">
        <v>0</v>
      </c>
      <c r="R105" s="166">
        <v>0</v>
      </c>
      <c r="S105" s="166">
        <v>0</v>
      </c>
      <c r="T105" s="166">
        <v>0</v>
      </c>
      <c r="U105" s="166">
        <f>Q105+R105+S105+T105</f>
        <v>0</v>
      </c>
      <c r="V105" s="166">
        <v>0</v>
      </c>
      <c r="W105" s="167">
        <f>G105+H105+L105+P105+U105+V105</f>
        <v>390823.02999999997</v>
      </c>
      <c r="X105" s="1">
        <v>0</v>
      </c>
      <c r="Y105" s="164">
        <f>W105+X105</f>
        <v>390823.02999999997</v>
      </c>
    </row>
    <row r="106" spans="1:25" ht="12.75" hidden="1" outlineLevel="1">
      <c r="A106" s="1" t="s">
        <v>3331</v>
      </c>
      <c r="C106" s="1" t="s">
        <v>3332</v>
      </c>
      <c r="D106" s="2" t="s">
        <v>3333</v>
      </c>
      <c r="E106" s="1">
        <v>0</v>
      </c>
      <c r="F106" s="1">
        <v>0</v>
      </c>
      <c r="G106" s="166">
        <f>E106+F106</f>
        <v>0</v>
      </c>
      <c r="H106" s="166">
        <v>0</v>
      </c>
      <c r="I106" s="166">
        <v>0</v>
      </c>
      <c r="J106" s="166">
        <v>0</v>
      </c>
      <c r="K106" s="166">
        <v>0</v>
      </c>
      <c r="L106" s="166">
        <f>I106+J106+K106</f>
        <v>0</v>
      </c>
      <c r="M106" s="166">
        <v>0</v>
      </c>
      <c r="N106" s="166">
        <v>0</v>
      </c>
      <c r="O106" s="166">
        <v>0</v>
      </c>
      <c r="P106" s="166">
        <f>M106+N106+O106</f>
        <v>0</v>
      </c>
      <c r="Q106" s="166">
        <v>0</v>
      </c>
      <c r="R106" s="166">
        <v>0</v>
      </c>
      <c r="S106" s="166">
        <v>0</v>
      </c>
      <c r="T106" s="166">
        <v>0</v>
      </c>
      <c r="U106" s="166">
        <f>Q106+R106+S106+T106</f>
        <v>0</v>
      </c>
      <c r="V106" s="166">
        <v>89410.17</v>
      </c>
      <c r="W106" s="167">
        <f>G106+H106+L106+P106+U106+V106</f>
        <v>89410.17</v>
      </c>
      <c r="X106" s="1">
        <v>0</v>
      </c>
      <c r="Y106" s="164">
        <f>W106+X106</f>
        <v>89410.17</v>
      </c>
    </row>
    <row r="107" spans="1:25" ht="12.75" customHeight="1" collapsed="1">
      <c r="A107" s="160" t="s">
        <v>3334</v>
      </c>
      <c r="B107" s="30"/>
      <c r="C107" s="160" t="s">
        <v>3335</v>
      </c>
      <c r="D107" s="31"/>
      <c r="E107" s="32">
        <v>12076726.120000001</v>
      </c>
      <c r="F107" s="32">
        <v>388533.29</v>
      </c>
      <c r="G107" s="36">
        <f t="shared" si="21"/>
        <v>12465259.41</v>
      </c>
      <c r="H107" s="36">
        <v>0</v>
      </c>
      <c r="I107" s="36">
        <v>0</v>
      </c>
      <c r="J107" s="36">
        <v>0</v>
      </c>
      <c r="K107" s="36">
        <v>0</v>
      </c>
      <c r="L107" s="36">
        <f t="shared" si="24"/>
        <v>0</v>
      </c>
      <c r="M107" s="36">
        <v>0</v>
      </c>
      <c r="N107" s="36">
        <v>0</v>
      </c>
      <c r="O107" s="36">
        <v>0</v>
      </c>
      <c r="P107" s="36">
        <f t="shared" si="25"/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f t="shared" si="22"/>
        <v>0</v>
      </c>
      <c r="V107" s="36">
        <v>89410.17</v>
      </c>
      <c r="W107" s="165">
        <f t="shared" si="26"/>
        <v>12554669.58</v>
      </c>
      <c r="X107" s="32">
        <v>0</v>
      </c>
      <c r="Y107" s="163">
        <f t="shared" si="23"/>
        <v>12554669.58</v>
      </c>
    </row>
    <row r="108" spans="1:25" ht="12.75" hidden="1" outlineLevel="1">
      <c r="A108" s="1" t="s">
        <v>3336</v>
      </c>
      <c r="C108" s="1" t="s">
        <v>3337</v>
      </c>
      <c r="D108" s="2" t="s">
        <v>3338</v>
      </c>
      <c r="E108" s="1">
        <v>0</v>
      </c>
      <c r="F108" s="1">
        <v>0</v>
      </c>
      <c r="G108" s="166">
        <f>E108+F108</f>
        <v>0</v>
      </c>
      <c r="H108" s="166">
        <v>0</v>
      </c>
      <c r="I108" s="166">
        <v>0</v>
      </c>
      <c r="J108" s="166">
        <v>0</v>
      </c>
      <c r="K108" s="166">
        <v>0</v>
      </c>
      <c r="L108" s="166">
        <f>I108+J108+K108</f>
        <v>0</v>
      </c>
      <c r="M108" s="166">
        <v>0</v>
      </c>
      <c r="N108" s="166">
        <v>0</v>
      </c>
      <c r="O108" s="166">
        <v>0</v>
      </c>
      <c r="P108" s="166">
        <f>M108+N108+O108</f>
        <v>0</v>
      </c>
      <c r="Q108" s="166">
        <v>0</v>
      </c>
      <c r="R108" s="166">
        <v>0</v>
      </c>
      <c r="S108" s="166">
        <v>0</v>
      </c>
      <c r="T108" s="166">
        <v>0</v>
      </c>
      <c r="U108" s="166">
        <f>Q108+R108+S108+T108</f>
        <v>0</v>
      </c>
      <c r="V108" s="166">
        <v>168.48</v>
      </c>
      <c r="W108" s="167">
        <f>G108+H108+L108+P108+U108+V108</f>
        <v>168.48</v>
      </c>
      <c r="X108" s="1">
        <v>0</v>
      </c>
      <c r="Y108" s="164">
        <f>W108+X108</f>
        <v>168.48</v>
      </c>
    </row>
    <row r="109" spans="1:25" ht="12.75" customHeight="1" collapsed="1">
      <c r="A109" s="160" t="s">
        <v>3339</v>
      </c>
      <c r="B109" s="30"/>
      <c r="C109" s="160" t="s">
        <v>3340</v>
      </c>
      <c r="D109" s="31"/>
      <c r="E109" s="32">
        <v>0</v>
      </c>
      <c r="F109" s="32">
        <v>0</v>
      </c>
      <c r="G109" s="36">
        <f t="shared" si="21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f t="shared" si="24"/>
        <v>0</v>
      </c>
      <c r="M109" s="36">
        <v>0</v>
      </c>
      <c r="N109" s="36">
        <v>0</v>
      </c>
      <c r="O109" s="36">
        <v>0</v>
      </c>
      <c r="P109" s="36">
        <f t="shared" si="25"/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f t="shared" si="22"/>
        <v>0</v>
      </c>
      <c r="V109" s="36">
        <v>168.48</v>
      </c>
      <c r="W109" s="165">
        <f t="shared" si="26"/>
        <v>168.48</v>
      </c>
      <c r="X109" s="32">
        <v>0</v>
      </c>
      <c r="Y109" s="163">
        <f t="shared" si="23"/>
        <v>168.48</v>
      </c>
    </row>
    <row r="110" spans="1:25" ht="12.75" customHeight="1">
      <c r="A110" s="160" t="s">
        <v>726</v>
      </c>
      <c r="B110" s="30"/>
      <c r="C110" s="160" t="s">
        <v>754</v>
      </c>
      <c r="D110" s="31"/>
      <c r="E110" s="32">
        <v>0</v>
      </c>
      <c r="F110" s="32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f t="shared" si="25"/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f>V85-V95-V98-V100-V101-V102-V107-V109-V113-V114-V116-V117</f>
        <v>18018170.569999997</v>
      </c>
      <c r="W110" s="165">
        <f t="shared" si="26"/>
        <v>18018170.569999997</v>
      </c>
      <c r="X110" s="32">
        <v>0</v>
      </c>
      <c r="Y110" s="163">
        <f t="shared" si="23"/>
        <v>18018170.569999997</v>
      </c>
    </row>
    <row r="111" spans="1:25" ht="12.75" customHeight="1">
      <c r="A111" s="160" t="s">
        <v>3341</v>
      </c>
      <c r="B111" s="30"/>
      <c r="C111" s="160" t="s">
        <v>3342</v>
      </c>
      <c r="D111" s="31"/>
      <c r="E111" s="32">
        <v>0</v>
      </c>
      <c r="F111" s="32">
        <v>0</v>
      </c>
      <c r="G111" s="36">
        <f aca="true" t="shared" si="27" ref="G111:G117">E111+F111</f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f aca="true" t="shared" si="28" ref="L111:L117">I111+J111+K111</f>
        <v>0</v>
      </c>
      <c r="M111" s="36">
        <v>0</v>
      </c>
      <c r="N111" s="36">
        <v>0</v>
      </c>
      <c r="O111" s="36">
        <v>0</v>
      </c>
      <c r="P111" s="36">
        <f t="shared" si="25"/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f aca="true" t="shared" si="29" ref="U111:U117">Q111+R111+S111+T111</f>
        <v>0</v>
      </c>
      <c r="V111" s="36">
        <v>0</v>
      </c>
      <c r="W111" s="165">
        <f t="shared" si="26"/>
        <v>0</v>
      </c>
      <c r="X111" s="32">
        <v>0</v>
      </c>
      <c r="Y111" s="163">
        <f t="shared" si="23"/>
        <v>0</v>
      </c>
    </row>
    <row r="112" spans="1:25" ht="12.75" hidden="1" outlineLevel="1">
      <c r="A112" s="1" t="s">
        <v>3343</v>
      </c>
      <c r="C112" s="1" t="s">
        <v>3344</v>
      </c>
      <c r="D112" s="2" t="s">
        <v>3345</v>
      </c>
      <c r="E112" s="1">
        <v>0</v>
      </c>
      <c r="F112" s="1">
        <v>0</v>
      </c>
      <c r="G112" s="166">
        <f t="shared" si="27"/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f t="shared" si="28"/>
        <v>0</v>
      </c>
      <c r="M112" s="166">
        <v>0</v>
      </c>
      <c r="N112" s="166">
        <v>7148424.87</v>
      </c>
      <c r="O112" s="166">
        <v>0</v>
      </c>
      <c r="P112" s="166">
        <f>M112+N112+O112</f>
        <v>7148424.87</v>
      </c>
      <c r="Q112" s="166">
        <v>0</v>
      </c>
      <c r="R112" s="166">
        <v>0</v>
      </c>
      <c r="S112" s="166">
        <v>0</v>
      </c>
      <c r="T112" s="166">
        <v>0</v>
      </c>
      <c r="U112" s="166">
        <f t="shared" si="29"/>
        <v>0</v>
      </c>
      <c r="V112" s="166">
        <v>0</v>
      </c>
      <c r="W112" s="167">
        <f>G112+H112+L112+P112+U112+V112</f>
        <v>7148424.87</v>
      </c>
      <c r="X112" s="1">
        <v>0</v>
      </c>
      <c r="Y112" s="164">
        <f>W112+X112</f>
        <v>7148424.87</v>
      </c>
    </row>
    <row r="113" spans="1:25" ht="12.75" customHeight="1" collapsed="1">
      <c r="A113" s="160" t="s">
        <v>3346</v>
      </c>
      <c r="B113" s="30"/>
      <c r="C113" s="160" t="s">
        <v>756</v>
      </c>
      <c r="D113" s="31"/>
      <c r="E113" s="32">
        <v>0</v>
      </c>
      <c r="F113" s="32">
        <v>0</v>
      </c>
      <c r="G113" s="36">
        <f t="shared" si="27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f t="shared" si="28"/>
        <v>0</v>
      </c>
      <c r="M113" s="36">
        <v>0</v>
      </c>
      <c r="N113" s="36">
        <v>7148424.87</v>
      </c>
      <c r="O113" s="36">
        <v>0</v>
      </c>
      <c r="P113" s="36">
        <f t="shared" si="25"/>
        <v>7148424.87</v>
      </c>
      <c r="Q113" s="36">
        <v>0</v>
      </c>
      <c r="R113" s="36">
        <v>0</v>
      </c>
      <c r="S113" s="36">
        <v>0</v>
      </c>
      <c r="T113" s="36">
        <v>0</v>
      </c>
      <c r="U113" s="36">
        <f t="shared" si="29"/>
        <v>0</v>
      </c>
      <c r="V113" s="36">
        <v>0</v>
      </c>
      <c r="W113" s="165">
        <f t="shared" si="26"/>
        <v>7148424.87</v>
      </c>
      <c r="X113" s="32">
        <v>0</v>
      </c>
      <c r="Y113" s="163">
        <f t="shared" si="23"/>
        <v>7148424.87</v>
      </c>
    </row>
    <row r="114" spans="1:25" ht="12.75" customHeight="1">
      <c r="A114" s="160" t="s">
        <v>3347</v>
      </c>
      <c r="B114" s="30"/>
      <c r="C114" s="160" t="s">
        <v>3348</v>
      </c>
      <c r="D114" s="31"/>
      <c r="E114" s="32">
        <v>0</v>
      </c>
      <c r="F114" s="32">
        <v>0</v>
      </c>
      <c r="G114" s="36">
        <f t="shared" si="27"/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t="shared" si="28"/>
        <v>0</v>
      </c>
      <c r="M114" s="36">
        <v>0</v>
      </c>
      <c r="N114" s="36">
        <v>0</v>
      </c>
      <c r="O114" s="36">
        <v>0</v>
      </c>
      <c r="P114" s="36">
        <f t="shared" si="25"/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f t="shared" si="29"/>
        <v>0</v>
      </c>
      <c r="V114" s="36">
        <v>0</v>
      </c>
      <c r="W114" s="165">
        <f t="shared" si="26"/>
        <v>0</v>
      </c>
      <c r="X114" s="32">
        <v>0</v>
      </c>
      <c r="Y114" s="163">
        <f t="shared" si="23"/>
        <v>0</v>
      </c>
    </row>
    <row r="115" spans="1:25" ht="12.75" hidden="1" outlineLevel="1">
      <c r="A115" s="1" t="s">
        <v>3349</v>
      </c>
      <c r="C115" s="1" t="s">
        <v>3350</v>
      </c>
      <c r="D115" s="2" t="s">
        <v>3351</v>
      </c>
      <c r="E115" s="1">
        <v>0</v>
      </c>
      <c r="F115" s="1">
        <v>0</v>
      </c>
      <c r="G115" s="166">
        <f t="shared" si="27"/>
        <v>0</v>
      </c>
      <c r="H115" s="166">
        <v>0</v>
      </c>
      <c r="I115" s="166">
        <v>0</v>
      </c>
      <c r="J115" s="166">
        <v>0</v>
      </c>
      <c r="K115" s="166">
        <v>0</v>
      </c>
      <c r="L115" s="166">
        <f t="shared" si="28"/>
        <v>0</v>
      </c>
      <c r="M115" s="166">
        <v>0</v>
      </c>
      <c r="N115" s="166">
        <v>0</v>
      </c>
      <c r="O115" s="166">
        <v>0</v>
      </c>
      <c r="P115" s="166">
        <f>M115+N115+O115</f>
        <v>0</v>
      </c>
      <c r="Q115" s="166">
        <v>0</v>
      </c>
      <c r="R115" s="166">
        <v>0</v>
      </c>
      <c r="S115" s="166">
        <v>0</v>
      </c>
      <c r="T115" s="166">
        <v>919394.32</v>
      </c>
      <c r="U115" s="166">
        <f t="shared" si="29"/>
        <v>919394.32</v>
      </c>
      <c r="V115" s="166">
        <v>0</v>
      </c>
      <c r="W115" s="167">
        <f>G115+H115+L115+P115+U115+V115</f>
        <v>919394.32</v>
      </c>
      <c r="X115" s="1">
        <v>0</v>
      </c>
      <c r="Y115" s="164">
        <f>W115+X115</f>
        <v>919394.32</v>
      </c>
    </row>
    <row r="116" spans="1:25" ht="12.75" customHeight="1" collapsed="1">
      <c r="A116" s="160" t="s">
        <v>3352</v>
      </c>
      <c r="B116" s="30"/>
      <c r="C116" s="160" t="s">
        <v>757</v>
      </c>
      <c r="D116" s="31"/>
      <c r="E116" s="32">
        <v>0</v>
      </c>
      <c r="F116" s="32">
        <v>0</v>
      </c>
      <c r="G116" s="36">
        <f t="shared" si="27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f t="shared" si="28"/>
        <v>0</v>
      </c>
      <c r="M116" s="36">
        <v>0</v>
      </c>
      <c r="N116" s="36">
        <v>0</v>
      </c>
      <c r="O116" s="36">
        <v>0</v>
      </c>
      <c r="P116" s="36">
        <f t="shared" si="25"/>
        <v>0</v>
      </c>
      <c r="Q116" s="36">
        <v>0</v>
      </c>
      <c r="R116" s="36">
        <v>0</v>
      </c>
      <c r="S116" s="36">
        <v>0</v>
      </c>
      <c r="T116" s="36">
        <v>919394.32</v>
      </c>
      <c r="U116" s="36">
        <f t="shared" si="29"/>
        <v>919394.32</v>
      </c>
      <c r="V116" s="36">
        <v>0</v>
      </c>
      <c r="W116" s="165">
        <f t="shared" si="26"/>
        <v>919394.32</v>
      </c>
      <c r="X116" s="32">
        <v>0</v>
      </c>
      <c r="Y116" s="163">
        <f t="shared" si="23"/>
        <v>919394.32</v>
      </c>
    </row>
    <row r="117" spans="1:25" ht="12.75" customHeight="1">
      <c r="A117" s="160" t="s">
        <v>3353</v>
      </c>
      <c r="B117" s="30"/>
      <c r="C117" s="160" t="s">
        <v>3354</v>
      </c>
      <c r="D117" s="31"/>
      <c r="E117" s="32">
        <v>0</v>
      </c>
      <c r="F117" s="32">
        <v>0</v>
      </c>
      <c r="G117" s="36">
        <f t="shared" si="27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28"/>
        <v>0</v>
      </c>
      <c r="M117" s="36">
        <v>0</v>
      </c>
      <c r="N117" s="36">
        <v>0</v>
      </c>
      <c r="O117" s="36">
        <v>0</v>
      </c>
      <c r="P117" s="36">
        <f t="shared" si="25"/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t="shared" si="29"/>
        <v>0</v>
      </c>
      <c r="V117" s="36">
        <v>0</v>
      </c>
      <c r="W117" s="165">
        <f t="shared" si="26"/>
        <v>0</v>
      </c>
      <c r="X117" s="32">
        <v>0</v>
      </c>
      <c r="Y117" s="163">
        <f t="shared" si="23"/>
        <v>0</v>
      </c>
    </row>
    <row r="118" spans="1:25" ht="12.75" customHeight="1">
      <c r="A118" s="2"/>
      <c r="B118" s="30"/>
      <c r="C118" s="160"/>
      <c r="D118" s="31"/>
      <c r="E118" s="32"/>
      <c r="F118" s="32"/>
      <c r="G118" s="36"/>
      <c r="H118" s="36"/>
      <c r="I118" s="36"/>
      <c r="J118" s="36"/>
      <c r="K118" s="36"/>
      <c r="L118" s="36"/>
      <c r="M118" s="36"/>
      <c r="N118" s="36"/>
      <c r="O118" s="36"/>
      <c r="P118" s="39"/>
      <c r="Q118" s="36"/>
      <c r="R118" s="36"/>
      <c r="S118" s="36"/>
      <c r="T118" s="36"/>
      <c r="U118" s="36"/>
      <c r="V118" s="36"/>
      <c r="W118" s="165"/>
      <c r="X118" s="32"/>
      <c r="Y118" s="153"/>
    </row>
    <row r="119" spans="1:25" s="169" customFormat="1" ht="12.75" customHeight="1">
      <c r="A119" s="29"/>
      <c r="B119" s="23" t="s">
        <v>2961</v>
      </c>
      <c r="C119" s="159"/>
      <c r="D119" s="24"/>
      <c r="E119" s="27">
        <f aca="true" t="shared" si="30" ref="E119:Y119">E95+E98+E100+E101+E109+E102+E107+E110+E113+E114+E116+E117+E111</f>
        <v>19754401.85</v>
      </c>
      <c r="F119" s="27">
        <f t="shared" si="30"/>
        <v>440089.1</v>
      </c>
      <c r="G119" s="39">
        <f t="shared" si="30"/>
        <v>20194490.95</v>
      </c>
      <c r="H119" s="39">
        <f t="shared" si="30"/>
        <v>1090281.63</v>
      </c>
      <c r="I119" s="39">
        <f t="shared" si="30"/>
        <v>0</v>
      </c>
      <c r="J119" s="39">
        <f t="shared" si="30"/>
        <v>0</v>
      </c>
      <c r="K119" s="39">
        <f t="shared" si="30"/>
        <v>1812.08</v>
      </c>
      <c r="L119" s="39">
        <f t="shared" si="30"/>
        <v>1812.08</v>
      </c>
      <c r="M119" s="39">
        <f t="shared" si="30"/>
        <v>0</v>
      </c>
      <c r="N119" s="39">
        <f t="shared" si="30"/>
        <v>7148424.87</v>
      </c>
      <c r="O119" s="39">
        <f t="shared" si="30"/>
        <v>0</v>
      </c>
      <c r="P119" s="39">
        <f t="shared" si="30"/>
        <v>7148424.87</v>
      </c>
      <c r="Q119" s="39">
        <f t="shared" si="30"/>
        <v>112033.89</v>
      </c>
      <c r="R119" s="39">
        <f t="shared" si="30"/>
        <v>10249</v>
      </c>
      <c r="S119" s="39">
        <f t="shared" si="30"/>
        <v>0</v>
      </c>
      <c r="T119" s="39">
        <f t="shared" si="30"/>
        <v>919394.32</v>
      </c>
      <c r="U119" s="39">
        <f t="shared" si="30"/>
        <v>1041677.21</v>
      </c>
      <c r="V119" s="39">
        <f t="shared" si="30"/>
        <v>18118015.679999996</v>
      </c>
      <c r="W119" s="39">
        <f t="shared" si="30"/>
        <v>47594702.42</v>
      </c>
      <c r="X119" s="27">
        <f t="shared" si="30"/>
        <v>0</v>
      </c>
      <c r="Y119" s="27">
        <f t="shared" si="30"/>
        <v>47594702.42</v>
      </c>
    </row>
    <row r="120" spans="1:25" s="169" customFormat="1" ht="12.75" customHeight="1">
      <c r="A120" s="29"/>
      <c r="B120" s="23"/>
      <c r="C120" s="159"/>
      <c r="D120" s="24"/>
      <c r="E120" s="27"/>
      <c r="F120" s="2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27"/>
      <c r="Y120" s="27"/>
    </row>
    <row r="121" spans="1:25" ht="12.75" customHeight="1">
      <c r="A121" s="29"/>
      <c r="B121" s="23" t="s">
        <v>758</v>
      </c>
      <c r="C121" s="159"/>
      <c r="D121" s="24"/>
      <c r="E121" s="27"/>
      <c r="F121" s="2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168"/>
      <c r="X121" s="27"/>
      <c r="Y121" s="153"/>
    </row>
    <row r="122" spans="1:25" ht="12.75" customHeight="1">
      <c r="A122" s="1" t="s">
        <v>3355</v>
      </c>
      <c r="B122" s="30"/>
      <c r="C122" s="160" t="s">
        <v>753</v>
      </c>
      <c r="D122" s="31"/>
      <c r="E122" s="32">
        <v>0</v>
      </c>
      <c r="F122" s="32">
        <v>0</v>
      </c>
      <c r="G122" s="36">
        <f aca="true" t="shared" si="31" ref="G122:G127">E122+F122</f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f aca="true" t="shared" si="32" ref="L122:L127">I122+J122+K122</f>
        <v>0</v>
      </c>
      <c r="M122" s="36">
        <v>0</v>
      </c>
      <c r="N122" s="36">
        <v>0</v>
      </c>
      <c r="O122" s="36">
        <v>0</v>
      </c>
      <c r="P122" s="36">
        <f aca="true" t="shared" si="33" ref="P122:P127">M122+N122+O122</f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f aca="true" t="shared" si="34" ref="U122:U127">Q122+R122+S122+T122</f>
        <v>0</v>
      </c>
      <c r="V122" s="36">
        <v>0</v>
      </c>
      <c r="W122" s="165">
        <f aca="true" t="shared" si="35" ref="W122:W127">G122+H122+L122+P122+U122+V122</f>
        <v>0</v>
      </c>
      <c r="X122" s="32">
        <v>0</v>
      </c>
      <c r="Y122" s="163">
        <f aca="true" t="shared" si="36" ref="Y122:Y127">W122+X122</f>
        <v>0</v>
      </c>
    </row>
    <row r="123" spans="1:25" ht="12.75" customHeight="1">
      <c r="A123" s="160" t="s">
        <v>3356</v>
      </c>
      <c r="B123" s="30"/>
      <c r="C123" s="160" t="s">
        <v>3357</v>
      </c>
      <c r="D123" s="31"/>
      <c r="E123" s="32">
        <v>0</v>
      </c>
      <c r="F123" s="32">
        <v>0</v>
      </c>
      <c r="G123" s="36">
        <f t="shared" si="31"/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f t="shared" si="32"/>
        <v>0</v>
      </c>
      <c r="M123" s="36">
        <v>0</v>
      </c>
      <c r="N123" s="36">
        <v>0</v>
      </c>
      <c r="O123" s="36">
        <v>0</v>
      </c>
      <c r="P123" s="36">
        <f t="shared" si="33"/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f t="shared" si="34"/>
        <v>0</v>
      </c>
      <c r="V123" s="36">
        <v>0</v>
      </c>
      <c r="W123" s="165">
        <f t="shared" si="35"/>
        <v>0</v>
      </c>
      <c r="X123" s="32">
        <v>0</v>
      </c>
      <c r="Y123" s="163">
        <f t="shared" si="36"/>
        <v>0</v>
      </c>
    </row>
    <row r="124" spans="1:25" ht="12.75" hidden="1" outlineLevel="1">
      <c r="A124" s="1" t="s">
        <v>3238</v>
      </c>
      <c r="C124" s="1" t="s">
        <v>3239</v>
      </c>
      <c r="D124" s="2" t="s">
        <v>3240</v>
      </c>
      <c r="E124" s="1">
        <v>0</v>
      </c>
      <c r="F124" s="1">
        <v>0</v>
      </c>
      <c r="G124" s="166">
        <f t="shared" si="31"/>
        <v>0</v>
      </c>
      <c r="H124" s="166">
        <v>0</v>
      </c>
      <c r="I124" s="166">
        <v>0</v>
      </c>
      <c r="J124" s="166">
        <v>0</v>
      </c>
      <c r="K124" s="166">
        <v>0</v>
      </c>
      <c r="L124" s="166">
        <f t="shared" si="32"/>
        <v>0</v>
      </c>
      <c r="M124" s="166">
        <v>0</v>
      </c>
      <c r="N124" s="166">
        <v>0</v>
      </c>
      <c r="O124" s="166">
        <v>0</v>
      </c>
      <c r="P124" s="166">
        <f t="shared" si="33"/>
        <v>0</v>
      </c>
      <c r="Q124" s="166">
        <v>0</v>
      </c>
      <c r="R124" s="166">
        <v>0</v>
      </c>
      <c r="S124" s="166">
        <v>684158.66</v>
      </c>
      <c r="T124" s="166">
        <v>0</v>
      </c>
      <c r="U124" s="166">
        <f t="shared" si="34"/>
        <v>684158.66</v>
      </c>
      <c r="V124" s="166">
        <v>0</v>
      </c>
      <c r="W124" s="167">
        <f t="shared" si="35"/>
        <v>684158.66</v>
      </c>
      <c r="X124" s="1">
        <v>0</v>
      </c>
      <c r="Y124" s="164">
        <f t="shared" si="36"/>
        <v>684158.66</v>
      </c>
    </row>
    <row r="125" spans="1:25" ht="12.75" hidden="1" outlineLevel="1">
      <c r="A125" s="1" t="s">
        <v>3241</v>
      </c>
      <c r="C125" s="1" t="s">
        <v>3242</v>
      </c>
      <c r="D125" s="2" t="s">
        <v>3243</v>
      </c>
      <c r="E125" s="1">
        <v>0</v>
      </c>
      <c r="F125" s="1">
        <v>0</v>
      </c>
      <c r="G125" s="166">
        <f t="shared" si="31"/>
        <v>0</v>
      </c>
      <c r="H125" s="166">
        <v>0</v>
      </c>
      <c r="I125" s="166">
        <v>0</v>
      </c>
      <c r="J125" s="166">
        <v>0</v>
      </c>
      <c r="K125" s="166">
        <v>0</v>
      </c>
      <c r="L125" s="166">
        <f t="shared" si="32"/>
        <v>0</v>
      </c>
      <c r="M125" s="166">
        <v>0</v>
      </c>
      <c r="N125" s="166">
        <v>0</v>
      </c>
      <c r="O125" s="166">
        <v>0</v>
      </c>
      <c r="P125" s="166">
        <f t="shared" si="33"/>
        <v>0</v>
      </c>
      <c r="Q125" s="166">
        <v>0</v>
      </c>
      <c r="R125" s="166">
        <v>0</v>
      </c>
      <c r="S125" s="166">
        <v>-128206.58</v>
      </c>
      <c r="T125" s="166">
        <v>0</v>
      </c>
      <c r="U125" s="166">
        <f t="shared" si="34"/>
        <v>-128206.58</v>
      </c>
      <c r="V125" s="166">
        <v>0</v>
      </c>
      <c r="W125" s="167">
        <f t="shared" si="35"/>
        <v>-128206.58</v>
      </c>
      <c r="X125" s="1">
        <v>0</v>
      </c>
      <c r="Y125" s="164">
        <f t="shared" si="36"/>
        <v>-128206.58</v>
      </c>
    </row>
    <row r="126" spans="1:25" ht="12.75" hidden="1" outlineLevel="1">
      <c r="A126" s="1" t="s">
        <v>3358</v>
      </c>
      <c r="C126" s="1" t="s">
        <v>3359</v>
      </c>
      <c r="D126" s="2" t="s">
        <v>3360</v>
      </c>
      <c r="E126" s="1">
        <v>0</v>
      </c>
      <c r="F126" s="1">
        <v>0</v>
      </c>
      <c r="G126" s="166">
        <f t="shared" si="31"/>
        <v>0</v>
      </c>
      <c r="H126" s="166">
        <v>0</v>
      </c>
      <c r="I126" s="166">
        <v>0</v>
      </c>
      <c r="J126" s="166">
        <v>0</v>
      </c>
      <c r="K126" s="166">
        <v>0</v>
      </c>
      <c r="L126" s="166">
        <f t="shared" si="32"/>
        <v>0</v>
      </c>
      <c r="M126" s="166">
        <v>0</v>
      </c>
      <c r="N126" s="166">
        <v>0</v>
      </c>
      <c r="O126" s="166">
        <v>0</v>
      </c>
      <c r="P126" s="166">
        <f t="shared" si="33"/>
        <v>0</v>
      </c>
      <c r="Q126" s="166">
        <v>0</v>
      </c>
      <c r="R126" s="166">
        <v>1372281.42</v>
      </c>
      <c r="S126" s="166">
        <v>-212438.19</v>
      </c>
      <c r="T126" s="166">
        <v>43035383.49</v>
      </c>
      <c r="U126" s="166">
        <f t="shared" si="34"/>
        <v>44195226.72</v>
      </c>
      <c r="V126" s="166">
        <v>0</v>
      </c>
      <c r="W126" s="167">
        <f t="shared" si="35"/>
        <v>44195226.72</v>
      </c>
      <c r="X126" s="1">
        <v>0</v>
      </c>
      <c r="Y126" s="164">
        <f t="shared" si="36"/>
        <v>44195226.72</v>
      </c>
    </row>
    <row r="127" spans="1:25" ht="12.75" customHeight="1" collapsed="1">
      <c r="A127" s="160" t="s">
        <v>3361</v>
      </c>
      <c r="B127" s="30"/>
      <c r="C127" s="160" t="s">
        <v>759</v>
      </c>
      <c r="D127" s="31"/>
      <c r="E127" s="32">
        <v>0</v>
      </c>
      <c r="F127" s="32">
        <v>0</v>
      </c>
      <c r="G127" s="36">
        <f t="shared" si="31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f t="shared" si="32"/>
        <v>0</v>
      </c>
      <c r="M127" s="36">
        <v>0</v>
      </c>
      <c r="N127" s="36">
        <v>0</v>
      </c>
      <c r="O127" s="36">
        <v>0</v>
      </c>
      <c r="P127" s="36">
        <f t="shared" si="33"/>
        <v>0</v>
      </c>
      <c r="Q127" s="36">
        <v>0</v>
      </c>
      <c r="R127" s="36">
        <v>1372281.42</v>
      </c>
      <c r="S127" s="36">
        <v>343513.89</v>
      </c>
      <c r="T127" s="36">
        <v>43035383.49</v>
      </c>
      <c r="U127" s="36">
        <f t="shared" si="34"/>
        <v>44751178.800000004</v>
      </c>
      <c r="V127" s="36">
        <v>0</v>
      </c>
      <c r="W127" s="165">
        <f t="shared" si="35"/>
        <v>44751178.800000004</v>
      </c>
      <c r="X127" s="32">
        <v>0</v>
      </c>
      <c r="Y127" s="163">
        <f t="shared" si="36"/>
        <v>44751178.800000004</v>
      </c>
    </row>
    <row r="128" spans="1:25" ht="12.75" customHeight="1">
      <c r="A128" s="2"/>
      <c r="B128" s="30"/>
      <c r="C128" s="160"/>
      <c r="D128" s="31"/>
      <c r="E128" s="32"/>
      <c r="F128" s="32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165"/>
      <c r="X128" s="32"/>
      <c r="Y128" s="153"/>
    </row>
    <row r="129" spans="1:25" s="169" customFormat="1" ht="12.75" customHeight="1">
      <c r="A129" s="29"/>
      <c r="B129" s="23" t="s">
        <v>2963</v>
      </c>
      <c r="C129" s="159"/>
      <c r="D129" s="24"/>
      <c r="E129" s="27">
        <f aca="true" t="shared" si="37" ref="E129:Y129">E122+E123+E127</f>
        <v>0</v>
      </c>
      <c r="F129" s="27">
        <f t="shared" si="37"/>
        <v>0</v>
      </c>
      <c r="G129" s="39">
        <f t="shared" si="37"/>
        <v>0</v>
      </c>
      <c r="H129" s="39">
        <f t="shared" si="37"/>
        <v>0</v>
      </c>
      <c r="I129" s="39">
        <f t="shared" si="37"/>
        <v>0</v>
      </c>
      <c r="J129" s="39">
        <f t="shared" si="37"/>
        <v>0</v>
      </c>
      <c r="K129" s="39">
        <f t="shared" si="37"/>
        <v>0</v>
      </c>
      <c r="L129" s="39">
        <f t="shared" si="37"/>
        <v>0</v>
      </c>
      <c r="M129" s="39">
        <f t="shared" si="37"/>
        <v>0</v>
      </c>
      <c r="N129" s="39">
        <f t="shared" si="37"/>
        <v>0</v>
      </c>
      <c r="O129" s="39">
        <f t="shared" si="37"/>
        <v>0</v>
      </c>
      <c r="P129" s="39">
        <f t="shared" si="37"/>
        <v>0</v>
      </c>
      <c r="Q129" s="39">
        <f t="shared" si="37"/>
        <v>0</v>
      </c>
      <c r="R129" s="39">
        <f t="shared" si="37"/>
        <v>1372281.42</v>
      </c>
      <c r="S129" s="39">
        <f t="shared" si="37"/>
        <v>343513.89</v>
      </c>
      <c r="T129" s="39">
        <f t="shared" si="37"/>
        <v>43035383.49</v>
      </c>
      <c r="U129" s="39">
        <f t="shared" si="37"/>
        <v>44751178.800000004</v>
      </c>
      <c r="V129" s="39">
        <f t="shared" si="37"/>
        <v>0</v>
      </c>
      <c r="W129" s="168">
        <f t="shared" si="37"/>
        <v>44751178.800000004</v>
      </c>
      <c r="X129" s="27">
        <f t="shared" si="37"/>
        <v>0</v>
      </c>
      <c r="Y129" s="27">
        <f t="shared" si="37"/>
        <v>44751178.800000004</v>
      </c>
    </row>
    <row r="130" spans="1:25" ht="12.75" customHeight="1">
      <c r="A130" s="2"/>
      <c r="B130" s="30"/>
      <c r="C130" s="160"/>
      <c r="D130" s="31"/>
      <c r="E130" s="32"/>
      <c r="F130" s="32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165"/>
      <c r="X130" s="32"/>
      <c r="Y130" s="32"/>
    </row>
    <row r="131" spans="1:25" s="169" customFormat="1" ht="12.75" customHeight="1">
      <c r="A131" s="29"/>
      <c r="B131" s="23" t="s">
        <v>872</v>
      </c>
      <c r="C131" s="159"/>
      <c r="D131" s="24"/>
      <c r="E131" s="27">
        <f aca="true" t="shared" si="38" ref="E131:Y131">E119+E129</f>
        <v>19754401.85</v>
      </c>
      <c r="F131" s="27">
        <f t="shared" si="38"/>
        <v>440089.1</v>
      </c>
      <c r="G131" s="39">
        <f t="shared" si="38"/>
        <v>20194490.95</v>
      </c>
      <c r="H131" s="39">
        <f t="shared" si="38"/>
        <v>1090281.63</v>
      </c>
      <c r="I131" s="39">
        <f t="shared" si="38"/>
        <v>0</v>
      </c>
      <c r="J131" s="39">
        <f t="shared" si="38"/>
        <v>0</v>
      </c>
      <c r="K131" s="39">
        <f t="shared" si="38"/>
        <v>1812.08</v>
      </c>
      <c r="L131" s="39">
        <f t="shared" si="38"/>
        <v>1812.08</v>
      </c>
      <c r="M131" s="39">
        <f t="shared" si="38"/>
        <v>0</v>
      </c>
      <c r="N131" s="39">
        <f t="shared" si="38"/>
        <v>7148424.87</v>
      </c>
      <c r="O131" s="39">
        <f t="shared" si="38"/>
        <v>0</v>
      </c>
      <c r="P131" s="39">
        <f t="shared" si="38"/>
        <v>7148424.87</v>
      </c>
      <c r="Q131" s="39">
        <f t="shared" si="38"/>
        <v>112033.89</v>
      </c>
      <c r="R131" s="39">
        <f t="shared" si="38"/>
        <v>1382530.42</v>
      </c>
      <c r="S131" s="39">
        <f t="shared" si="38"/>
        <v>343513.89</v>
      </c>
      <c r="T131" s="39">
        <f t="shared" si="38"/>
        <v>43954777.81</v>
      </c>
      <c r="U131" s="39">
        <f t="shared" si="38"/>
        <v>45792856.010000005</v>
      </c>
      <c r="V131" s="39">
        <f t="shared" si="38"/>
        <v>18118015.679999996</v>
      </c>
      <c r="W131" s="168">
        <f t="shared" si="38"/>
        <v>92345881.22</v>
      </c>
      <c r="X131" s="27">
        <f t="shared" si="38"/>
        <v>0</v>
      </c>
      <c r="Y131" s="27">
        <f t="shared" si="38"/>
        <v>92345881.22</v>
      </c>
    </row>
    <row r="132" spans="1:25" ht="12.75" customHeight="1">
      <c r="A132" s="2"/>
      <c r="B132" s="30"/>
      <c r="C132" s="160"/>
      <c r="D132" s="31"/>
      <c r="E132" s="32"/>
      <c r="F132" s="32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165"/>
      <c r="X132" s="32"/>
      <c r="Y132" s="153"/>
    </row>
    <row r="133" spans="1:25" ht="12.75" customHeight="1">
      <c r="A133" s="2"/>
      <c r="B133" s="23" t="s">
        <v>761</v>
      </c>
      <c r="C133" s="159"/>
      <c r="D133" s="24"/>
      <c r="E133" s="32"/>
      <c r="F133" s="3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165"/>
      <c r="X133" s="32"/>
      <c r="Y133" s="153"/>
    </row>
    <row r="134" spans="1:25" ht="12.75" customHeight="1">
      <c r="A134" s="160"/>
      <c r="B134" s="30" t="s">
        <v>873</v>
      </c>
      <c r="C134" s="160"/>
      <c r="D134" s="31"/>
      <c r="E134" s="32">
        <v>0</v>
      </c>
      <c r="F134" s="32">
        <v>0</v>
      </c>
      <c r="G134" s="36">
        <f>E134+F134</f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f>I134+J134+K134</f>
        <v>0</v>
      </c>
      <c r="M134" s="36">
        <v>0</v>
      </c>
      <c r="N134" s="36">
        <v>0</v>
      </c>
      <c r="O134" s="36">
        <v>0</v>
      </c>
      <c r="P134" s="36">
        <f>M134+N134+O134</f>
        <v>0</v>
      </c>
      <c r="Q134" s="36">
        <v>0</v>
      </c>
      <c r="R134" s="36">
        <v>0</v>
      </c>
      <c r="S134" s="36">
        <v>0</v>
      </c>
      <c r="T134" s="36">
        <f>T85-T131</f>
        <v>144928794.46</v>
      </c>
      <c r="U134" s="36">
        <f>Q134+R134+S134+T134</f>
        <v>144928794.46</v>
      </c>
      <c r="V134" s="36">
        <v>0</v>
      </c>
      <c r="W134" s="165">
        <f>G134+H134+L134+P134+U134+V134</f>
        <v>144928794.46</v>
      </c>
      <c r="X134" s="32">
        <v>0</v>
      </c>
      <c r="Y134" s="163">
        <f>W134+X134</f>
        <v>144928794.46</v>
      </c>
    </row>
    <row r="135" spans="1:25" ht="12.75" customHeight="1" hidden="1">
      <c r="A135" s="160"/>
      <c r="B135" s="30" t="s">
        <v>874</v>
      </c>
      <c r="C135" s="160"/>
      <c r="D135" s="31"/>
      <c r="E135" s="32">
        <v>0</v>
      </c>
      <c r="F135" s="32">
        <v>0</v>
      </c>
      <c r="G135" s="36">
        <f>E135+F135</f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f>I135+J135+K135</f>
        <v>0</v>
      </c>
      <c r="M135" s="36">
        <v>0</v>
      </c>
      <c r="N135" s="36">
        <v>0</v>
      </c>
      <c r="O135" s="36"/>
      <c r="P135" s="36">
        <f>M135+N135+O135</f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f>Q135+R135+S135+T135</f>
        <v>0</v>
      </c>
      <c r="V135" s="36">
        <v>0</v>
      </c>
      <c r="W135" s="165">
        <f>G135+H135+L135+P135+U135+V135</f>
        <v>0</v>
      </c>
      <c r="X135" s="163">
        <f>X85-X131</f>
        <v>0</v>
      </c>
      <c r="Y135" s="163">
        <f>W135+X135</f>
        <v>0</v>
      </c>
    </row>
    <row r="136" spans="1:25" ht="12.75" customHeight="1">
      <c r="A136" s="160"/>
      <c r="B136" s="30" t="s">
        <v>875</v>
      </c>
      <c r="C136" s="160"/>
      <c r="D136" s="31"/>
      <c r="E136" s="32"/>
      <c r="F136" s="32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65"/>
      <c r="X136" s="32"/>
      <c r="Y136" s="153"/>
    </row>
    <row r="137" spans="1:25" ht="12.75" customHeight="1">
      <c r="A137" s="160"/>
      <c r="B137" s="30"/>
      <c r="C137" s="160" t="s">
        <v>876</v>
      </c>
      <c r="D137" s="31"/>
      <c r="E137" s="32">
        <v>0</v>
      </c>
      <c r="F137" s="32">
        <v>0</v>
      </c>
      <c r="G137" s="36">
        <f>E137+F137</f>
        <v>0</v>
      </c>
      <c r="H137" s="36">
        <v>0</v>
      </c>
      <c r="I137" s="36">
        <v>0</v>
      </c>
      <c r="J137" s="36">
        <f>J85-J131</f>
        <v>0</v>
      </c>
      <c r="K137" s="36">
        <v>0</v>
      </c>
      <c r="L137" s="36">
        <f>I137+J137+K137</f>
        <v>0</v>
      </c>
      <c r="M137" s="36">
        <v>0</v>
      </c>
      <c r="N137" s="36">
        <f>N85-N131</f>
        <v>61870294.77</v>
      </c>
      <c r="O137" s="36">
        <v>0</v>
      </c>
      <c r="P137" s="36">
        <f>M137+N137+O137</f>
        <v>61870294.77</v>
      </c>
      <c r="Q137" s="36">
        <v>0</v>
      </c>
      <c r="R137" s="36">
        <v>0</v>
      </c>
      <c r="S137" s="36">
        <v>0</v>
      </c>
      <c r="T137" s="36">
        <v>0</v>
      </c>
      <c r="U137" s="36">
        <f>Q137+R137+S137+T137</f>
        <v>0</v>
      </c>
      <c r="V137" s="36">
        <v>0</v>
      </c>
      <c r="W137" s="165">
        <f>G137+H137+L137+P137+U137+V137</f>
        <v>61870294.77</v>
      </c>
      <c r="X137" s="32">
        <v>0</v>
      </c>
      <c r="Y137" s="163">
        <f>W137+X137</f>
        <v>61870294.77</v>
      </c>
    </row>
    <row r="138" spans="1:25" ht="12.75" customHeight="1">
      <c r="A138" s="160"/>
      <c r="B138" s="30"/>
      <c r="C138" s="160" t="s">
        <v>877</v>
      </c>
      <c r="D138" s="31"/>
      <c r="E138" s="32">
        <v>0</v>
      </c>
      <c r="F138" s="32">
        <v>0</v>
      </c>
      <c r="G138" s="36">
        <f>E138+F138</f>
        <v>0</v>
      </c>
      <c r="H138" s="36">
        <f>H85-H131</f>
        <v>28259562.25</v>
      </c>
      <c r="I138" s="36">
        <v>0</v>
      </c>
      <c r="J138" s="36">
        <v>0</v>
      </c>
      <c r="K138" s="36">
        <f>K85-K131</f>
        <v>21595130.890000004</v>
      </c>
      <c r="L138" s="36">
        <f>I138+J138+K138</f>
        <v>21595130.890000004</v>
      </c>
      <c r="M138" s="36">
        <v>0</v>
      </c>
      <c r="N138" s="36">
        <v>0</v>
      </c>
      <c r="O138" s="36">
        <f>O85-O131</f>
        <v>21689678.14</v>
      </c>
      <c r="P138" s="36">
        <f>M138+N138+O138</f>
        <v>21689678.14</v>
      </c>
      <c r="Q138" s="36">
        <v>0</v>
      </c>
      <c r="R138" s="36">
        <f>R85-R131</f>
        <v>2846886.75</v>
      </c>
      <c r="S138" s="36">
        <f>S85-S131</f>
        <v>78012.41999999998</v>
      </c>
      <c r="T138" s="36">
        <v>0</v>
      </c>
      <c r="U138" s="36">
        <f>Q138+R138+S138+T138</f>
        <v>2924899.17</v>
      </c>
      <c r="V138" s="36">
        <v>0</v>
      </c>
      <c r="W138" s="165">
        <f>G138+H138+L138+P138+U138+V138</f>
        <v>74469270.45</v>
      </c>
      <c r="X138" s="32">
        <v>0</v>
      </c>
      <c r="Y138" s="163">
        <f>W138+X138</f>
        <v>74469270.45</v>
      </c>
    </row>
    <row r="139" spans="1:25" ht="12.75" customHeight="1">
      <c r="A139" s="160"/>
      <c r="B139" s="30" t="s">
        <v>878</v>
      </c>
      <c r="C139" s="160"/>
      <c r="D139" s="31"/>
      <c r="E139" s="32">
        <f>E85-E131</f>
        <v>24054966.32</v>
      </c>
      <c r="F139" s="32">
        <f>F85-F131</f>
        <v>138639.7200000001</v>
      </c>
      <c r="G139" s="36">
        <f>E139+F139</f>
        <v>24193606.04</v>
      </c>
      <c r="H139" s="36">
        <v>0</v>
      </c>
      <c r="I139" s="36">
        <f>I85-I131</f>
        <v>484367.05999999994</v>
      </c>
      <c r="J139" s="36">
        <v>0</v>
      </c>
      <c r="K139" s="36">
        <v>0</v>
      </c>
      <c r="L139" s="36">
        <f>I139+J139+K139</f>
        <v>484367.05999999994</v>
      </c>
      <c r="M139" s="36">
        <f>M85-M131</f>
        <v>0</v>
      </c>
      <c r="N139" s="36">
        <v>0</v>
      </c>
      <c r="O139" s="36">
        <v>0</v>
      </c>
      <c r="P139" s="36">
        <f>M139+N139+O139</f>
        <v>0</v>
      </c>
      <c r="Q139" s="36">
        <f>Q85-Q131</f>
        <v>3366250.0999999996</v>
      </c>
      <c r="R139" s="36">
        <v>0</v>
      </c>
      <c r="S139" s="36">
        <v>0</v>
      </c>
      <c r="T139" s="36">
        <v>0</v>
      </c>
      <c r="U139" s="36">
        <f>Q139+R139+S139+T139</f>
        <v>3366250.0999999996</v>
      </c>
      <c r="V139" s="36">
        <f>V85-V131</f>
        <v>0</v>
      </c>
      <c r="W139" s="165">
        <f>G139+H139+L139+P139+U139+V139</f>
        <v>28044223.199999996</v>
      </c>
      <c r="X139" s="32">
        <v>0</v>
      </c>
      <c r="Y139" s="163">
        <f>W139+X139</f>
        <v>28044223.199999996</v>
      </c>
    </row>
    <row r="140" spans="1:25" ht="12.75" customHeight="1">
      <c r="A140" s="29"/>
      <c r="B140" s="23"/>
      <c r="C140" s="159"/>
      <c r="D140" s="24"/>
      <c r="E140" s="27"/>
      <c r="F140" s="27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168"/>
      <c r="X140" s="27"/>
      <c r="Y140" s="153"/>
    </row>
    <row r="141" spans="1:25" s="169" customFormat="1" ht="12.75" customHeight="1">
      <c r="A141" s="29"/>
      <c r="B141" s="23" t="s">
        <v>879</v>
      </c>
      <c r="C141" s="159"/>
      <c r="D141" s="24"/>
      <c r="E141" s="27">
        <f aca="true" t="shared" si="39" ref="E141:Y141">+E134+E135+E137+E138+E139</f>
        <v>24054966.32</v>
      </c>
      <c r="F141" s="27">
        <f t="shared" si="39"/>
        <v>138639.7200000001</v>
      </c>
      <c r="G141" s="39">
        <f t="shared" si="39"/>
        <v>24193606.04</v>
      </c>
      <c r="H141" s="39">
        <f t="shared" si="39"/>
        <v>28259562.25</v>
      </c>
      <c r="I141" s="39">
        <f t="shared" si="39"/>
        <v>484367.05999999994</v>
      </c>
      <c r="J141" s="39">
        <f t="shared" si="39"/>
        <v>0</v>
      </c>
      <c r="K141" s="39">
        <f t="shared" si="39"/>
        <v>21595130.890000004</v>
      </c>
      <c r="L141" s="39">
        <f t="shared" si="39"/>
        <v>22079497.950000003</v>
      </c>
      <c r="M141" s="39">
        <f t="shared" si="39"/>
        <v>0</v>
      </c>
      <c r="N141" s="39">
        <f t="shared" si="39"/>
        <v>61870294.77</v>
      </c>
      <c r="O141" s="39">
        <f t="shared" si="39"/>
        <v>21689678.14</v>
      </c>
      <c r="P141" s="39">
        <f t="shared" si="39"/>
        <v>83559972.91</v>
      </c>
      <c r="Q141" s="39">
        <f t="shared" si="39"/>
        <v>3366250.0999999996</v>
      </c>
      <c r="R141" s="39">
        <f t="shared" si="39"/>
        <v>2846886.75</v>
      </c>
      <c r="S141" s="39">
        <f t="shared" si="39"/>
        <v>78012.41999999998</v>
      </c>
      <c r="T141" s="39">
        <f t="shared" si="39"/>
        <v>144928794.46</v>
      </c>
      <c r="U141" s="39">
        <f t="shared" si="39"/>
        <v>151219943.73</v>
      </c>
      <c r="V141" s="39">
        <f t="shared" si="39"/>
        <v>0</v>
      </c>
      <c r="W141" s="168">
        <f t="shared" si="39"/>
        <v>309312582.88</v>
      </c>
      <c r="X141" s="27">
        <f t="shared" si="39"/>
        <v>0</v>
      </c>
      <c r="Y141" s="27">
        <f t="shared" si="39"/>
        <v>309312582.88</v>
      </c>
    </row>
    <row r="142" spans="1:25" ht="12.75" customHeight="1">
      <c r="A142" s="2"/>
      <c r="B142" s="30"/>
      <c r="C142" s="160"/>
      <c r="D142" s="31"/>
      <c r="E142" s="32"/>
      <c r="F142" s="32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165"/>
      <c r="X142" s="32"/>
      <c r="Y142" s="32"/>
    </row>
    <row r="143" spans="1:25" s="169" customFormat="1" ht="12.75" customHeight="1">
      <c r="A143" s="29"/>
      <c r="B143" s="23" t="s">
        <v>765</v>
      </c>
      <c r="C143" s="159"/>
      <c r="D143" s="24"/>
      <c r="E143" s="27">
        <f aca="true" t="shared" si="40" ref="E143:Y143">+E131+E141</f>
        <v>43809368.17</v>
      </c>
      <c r="F143" s="27">
        <f t="shared" si="40"/>
        <v>578728.8200000001</v>
      </c>
      <c r="G143" s="41">
        <f t="shared" si="40"/>
        <v>44388096.989999995</v>
      </c>
      <c r="H143" s="41">
        <f t="shared" si="40"/>
        <v>29349843.88</v>
      </c>
      <c r="I143" s="41">
        <f t="shared" si="40"/>
        <v>484367.05999999994</v>
      </c>
      <c r="J143" s="41">
        <f t="shared" si="40"/>
        <v>0</v>
      </c>
      <c r="K143" s="41">
        <f t="shared" si="40"/>
        <v>21596942.970000003</v>
      </c>
      <c r="L143" s="41">
        <f t="shared" si="40"/>
        <v>22081310.03</v>
      </c>
      <c r="M143" s="41">
        <f t="shared" si="40"/>
        <v>0</v>
      </c>
      <c r="N143" s="41">
        <f t="shared" si="40"/>
        <v>69018719.64</v>
      </c>
      <c r="O143" s="41">
        <f t="shared" si="40"/>
        <v>21689678.14</v>
      </c>
      <c r="P143" s="41">
        <f t="shared" si="40"/>
        <v>90708397.78</v>
      </c>
      <c r="Q143" s="41">
        <f t="shared" si="40"/>
        <v>3478283.9899999998</v>
      </c>
      <c r="R143" s="41">
        <f t="shared" si="40"/>
        <v>4229417.17</v>
      </c>
      <c r="S143" s="41">
        <f t="shared" si="40"/>
        <v>421526.31</v>
      </c>
      <c r="T143" s="41">
        <f t="shared" si="40"/>
        <v>188883572.27</v>
      </c>
      <c r="U143" s="41">
        <f t="shared" si="40"/>
        <v>197012799.74</v>
      </c>
      <c r="V143" s="41">
        <f t="shared" si="40"/>
        <v>18118015.679999996</v>
      </c>
      <c r="W143" s="170">
        <f t="shared" si="40"/>
        <v>401658464.1</v>
      </c>
      <c r="X143" s="27">
        <f t="shared" si="40"/>
        <v>0</v>
      </c>
      <c r="Y143" s="27">
        <f t="shared" si="40"/>
        <v>401658464.1</v>
      </c>
    </row>
  </sheetData>
  <printOptions horizontalCentered="1"/>
  <pageMargins left="0.5" right="0.5" top="0.75" bottom="0.5" header="0.5" footer="0.5"/>
  <pageSetup horizontalDpi="600" verticalDpi="600" orientation="landscape" scale="70" r:id="rId1"/>
  <rowBreaks count="1" manualBreakCount="1"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780"/>
  <sheetViews>
    <sheetView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10" sqref="B10"/>
    </sheetView>
  </sheetViews>
  <sheetFormatPr defaultColWidth="9.140625" defaultRowHeight="12.75" outlineLevelRow="1" outlineLevelCol="1"/>
  <cols>
    <col min="1" max="1" width="1.28515625" style="171" hidden="1" customWidth="1"/>
    <col min="2" max="2" width="3.421875" style="172" customWidth="1"/>
    <col min="3" max="3" width="49.57421875" style="172" customWidth="1"/>
    <col min="4" max="4" width="8.421875" style="172" customWidth="1"/>
    <col min="5" max="6" width="19.57421875" style="171" hidden="1" customWidth="1" outlineLevel="1"/>
    <col min="7" max="7" width="17.8515625" style="172" customWidth="1" collapsed="1"/>
    <col min="8" max="8" width="17.8515625" style="171" customWidth="1"/>
    <col min="9" max="11" width="19.57421875" style="171" hidden="1" customWidth="1" outlineLevel="1"/>
    <col min="12" max="12" width="17.8515625" style="171" customWidth="1" collapsed="1"/>
    <col min="13" max="15" width="19.57421875" style="171" hidden="1" customWidth="1" outlineLevel="1"/>
    <col min="16" max="16" width="17.8515625" style="171" customWidth="1" collapsed="1"/>
    <col min="17" max="20" width="19.57421875" style="171" hidden="1" customWidth="1" outlineLevel="1"/>
    <col min="21" max="21" width="17.8515625" style="172" customWidth="1" collapsed="1"/>
    <col min="22" max="22" width="17.8515625" style="172" customWidth="1"/>
    <col min="23" max="24" width="17.7109375" style="171" hidden="1" customWidth="1"/>
    <col min="25" max="25" width="16.57421875" style="172" hidden="1" customWidth="1"/>
    <col min="26" max="26" width="17.57421875" style="171" hidden="1" customWidth="1"/>
    <col min="27" max="27" width="0" style="171" hidden="1" customWidth="1"/>
    <col min="28" max="16384" width="8.00390625" style="589" customWidth="1"/>
  </cols>
  <sheetData>
    <row r="1" spans="1:26" ht="9" customHeight="1" hidden="1">
      <c r="A1" s="171" t="s">
        <v>3362</v>
      </c>
      <c r="B1" s="172" t="s">
        <v>726</v>
      </c>
      <c r="C1" s="172" t="s">
        <v>727</v>
      </c>
      <c r="D1" s="172" t="s">
        <v>3110</v>
      </c>
      <c r="E1" s="171" t="s">
        <v>3112</v>
      </c>
      <c r="F1" s="171" t="s">
        <v>3111</v>
      </c>
      <c r="G1" s="172" t="s">
        <v>728</v>
      </c>
      <c r="H1" s="171" t="s">
        <v>3113</v>
      </c>
      <c r="I1" s="171" t="s">
        <v>3114</v>
      </c>
      <c r="J1" s="171" t="s">
        <v>3115</v>
      </c>
      <c r="K1" s="171" t="s">
        <v>2974</v>
      </c>
      <c r="L1" s="171" t="s">
        <v>728</v>
      </c>
      <c r="M1" s="171" t="s">
        <v>3116</v>
      </c>
      <c r="N1" s="171" t="s">
        <v>3117</v>
      </c>
      <c r="O1" s="171" t="s">
        <v>2975</v>
      </c>
      <c r="P1" s="171" t="s">
        <v>728</v>
      </c>
      <c r="Q1" s="172" t="s">
        <v>3363</v>
      </c>
      <c r="R1" s="172" t="s">
        <v>3119</v>
      </c>
      <c r="S1" s="172" t="s">
        <v>3120</v>
      </c>
      <c r="T1" s="172" t="s">
        <v>3364</v>
      </c>
      <c r="U1" s="172" t="s">
        <v>728</v>
      </c>
      <c r="V1" s="172" t="s">
        <v>728</v>
      </c>
      <c r="W1" s="171" t="s">
        <v>3123</v>
      </c>
      <c r="X1" s="171" t="s">
        <v>728</v>
      </c>
      <c r="Y1" s="172" t="s">
        <v>3122</v>
      </c>
      <c r="Z1" s="171" t="s">
        <v>728</v>
      </c>
    </row>
    <row r="2" spans="1:44" s="590" customFormat="1" ht="15.75" customHeight="1">
      <c r="A2" s="173"/>
      <c r="B2" s="5" t="str">
        <f>"University of Missouri - "&amp;RBN</f>
        <v>University of Missouri - Kansas City</v>
      </c>
      <c r="C2" s="174"/>
      <c r="D2" s="174"/>
      <c r="E2" s="175"/>
      <c r="F2" s="175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6"/>
      <c r="W2" s="174"/>
      <c r="X2" s="174"/>
      <c r="Y2" s="174"/>
      <c r="Z2" s="176"/>
      <c r="AA2" s="173"/>
      <c r="AB2" s="606"/>
      <c r="AC2" s="606"/>
      <c r="AD2" s="606"/>
      <c r="AE2" s="606" t="s">
        <v>3125</v>
      </c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</row>
    <row r="3" spans="1:44" s="592" customFormat="1" ht="15.75" customHeight="1">
      <c r="A3" s="177"/>
      <c r="B3" s="591" t="s">
        <v>3365</v>
      </c>
      <c r="C3" s="48"/>
      <c r="D3" s="48"/>
      <c r="E3" s="179"/>
      <c r="F3" s="17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80"/>
      <c r="W3" s="48"/>
      <c r="X3" s="48"/>
      <c r="Y3" s="48"/>
      <c r="Z3" s="180"/>
      <c r="AA3" s="17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</row>
    <row r="4" spans="1:44" s="592" customFormat="1" ht="15.75" customHeight="1">
      <c r="A4" s="177"/>
      <c r="B4" s="84" t="str">
        <f>"For the Year Ending "&amp;TEXT(AA4,"MMMM DD, YYY")</f>
        <v>For the Year Ending June 30, 2004</v>
      </c>
      <c r="C4" s="48"/>
      <c r="D4" s="48"/>
      <c r="E4" s="179"/>
      <c r="F4" s="17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80"/>
      <c r="W4" s="48"/>
      <c r="X4" s="48"/>
      <c r="Y4" s="48"/>
      <c r="Z4" s="180"/>
      <c r="AA4" s="177" t="s">
        <v>2976</v>
      </c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</row>
    <row r="5" spans="1:44" s="592" customFormat="1" ht="12.75" customHeight="1">
      <c r="A5" s="177"/>
      <c r="B5" s="55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81"/>
      <c r="W5" s="48"/>
      <c r="X5" s="48"/>
      <c r="Y5" s="48"/>
      <c r="Z5" s="48"/>
      <c r="AA5" s="177"/>
      <c r="AB5" s="607"/>
      <c r="AC5" s="607"/>
      <c r="AD5" s="607"/>
      <c r="AE5" s="607"/>
      <c r="AF5" s="607"/>
      <c r="AG5" s="607"/>
      <c r="AH5" s="607"/>
      <c r="AI5" s="607"/>
      <c r="AJ5" s="607"/>
      <c r="AK5" s="607"/>
      <c r="AL5" s="607"/>
      <c r="AM5" s="607"/>
      <c r="AN5" s="607"/>
      <c r="AO5" s="607"/>
      <c r="AP5" s="607"/>
      <c r="AQ5" s="607"/>
      <c r="AR5" s="607"/>
    </row>
    <row r="6" spans="2:26" ht="12.75">
      <c r="B6" s="182"/>
      <c r="C6" s="183"/>
      <c r="D6" s="184"/>
      <c r="E6" s="185"/>
      <c r="F6" s="185"/>
      <c r="G6" s="186"/>
      <c r="H6" s="187"/>
      <c r="I6" s="142"/>
      <c r="J6" s="142"/>
      <c r="K6" s="142"/>
      <c r="L6" s="143"/>
      <c r="M6" s="142" t="s">
        <v>764</v>
      </c>
      <c r="N6" s="142" t="s">
        <v>3126</v>
      </c>
      <c r="O6" s="142" t="s">
        <v>2977</v>
      </c>
      <c r="P6" s="143"/>
      <c r="Q6" s="188" t="s">
        <v>3127</v>
      </c>
      <c r="R6" s="188"/>
      <c r="S6" s="188"/>
      <c r="T6" s="188"/>
      <c r="U6" s="189"/>
      <c r="V6" s="189" t="s">
        <v>3366</v>
      </c>
      <c r="W6" s="190"/>
      <c r="X6" s="143"/>
      <c r="Y6" s="189"/>
      <c r="Z6" s="190"/>
    </row>
    <row r="7" spans="2:26" ht="12.75">
      <c r="B7" s="191"/>
      <c r="C7" s="192"/>
      <c r="D7" s="193"/>
      <c r="E7" s="185"/>
      <c r="F7" s="185"/>
      <c r="G7" s="191"/>
      <c r="H7" s="194"/>
      <c r="I7" s="142" t="s">
        <v>764</v>
      </c>
      <c r="J7" s="142" t="s">
        <v>3126</v>
      </c>
      <c r="K7" s="142" t="s">
        <v>2977</v>
      </c>
      <c r="L7" s="150"/>
      <c r="M7" s="142" t="s">
        <v>3129</v>
      </c>
      <c r="N7" s="142" t="s">
        <v>3129</v>
      </c>
      <c r="O7" s="142" t="s">
        <v>3129</v>
      </c>
      <c r="P7" s="150" t="s">
        <v>3129</v>
      </c>
      <c r="Q7" s="142" t="s">
        <v>764</v>
      </c>
      <c r="R7" s="142" t="s">
        <v>3130</v>
      </c>
      <c r="S7" s="188"/>
      <c r="T7" s="188"/>
      <c r="U7" s="150"/>
      <c r="V7" s="150" t="s">
        <v>3139</v>
      </c>
      <c r="W7" s="195"/>
      <c r="X7" s="150" t="s">
        <v>3366</v>
      </c>
      <c r="Y7" s="196"/>
      <c r="Z7" s="195"/>
    </row>
    <row r="8" spans="2:26" ht="12.75">
      <c r="B8" s="197"/>
      <c r="C8" s="60"/>
      <c r="D8" s="198"/>
      <c r="E8" s="188"/>
      <c r="F8" s="188"/>
      <c r="G8" s="196" t="s">
        <v>3132</v>
      </c>
      <c r="H8" s="196"/>
      <c r="I8" s="142" t="s">
        <v>3133</v>
      </c>
      <c r="J8" s="142" t="s">
        <v>3133</v>
      </c>
      <c r="K8" s="142" t="s">
        <v>3133</v>
      </c>
      <c r="L8" s="150" t="s">
        <v>3133</v>
      </c>
      <c r="M8" s="142" t="s">
        <v>3134</v>
      </c>
      <c r="N8" s="142" t="s">
        <v>3134</v>
      </c>
      <c r="O8" s="142" t="s">
        <v>3134</v>
      </c>
      <c r="P8" s="150" t="s">
        <v>3134</v>
      </c>
      <c r="Q8" s="142" t="s">
        <v>3135</v>
      </c>
      <c r="R8" s="142" t="s">
        <v>3135</v>
      </c>
      <c r="S8" s="142" t="s">
        <v>3136</v>
      </c>
      <c r="T8" s="142" t="s">
        <v>3137</v>
      </c>
      <c r="U8" s="150" t="s">
        <v>3367</v>
      </c>
      <c r="V8" s="150" t="s">
        <v>3368</v>
      </c>
      <c r="W8" s="150" t="s">
        <v>3140</v>
      </c>
      <c r="X8" s="150" t="s">
        <v>3139</v>
      </c>
      <c r="Y8" s="150"/>
      <c r="Z8" s="150" t="s">
        <v>3128</v>
      </c>
    </row>
    <row r="9" spans="2:26" ht="12.75">
      <c r="B9" s="199"/>
      <c r="C9" s="200"/>
      <c r="D9" s="201"/>
      <c r="E9" s="142" t="s">
        <v>3142</v>
      </c>
      <c r="F9" s="142" t="s">
        <v>764</v>
      </c>
      <c r="G9" s="142" t="s">
        <v>764</v>
      </c>
      <c r="H9" s="142" t="s">
        <v>3126</v>
      </c>
      <c r="I9" s="142" t="s">
        <v>3131</v>
      </c>
      <c r="J9" s="142" t="s">
        <v>3131</v>
      </c>
      <c r="K9" s="142" t="s">
        <v>3131</v>
      </c>
      <c r="L9" s="158" t="s">
        <v>3131</v>
      </c>
      <c r="M9" s="142" t="s">
        <v>3131</v>
      </c>
      <c r="N9" s="142" t="s">
        <v>3131</v>
      </c>
      <c r="O9" s="142" t="s">
        <v>3131</v>
      </c>
      <c r="P9" s="158" t="s">
        <v>3131</v>
      </c>
      <c r="Q9" s="142" t="s">
        <v>3143</v>
      </c>
      <c r="R9" s="142" t="s">
        <v>3143</v>
      </c>
      <c r="S9" s="142" t="s">
        <v>3140</v>
      </c>
      <c r="T9" s="142" t="s">
        <v>3144</v>
      </c>
      <c r="U9" s="158" t="s">
        <v>3131</v>
      </c>
      <c r="V9" s="158" t="s">
        <v>3140</v>
      </c>
      <c r="W9" s="158" t="s">
        <v>3131</v>
      </c>
      <c r="X9" s="158" t="s">
        <v>3369</v>
      </c>
      <c r="Y9" s="158" t="s">
        <v>3145</v>
      </c>
      <c r="Z9" s="158" t="s">
        <v>3131</v>
      </c>
    </row>
    <row r="10" spans="2:26" ht="12.75">
      <c r="B10" s="202"/>
      <c r="C10" s="203"/>
      <c r="D10" s="204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205"/>
    </row>
    <row r="11" spans="1:27" ht="15">
      <c r="A11" s="206"/>
      <c r="B11" s="61" t="s">
        <v>771</v>
      </c>
      <c r="C11" s="207"/>
      <c r="D11" s="62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206"/>
    </row>
    <row r="12" spans="1:26" ht="12.75" hidden="1" outlineLevel="1">
      <c r="A12" s="171" t="s">
        <v>2682</v>
      </c>
      <c r="C12" s="172" t="s">
        <v>2683</v>
      </c>
      <c r="D12" s="172" t="s">
        <v>2684</v>
      </c>
      <c r="E12" s="171">
        <v>0</v>
      </c>
      <c r="F12" s="171">
        <v>0</v>
      </c>
      <c r="G12" s="172">
        <f aca="true" t="shared" si="0" ref="G12:G26">E12+F12</f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f>I12+J12+K12</f>
        <v>0</v>
      </c>
      <c r="M12" s="171">
        <v>0</v>
      </c>
      <c r="N12" s="171">
        <v>0</v>
      </c>
      <c r="O12" s="171">
        <v>0</v>
      </c>
      <c r="P12" s="171">
        <f aca="true" t="shared" si="1" ref="P12:P26">M12+N12+O12</f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f aca="true" t="shared" si="2" ref="U12:U26">Q12+R12+S12+T12</f>
        <v>0</v>
      </c>
      <c r="V12" s="172">
        <f aca="true" t="shared" si="3" ref="V12:V26">G12+H12+L12+P12+U12</f>
        <v>0</v>
      </c>
      <c r="W12" s="171">
        <v>0</v>
      </c>
      <c r="X12" s="171">
        <f aca="true" t="shared" si="4" ref="X12:X26">V12+W12</f>
        <v>0</v>
      </c>
      <c r="Y12" s="172">
        <v>1250</v>
      </c>
      <c r="Z12" s="171">
        <f aca="true" t="shared" si="5" ref="Z12:Z26">X12+Y12</f>
        <v>1250</v>
      </c>
    </row>
    <row r="13" spans="1:26" ht="12.75" hidden="1" outlineLevel="1">
      <c r="A13" s="171" t="s">
        <v>3373</v>
      </c>
      <c r="C13" s="172" t="s">
        <v>3374</v>
      </c>
      <c r="D13" s="172" t="s">
        <v>3375</v>
      </c>
      <c r="E13" s="171">
        <v>0</v>
      </c>
      <c r="F13" s="171">
        <v>0</v>
      </c>
      <c r="G13" s="172">
        <f t="shared" si="0"/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f>I13+J13+K13</f>
        <v>0</v>
      </c>
      <c r="M13" s="171">
        <v>0</v>
      </c>
      <c r="N13" s="171">
        <v>0</v>
      </c>
      <c r="O13" s="171">
        <v>0</v>
      </c>
      <c r="P13" s="171">
        <f t="shared" si="1"/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f t="shared" si="2"/>
        <v>0</v>
      </c>
      <c r="V13" s="172">
        <f t="shared" si="3"/>
        <v>0</v>
      </c>
      <c r="W13" s="171">
        <v>0</v>
      </c>
      <c r="X13" s="171">
        <f t="shared" si="4"/>
        <v>0</v>
      </c>
      <c r="Y13" s="172">
        <v>25116</v>
      </c>
      <c r="Z13" s="171">
        <f t="shared" si="5"/>
        <v>25116</v>
      </c>
    </row>
    <row r="14" spans="1:27" ht="12" customHeight="1" collapsed="1">
      <c r="A14" s="208" t="s">
        <v>3376</v>
      </c>
      <c r="B14" s="209"/>
      <c r="C14" s="208" t="s">
        <v>880</v>
      </c>
      <c r="D14" s="210"/>
      <c r="E14" s="185">
        <v>0</v>
      </c>
      <c r="F14" s="185">
        <v>103660758.76</v>
      </c>
      <c r="G14" s="211">
        <f t="shared" si="0"/>
        <v>103660758.76</v>
      </c>
      <c r="H14" s="211">
        <v>0</v>
      </c>
      <c r="I14" s="211">
        <v>0</v>
      </c>
      <c r="J14" s="211">
        <v>0</v>
      </c>
      <c r="K14" s="211">
        <v>0</v>
      </c>
      <c r="L14" s="211">
        <f>I14+J14+K14</f>
        <v>0</v>
      </c>
      <c r="M14" s="211">
        <v>0</v>
      </c>
      <c r="N14" s="211">
        <v>0</v>
      </c>
      <c r="O14" s="211">
        <v>0</v>
      </c>
      <c r="P14" s="211">
        <f t="shared" si="1"/>
        <v>0</v>
      </c>
      <c r="Q14" s="211">
        <v>0</v>
      </c>
      <c r="R14" s="211">
        <v>0</v>
      </c>
      <c r="S14" s="211">
        <v>0</v>
      </c>
      <c r="T14" s="211">
        <v>0</v>
      </c>
      <c r="U14" s="211">
        <f t="shared" si="2"/>
        <v>0</v>
      </c>
      <c r="V14" s="211">
        <f t="shared" si="3"/>
        <v>103660758.76</v>
      </c>
      <c r="W14" s="212">
        <v>0</v>
      </c>
      <c r="X14" s="212">
        <f t="shared" si="4"/>
        <v>103660758.76</v>
      </c>
      <c r="Y14" s="212">
        <v>26366</v>
      </c>
      <c r="Z14" s="212">
        <f t="shared" si="5"/>
        <v>103687124.76</v>
      </c>
      <c r="AA14" s="208"/>
    </row>
    <row r="15" spans="1:26" ht="12.75" hidden="1" outlineLevel="1">
      <c r="A15" s="171" t="s">
        <v>3377</v>
      </c>
      <c r="C15" s="172" t="s">
        <v>3378</v>
      </c>
      <c r="D15" s="172" t="s">
        <v>3379</v>
      </c>
      <c r="E15" s="171">
        <v>0</v>
      </c>
      <c r="F15" s="171">
        <v>0</v>
      </c>
      <c r="G15" s="172">
        <f t="shared" si="0"/>
        <v>0</v>
      </c>
      <c r="H15" s="171">
        <v>1082187.18</v>
      </c>
      <c r="I15" s="171">
        <v>0</v>
      </c>
      <c r="J15" s="171">
        <v>0</v>
      </c>
      <c r="K15" s="171">
        <v>0</v>
      </c>
      <c r="L15" s="171">
        <f aca="true" t="shared" si="6" ref="L15:L26">J15+I15+K15</f>
        <v>0</v>
      </c>
      <c r="M15" s="171">
        <v>0</v>
      </c>
      <c r="N15" s="171">
        <v>0</v>
      </c>
      <c r="O15" s="171">
        <v>0</v>
      </c>
      <c r="P15" s="171">
        <f t="shared" si="1"/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f t="shared" si="2"/>
        <v>0</v>
      </c>
      <c r="V15" s="172">
        <f t="shared" si="3"/>
        <v>1082187.18</v>
      </c>
      <c r="W15" s="171">
        <v>0</v>
      </c>
      <c r="X15" s="171">
        <f t="shared" si="4"/>
        <v>1082187.18</v>
      </c>
      <c r="Y15" s="172">
        <v>77374639.25</v>
      </c>
      <c r="Z15" s="171">
        <f t="shared" si="5"/>
        <v>78456826.43</v>
      </c>
    </row>
    <row r="16" spans="1:26" ht="12.75" hidden="1" outlineLevel="1">
      <c r="A16" s="171" t="s">
        <v>3380</v>
      </c>
      <c r="C16" s="172" t="s">
        <v>3381</v>
      </c>
      <c r="D16" s="172" t="s">
        <v>3382</v>
      </c>
      <c r="E16" s="171">
        <v>0</v>
      </c>
      <c r="F16" s="171">
        <v>0</v>
      </c>
      <c r="G16" s="172">
        <f t="shared" si="0"/>
        <v>0</v>
      </c>
      <c r="H16" s="171">
        <v>5374430.65</v>
      </c>
      <c r="I16" s="171">
        <v>0</v>
      </c>
      <c r="J16" s="171">
        <v>0</v>
      </c>
      <c r="K16" s="171">
        <v>0</v>
      </c>
      <c r="L16" s="171">
        <f t="shared" si="6"/>
        <v>0</v>
      </c>
      <c r="M16" s="171">
        <v>0</v>
      </c>
      <c r="N16" s="171">
        <v>0</v>
      </c>
      <c r="O16" s="171">
        <v>0</v>
      </c>
      <c r="P16" s="171">
        <f t="shared" si="1"/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f t="shared" si="2"/>
        <v>0</v>
      </c>
      <c r="V16" s="172">
        <f t="shared" si="3"/>
        <v>5374430.65</v>
      </c>
      <c r="W16" s="171">
        <v>0</v>
      </c>
      <c r="X16" s="171">
        <f t="shared" si="4"/>
        <v>5374430.65</v>
      </c>
      <c r="Y16" s="172">
        <v>1026765</v>
      </c>
      <c r="Z16" s="171">
        <f t="shared" si="5"/>
        <v>6401195.65</v>
      </c>
    </row>
    <row r="17" spans="1:26" ht="12.75" hidden="1" outlineLevel="1">
      <c r="A17" s="171" t="s">
        <v>3383</v>
      </c>
      <c r="C17" s="172" t="s">
        <v>3384</v>
      </c>
      <c r="D17" s="172" t="s">
        <v>3385</v>
      </c>
      <c r="E17" s="171">
        <v>0</v>
      </c>
      <c r="F17" s="171">
        <v>0</v>
      </c>
      <c r="G17" s="172">
        <f t="shared" si="0"/>
        <v>0</v>
      </c>
      <c r="H17" s="171">
        <v>1308263.12</v>
      </c>
      <c r="I17" s="171">
        <v>0</v>
      </c>
      <c r="J17" s="171">
        <v>0</v>
      </c>
      <c r="K17" s="171">
        <v>0</v>
      </c>
      <c r="L17" s="171">
        <f t="shared" si="6"/>
        <v>0</v>
      </c>
      <c r="M17" s="171">
        <v>0</v>
      </c>
      <c r="N17" s="171">
        <v>0</v>
      </c>
      <c r="O17" s="171">
        <v>0</v>
      </c>
      <c r="P17" s="171">
        <f t="shared" si="1"/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f t="shared" si="2"/>
        <v>0</v>
      </c>
      <c r="V17" s="172">
        <f t="shared" si="3"/>
        <v>1308263.12</v>
      </c>
      <c r="W17" s="171">
        <v>0</v>
      </c>
      <c r="X17" s="171">
        <f t="shared" si="4"/>
        <v>1308263.12</v>
      </c>
      <c r="Y17" s="172">
        <v>0</v>
      </c>
      <c r="Z17" s="171">
        <f t="shared" si="5"/>
        <v>1308263.12</v>
      </c>
    </row>
    <row r="18" spans="1:26" ht="12.75" hidden="1" outlineLevel="1">
      <c r="A18" s="171" t="s">
        <v>3386</v>
      </c>
      <c r="C18" s="172" t="s">
        <v>3387</v>
      </c>
      <c r="D18" s="172" t="s">
        <v>3388</v>
      </c>
      <c r="E18" s="171">
        <v>0</v>
      </c>
      <c r="F18" s="171">
        <v>0</v>
      </c>
      <c r="G18" s="172">
        <f t="shared" si="0"/>
        <v>0</v>
      </c>
      <c r="H18" s="171">
        <v>96807.99</v>
      </c>
      <c r="I18" s="171">
        <v>0</v>
      </c>
      <c r="J18" s="171">
        <v>0</v>
      </c>
      <c r="K18" s="171">
        <v>0</v>
      </c>
      <c r="L18" s="171">
        <f t="shared" si="6"/>
        <v>0</v>
      </c>
      <c r="M18" s="171">
        <v>0</v>
      </c>
      <c r="N18" s="171">
        <v>0</v>
      </c>
      <c r="O18" s="171">
        <v>0</v>
      </c>
      <c r="P18" s="171">
        <f t="shared" si="1"/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f t="shared" si="2"/>
        <v>0</v>
      </c>
      <c r="V18" s="172">
        <f t="shared" si="3"/>
        <v>96807.99</v>
      </c>
      <c r="W18" s="171">
        <v>0</v>
      </c>
      <c r="X18" s="171">
        <f t="shared" si="4"/>
        <v>96807.99</v>
      </c>
      <c r="Y18" s="172">
        <v>0</v>
      </c>
      <c r="Z18" s="171">
        <f t="shared" si="5"/>
        <v>96807.99</v>
      </c>
    </row>
    <row r="19" spans="1:26" ht="12.75" hidden="1" outlineLevel="1">
      <c r="A19" s="171" t="s">
        <v>3389</v>
      </c>
      <c r="C19" s="172" t="s">
        <v>3390</v>
      </c>
      <c r="D19" s="172" t="s">
        <v>3391</v>
      </c>
      <c r="E19" s="171">
        <v>0</v>
      </c>
      <c r="F19" s="171">
        <v>0</v>
      </c>
      <c r="G19" s="172">
        <f t="shared" si="0"/>
        <v>0</v>
      </c>
      <c r="H19" s="171">
        <v>215827.66</v>
      </c>
      <c r="I19" s="171">
        <v>0</v>
      </c>
      <c r="J19" s="171">
        <v>0</v>
      </c>
      <c r="K19" s="171">
        <v>0</v>
      </c>
      <c r="L19" s="171">
        <f t="shared" si="6"/>
        <v>0</v>
      </c>
      <c r="M19" s="171">
        <v>0</v>
      </c>
      <c r="N19" s="171">
        <v>0</v>
      </c>
      <c r="O19" s="171">
        <v>0</v>
      </c>
      <c r="P19" s="171">
        <f t="shared" si="1"/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f t="shared" si="2"/>
        <v>0</v>
      </c>
      <c r="V19" s="172">
        <f t="shared" si="3"/>
        <v>215827.66</v>
      </c>
      <c r="W19" s="171">
        <v>0</v>
      </c>
      <c r="X19" s="171">
        <f t="shared" si="4"/>
        <v>215827.66</v>
      </c>
      <c r="Y19" s="172">
        <v>0</v>
      </c>
      <c r="Z19" s="171">
        <f t="shared" si="5"/>
        <v>215827.66</v>
      </c>
    </row>
    <row r="20" spans="1:26" ht="12.75" hidden="1" outlineLevel="1">
      <c r="A20" s="171" t="s">
        <v>3392</v>
      </c>
      <c r="C20" s="172" t="s">
        <v>3393</v>
      </c>
      <c r="D20" s="172" t="s">
        <v>3394</v>
      </c>
      <c r="E20" s="171">
        <v>0</v>
      </c>
      <c r="F20" s="171">
        <v>0</v>
      </c>
      <c r="G20" s="172">
        <f t="shared" si="0"/>
        <v>0</v>
      </c>
      <c r="H20" s="171">
        <v>433667.8</v>
      </c>
      <c r="I20" s="171">
        <v>0</v>
      </c>
      <c r="J20" s="171">
        <v>0</v>
      </c>
      <c r="K20" s="171">
        <v>0</v>
      </c>
      <c r="L20" s="171">
        <f t="shared" si="6"/>
        <v>0</v>
      </c>
      <c r="M20" s="171">
        <v>0</v>
      </c>
      <c r="N20" s="171">
        <v>0</v>
      </c>
      <c r="O20" s="171">
        <v>0</v>
      </c>
      <c r="P20" s="171">
        <f t="shared" si="1"/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f t="shared" si="2"/>
        <v>0</v>
      </c>
      <c r="V20" s="172">
        <f t="shared" si="3"/>
        <v>433667.8</v>
      </c>
      <c r="W20" s="171">
        <v>0</v>
      </c>
      <c r="X20" s="171">
        <f t="shared" si="4"/>
        <v>433667.8</v>
      </c>
      <c r="Y20" s="172">
        <v>169952</v>
      </c>
      <c r="Z20" s="171">
        <f t="shared" si="5"/>
        <v>603619.8</v>
      </c>
    </row>
    <row r="21" spans="1:26" ht="12.75" hidden="1" outlineLevel="1">
      <c r="A21" s="171" t="s">
        <v>3395</v>
      </c>
      <c r="C21" s="172" t="s">
        <v>3396</v>
      </c>
      <c r="D21" s="172" t="s">
        <v>3397</v>
      </c>
      <c r="E21" s="171">
        <v>0</v>
      </c>
      <c r="F21" s="171">
        <v>0</v>
      </c>
      <c r="G21" s="172">
        <f t="shared" si="0"/>
        <v>0</v>
      </c>
      <c r="H21" s="171">
        <v>101779.8</v>
      </c>
      <c r="I21" s="171">
        <v>0</v>
      </c>
      <c r="J21" s="171">
        <v>0</v>
      </c>
      <c r="K21" s="171">
        <v>0</v>
      </c>
      <c r="L21" s="171">
        <f t="shared" si="6"/>
        <v>0</v>
      </c>
      <c r="M21" s="171">
        <v>0</v>
      </c>
      <c r="N21" s="171">
        <v>0</v>
      </c>
      <c r="O21" s="171">
        <v>0</v>
      </c>
      <c r="P21" s="171">
        <f t="shared" si="1"/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f t="shared" si="2"/>
        <v>0</v>
      </c>
      <c r="V21" s="172">
        <f t="shared" si="3"/>
        <v>101779.8</v>
      </c>
      <c r="W21" s="171">
        <v>0</v>
      </c>
      <c r="X21" s="171">
        <f t="shared" si="4"/>
        <v>101779.8</v>
      </c>
      <c r="Y21" s="172">
        <v>813</v>
      </c>
      <c r="Z21" s="171">
        <f t="shared" si="5"/>
        <v>102592.8</v>
      </c>
    </row>
    <row r="22" spans="1:26" ht="12.75" hidden="1" outlineLevel="1">
      <c r="A22" s="171" t="s">
        <v>3398</v>
      </c>
      <c r="C22" s="172" t="s">
        <v>3399</v>
      </c>
      <c r="D22" s="172" t="s">
        <v>3400</v>
      </c>
      <c r="E22" s="171">
        <v>0</v>
      </c>
      <c r="F22" s="171">
        <v>0</v>
      </c>
      <c r="G22" s="172">
        <f t="shared" si="0"/>
        <v>0</v>
      </c>
      <c r="H22" s="171">
        <v>36332.83</v>
      </c>
      <c r="I22" s="171">
        <v>0</v>
      </c>
      <c r="J22" s="171">
        <v>0</v>
      </c>
      <c r="K22" s="171">
        <v>0</v>
      </c>
      <c r="L22" s="171">
        <f t="shared" si="6"/>
        <v>0</v>
      </c>
      <c r="M22" s="171">
        <v>0</v>
      </c>
      <c r="N22" s="171">
        <v>0</v>
      </c>
      <c r="O22" s="171">
        <v>0</v>
      </c>
      <c r="P22" s="171">
        <f t="shared" si="1"/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f t="shared" si="2"/>
        <v>0</v>
      </c>
      <c r="V22" s="172">
        <f t="shared" si="3"/>
        <v>36332.83</v>
      </c>
      <c r="W22" s="171">
        <v>0</v>
      </c>
      <c r="X22" s="171">
        <f t="shared" si="4"/>
        <v>36332.83</v>
      </c>
      <c r="Y22" s="172">
        <v>590759.7</v>
      </c>
      <c r="Z22" s="171">
        <f t="shared" si="5"/>
        <v>627092.5299999999</v>
      </c>
    </row>
    <row r="23" spans="1:26" ht="12.75" hidden="1" outlineLevel="1">
      <c r="A23" s="171" t="s">
        <v>3401</v>
      </c>
      <c r="C23" s="172" t="s">
        <v>3402</v>
      </c>
      <c r="D23" s="172" t="s">
        <v>3403</v>
      </c>
      <c r="E23" s="171">
        <v>0</v>
      </c>
      <c r="F23" s="171">
        <v>0</v>
      </c>
      <c r="G23" s="172">
        <f t="shared" si="0"/>
        <v>0</v>
      </c>
      <c r="H23" s="171">
        <v>15452.1</v>
      </c>
      <c r="I23" s="171">
        <v>0</v>
      </c>
      <c r="J23" s="171">
        <v>0</v>
      </c>
      <c r="K23" s="171">
        <v>0</v>
      </c>
      <c r="L23" s="171">
        <f t="shared" si="6"/>
        <v>0</v>
      </c>
      <c r="M23" s="171">
        <v>0</v>
      </c>
      <c r="N23" s="171">
        <v>0</v>
      </c>
      <c r="O23" s="171">
        <v>0</v>
      </c>
      <c r="P23" s="171">
        <f t="shared" si="1"/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f t="shared" si="2"/>
        <v>0</v>
      </c>
      <c r="V23" s="172">
        <f t="shared" si="3"/>
        <v>15452.1</v>
      </c>
      <c r="W23" s="171">
        <v>0</v>
      </c>
      <c r="X23" s="171">
        <f t="shared" si="4"/>
        <v>15452.1</v>
      </c>
      <c r="Y23" s="172">
        <v>139024.58</v>
      </c>
      <c r="Z23" s="171">
        <f t="shared" si="5"/>
        <v>154476.68</v>
      </c>
    </row>
    <row r="24" spans="1:26" ht="12.75" hidden="1" outlineLevel="1">
      <c r="A24" s="171" t="s">
        <v>3404</v>
      </c>
      <c r="C24" s="172" t="s">
        <v>3405</v>
      </c>
      <c r="D24" s="172" t="s">
        <v>3406</v>
      </c>
      <c r="E24" s="171">
        <v>0</v>
      </c>
      <c r="F24" s="171">
        <v>0</v>
      </c>
      <c r="G24" s="172">
        <f t="shared" si="0"/>
        <v>0</v>
      </c>
      <c r="H24" s="171">
        <v>77041.49</v>
      </c>
      <c r="I24" s="171">
        <v>0</v>
      </c>
      <c r="J24" s="171">
        <v>0</v>
      </c>
      <c r="K24" s="171">
        <v>0</v>
      </c>
      <c r="L24" s="171">
        <f t="shared" si="6"/>
        <v>0</v>
      </c>
      <c r="M24" s="171">
        <v>0</v>
      </c>
      <c r="N24" s="171">
        <v>0</v>
      </c>
      <c r="O24" s="171">
        <v>0</v>
      </c>
      <c r="P24" s="171">
        <f t="shared" si="1"/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f t="shared" si="2"/>
        <v>0</v>
      </c>
      <c r="V24" s="172">
        <f t="shared" si="3"/>
        <v>77041.49</v>
      </c>
      <c r="W24" s="171">
        <v>0</v>
      </c>
      <c r="X24" s="171">
        <f t="shared" si="4"/>
        <v>77041.49</v>
      </c>
      <c r="Y24" s="172">
        <v>262858.2</v>
      </c>
      <c r="Z24" s="171">
        <f t="shared" si="5"/>
        <v>339899.69</v>
      </c>
    </row>
    <row r="25" spans="1:26" ht="12.75" hidden="1" outlineLevel="1">
      <c r="A25" s="171" t="s">
        <v>3407</v>
      </c>
      <c r="C25" s="172" t="s">
        <v>3408</v>
      </c>
      <c r="D25" s="172" t="s">
        <v>3409</v>
      </c>
      <c r="E25" s="171">
        <v>0</v>
      </c>
      <c r="F25" s="171">
        <v>0</v>
      </c>
      <c r="G25" s="172">
        <f t="shared" si="0"/>
        <v>0</v>
      </c>
      <c r="H25" s="171">
        <v>683948.7</v>
      </c>
      <c r="I25" s="171">
        <v>0</v>
      </c>
      <c r="J25" s="171">
        <v>0</v>
      </c>
      <c r="K25" s="171">
        <v>0</v>
      </c>
      <c r="L25" s="171">
        <f t="shared" si="6"/>
        <v>0</v>
      </c>
      <c r="M25" s="171">
        <v>0</v>
      </c>
      <c r="N25" s="171">
        <v>0</v>
      </c>
      <c r="O25" s="171">
        <v>0</v>
      </c>
      <c r="P25" s="171">
        <f t="shared" si="1"/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f t="shared" si="2"/>
        <v>0</v>
      </c>
      <c r="V25" s="172">
        <f t="shared" si="3"/>
        <v>683948.7</v>
      </c>
      <c r="W25" s="171">
        <v>0</v>
      </c>
      <c r="X25" s="171">
        <f t="shared" si="4"/>
        <v>683948.7</v>
      </c>
      <c r="Y25" s="172">
        <v>69136.31</v>
      </c>
      <c r="Z25" s="171">
        <f t="shared" si="5"/>
        <v>753085.01</v>
      </c>
    </row>
    <row r="26" spans="1:27" ht="12" customHeight="1" collapsed="1">
      <c r="A26" s="208" t="s">
        <v>3412</v>
      </c>
      <c r="B26" s="209"/>
      <c r="C26" s="208" t="s">
        <v>773</v>
      </c>
      <c r="D26" s="210"/>
      <c r="E26" s="185">
        <v>0</v>
      </c>
      <c r="F26" s="185">
        <v>16524067.79</v>
      </c>
      <c r="G26" s="101">
        <f t="shared" si="0"/>
        <v>16524067.79</v>
      </c>
      <c r="H26" s="101">
        <v>9425739.32</v>
      </c>
      <c r="I26" s="101">
        <v>0</v>
      </c>
      <c r="J26" s="101">
        <v>0</v>
      </c>
      <c r="K26" s="101">
        <v>0</v>
      </c>
      <c r="L26" s="101">
        <f t="shared" si="6"/>
        <v>0</v>
      </c>
      <c r="M26" s="101">
        <v>0</v>
      </c>
      <c r="N26" s="101">
        <v>0</v>
      </c>
      <c r="O26" s="101">
        <v>0</v>
      </c>
      <c r="P26" s="101">
        <f t="shared" si="1"/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f t="shared" si="2"/>
        <v>0</v>
      </c>
      <c r="V26" s="101">
        <f t="shared" si="3"/>
        <v>25949807.11</v>
      </c>
      <c r="W26" s="185">
        <v>0</v>
      </c>
      <c r="X26" s="185">
        <f t="shared" si="4"/>
        <v>25949807.11</v>
      </c>
      <c r="Y26" s="185">
        <v>79633948.04</v>
      </c>
      <c r="Z26" s="185">
        <f t="shared" si="5"/>
        <v>105583755.15</v>
      </c>
      <c r="AA26" s="208"/>
    </row>
    <row r="27" spans="1:27" ht="15.75">
      <c r="A27" s="213"/>
      <c r="B27" s="214"/>
      <c r="C27" s="215" t="s">
        <v>881</v>
      </c>
      <c r="D27" s="72"/>
      <c r="E27" s="151">
        <f aca="true" t="shared" si="7" ref="E27:Z27">E14-E26</f>
        <v>0</v>
      </c>
      <c r="F27" s="151">
        <f t="shared" si="7"/>
        <v>87136690.97</v>
      </c>
      <c r="G27" s="103">
        <f t="shared" si="7"/>
        <v>87136690.97</v>
      </c>
      <c r="H27" s="103">
        <f t="shared" si="7"/>
        <v>-9425739.32</v>
      </c>
      <c r="I27" s="103">
        <f t="shared" si="7"/>
        <v>0</v>
      </c>
      <c r="J27" s="103">
        <f t="shared" si="7"/>
        <v>0</v>
      </c>
      <c r="K27" s="103">
        <f t="shared" si="7"/>
        <v>0</v>
      </c>
      <c r="L27" s="103">
        <f t="shared" si="7"/>
        <v>0</v>
      </c>
      <c r="M27" s="103">
        <f t="shared" si="7"/>
        <v>0</v>
      </c>
      <c r="N27" s="103">
        <f t="shared" si="7"/>
        <v>0</v>
      </c>
      <c r="O27" s="103">
        <f t="shared" si="7"/>
        <v>0</v>
      </c>
      <c r="P27" s="103">
        <f t="shared" si="7"/>
        <v>0</v>
      </c>
      <c r="Q27" s="103">
        <f t="shared" si="7"/>
        <v>0</v>
      </c>
      <c r="R27" s="103">
        <f t="shared" si="7"/>
        <v>0</v>
      </c>
      <c r="S27" s="103">
        <f t="shared" si="7"/>
        <v>0</v>
      </c>
      <c r="T27" s="103">
        <f t="shared" si="7"/>
        <v>0</v>
      </c>
      <c r="U27" s="103">
        <f t="shared" si="7"/>
        <v>0</v>
      </c>
      <c r="V27" s="103">
        <f t="shared" si="7"/>
        <v>77710951.65</v>
      </c>
      <c r="W27" s="151">
        <f t="shared" si="7"/>
        <v>0</v>
      </c>
      <c r="X27" s="151">
        <f t="shared" si="7"/>
        <v>77710951.65</v>
      </c>
      <c r="Y27" s="151">
        <f t="shared" si="7"/>
        <v>-79607582.04</v>
      </c>
      <c r="Z27" s="151">
        <f t="shared" si="7"/>
        <v>-1896630.3900000006</v>
      </c>
      <c r="AA27" s="206"/>
    </row>
    <row r="28" spans="2:26" ht="12" customHeight="1">
      <c r="B28" s="209"/>
      <c r="C28" s="208"/>
      <c r="D28" s="210"/>
      <c r="E28" s="185"/>
      <c r="F28" s="185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85"/>
      <c r="X28" s="185"/>
      <c r="Y28" s="185"/>
      <c r="Z28" s="185"/>
    </row>
    <row r="29" spans="1:27" ht="12.75">
      <c r="A29" s="208" t="s">
        <v>3413</v>
      </c>
      <c r="B29" s="209"/>
      <c r="C29" s="208" t="s">
        <v>775</v>
      </c>
      <c r="D29" s="210"/>
      <c r="E29" s="185">
        <v>0</v>
      </c>
      <c r="F29" s="185">
        <v>0</v>
      </c>
      <c r="G29" s="101">
        <f aca="true" t="shared" si="8" ref="G29:G35">E29+F29</f>
        <v>0</v>
      </c>
      <c r="H29" s="101">
        <v>26710288.57</v>
      </c>
      <c r="I29" s="101">
        <v>0</v>
      </c>
      <c r="J29" s="101">
        <v>0</v>
      </c>
      <c r="K29" s="101">
        <v>72999</v>
      </c>
      <c r="L29" s="101">
        <f aca="true" t="shared" si="9" ref="L29:L35">J29+I29+K29</f>
        <v>72999</v>
      </c>
      <c r="M29" s="101">
        <v>0</v>
      </c>
      <c r="N29" s="101">
        <v>0</v>
      </c>
      <c r="O29" s="101">
        <v>0</v>
      </c>
      <c r="P29" s="101">
        <f aca="true" t="shared" si="10" ref="P29:P35">M29+N29+O29</f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G29+H29+L29+P29</f>
        <v>26783287.57</v>
      </c>
      <c r="W29" s="185">
        <v>0</v>
      </c>
      <c r="X29" s="185">
        <f aca="true" t="shared" si="11" ref="X29:X35">V29+W29</f>
        <v>26783287.57</v>
      </c>
      <c r="Y29" s="185">
        <v>0</v>
      </c>
      <c r="Z29" s="185">
        <f aca="true" t="shared" si="12" ref="Z29:Z35">X29+Y29</f>
        <v>26783287.57</v>
      </c>
      <c r="AA29" s="208"/>
    </row>
    <row r="30" spans="1:27" ht="12.75">
      <c r="A30" s="208" t="s">
        <v>3414</v>
      </c>
      <c r="B30" s="209"/>
      <c r="C30" s="208" t="s">
        <v>776</v>
      </c>
      <c r="D30" s="210"/>
      <c r="E30" s="185">
        <v>0</v>
      </c>
      <c r="F30" s="185">
        <v>0</v>
      </c>
      <c r="G30" s="101">
        <f t="shared" si="8"/>
        <v>0</v>
      </c>
      <c r="H30" s="101">
        <v>4461503.27</v>
      </c>
      <c r="I30" s="101">
        <v>0</v>
      </c>
      <c r="J30" s="101">
        <v>0</v>
      </c>
      <c r="K30" s="101">
        <v>0</v>
      </c>
      <c r="L30" s="101">
        <f t="shared" si="9"/>
        <v>0</v>
      </c>
      <c r="M30" s="101">
        <v>0</v>
      </c>
      <c r="N30" s="101">
        <v>0</v>
      </c>
      <c r="O30" s="101">
        <v>0</v>
      </c>
      <c r="P30" s="101">
        <f t="shared" si="10"/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aca="true" t="shared" si="13" ref="V30:V35">G30+H30+L30+P30+U30</f>
        <v>4461503.27</v>
      </c>
      <c r="W30" s="185">
        <v>0</v>
      </c>
      <c r="X30" s="185">
        <f t="shared" si="11"/>
        <v>4461503.27</v>
      </c>
      <c r="Y30" s="185">
        <v>0</v>
      </c>
      <c r="Z30" s="185">
        <f t="shared" si="12"/>
        <v>4461503.27</v>
      </c>
      <c r="AA30" s="208"/>
    </row>
    <row r="31" spans="1:27" ht="12.75">
      <c r="A31" s="208" t="s">
        <v>3415</v>
      </c>
      <c r="B31" s="209"/>
      <c r="C31" s="208" t="s">
        <v>777</v>
      </c>
      <c r="D31" s="210"/>
      <c r="E31" s="185">
        <v>0</v>
      </c>
      <c r="F31" s="185">
        <v>0</v>
      </c>
      <c r="G31" s="101">
        <f t="shared" si="8"/>
        <v>0</v>
      </c>
      <c r="H31" s="101">
        <v>11561726.48</v>
      </c>
      <c r="I31" s="101">
        <v>0</v>
      </c>
      <c r="J31" s="101">
        <v>0</v>
      </c>
      <c r="K31" s="101">
        <v>0</v>
      </c>
      <c r="L31" s="101">
        <f t="shared" si="9"/>
        <v>0</v>
      </c>
      <c r="M31" s="101">
        <v>0</v>
      </c>
      <c r="N31" s="101">
        <v>0</v>
      </c>
      <c r="O31" s="101">
        <v>0</v>
      </c>
      <c r="P31" s="101">
        <f t="shared" si="10"/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13"/>
        <v>11561726.48</v>
      </c>
      <c r="W31" s="185">
        <v>0</v>
      </c>
      <c r="X31" s="185">
        <f t="shared" si="11"/>
        <v>11561726.48</v>
      </c>
      <c r="Y31" s="185">
        <v>0</v>
      </c>
      <c r="Z31" s="185">
        <f t="shared" si="12"/>
        <v>11561726.48</v>
      </c>
      <c r="AA31" s="208"/>
    </row>
    <row r="32" spans="1:26" ht="12.75" hidden="1" outlineLevel="1">
      <c r="A32" s="171" t="s">
        <v>3416</v>
      </c>
      <c r="C32" s="172" t="s">
        <v>3417</v>
      </c>
      <c r="D32" s="172" t="s">
        <v>3418</v>
      </c>
      <c r="E32" s="171">
        <v>0</v>
      </c>
      <c r="F32" s="171">
        <v>0</v>
      </c>
      <c r="G32" s="216">
        <f t="shared" si="8"/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f t="shared" si="9"/>
        <v>0</v>
      </c>
      <c r="M32" s="217">
        <v>0</v>
      </c>
      <c r="N32" s="217">
        <v>0</v>
      </c>
      <c r="O32" s="217">
        <v>0</v>
      </c>
      <c r="P32" s="217">
        <f t="shared" si="10"/>
        <v>0</v>
      </c>
      <c r="Q32" s="216">
        <v>0</v>
      </c>
      <c r="R32" s="216">
        <v>0</v>
      </c>
      <c r="S32" s="216">
        <v>0</v>
      </c>
      <c r="T32" s="216">
        <v>0</v>
      </c>
      <c r="U32" s="216">
        <f>Q32+R32+S32+T32</f>
        <v>0</v>
      </c>
      <c r="V32" s="216">
        <f t="shared" si="13"/>
        <v>0</v>
      </c>
      <c r="W32" s="171">
        <v>0</v>
      </c>
      <c r="X32" s="171">
        <f t="shared" si="11"/>
        <v>0</v>
      </c>
      <c r="Y32" s="172">
        <v>9404.6</v>
      </c>
      <c r="Z32" s="171">
        <f t="shared" si="12"/>
        <v>9404.6</v>
      </c>
    </row>
    <row r="33" spans="1:26" ht="12.75" hidden="1" outlineLevel="1">
      <c r="A33" s="171" t="s">
        <v>2930</v>
      </c>
      <c r="C33" s="172" t="s">
        <v>2931</v>
      </c>
      <c r="D33" s="172" t="s">
        <v>2932</v>
      </c>
      <c r="E33" s="171">
        <v>0</v>
      </c>
      <c r="F33" s="171">
        <v>0</v>
      </c>
      <c r="G33" s="216">
        <f t="shared" si="8"/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f t="shared" si="9"/>
        <v>0</v>
      </c>
      <c r="M33" s="217">
        <v>0</v>
      </c>
      <c r="N33" s="217">
        <v>0</v>
      </c>
      <c r="O33" s="217">
        <v>0</v>
      </c>
      <c r="P33" s="217">
        <f t="shared" si="10"/>
        <v>0</v>
      </c>
      <c r="Q33" s="216">
        <v>0</v>
      </c>
      <c r="R33" s="216">
        <v>0</v>
      </c>
      <c r="S33" s="216">
        <v>0</v>
      </c>
      <c r="T33" s="216">
        <v>0</v>
      </c>
      <c r="U33" s="216">
        <f>Q33+R33+S33+T33</f>
        <v>0</v>
      </c>
      <c r="V33" s="216">
        <f t="shared" si="13"/>
        <v>0</v>
      </c>
      <c r="W33" s="171">
        <v>0</v>
      </c>
      <c r="X33" s="171">
        <f t="shared" si="11"/>
        <v>0</v>
      </c>
      <c r="Y33" s="172">
        <v>-43.15</v>
      </c>
      <c r="Z33" s="171">
        <f t="shared" si="12"/>
        <v>-43.15</v>
      </c>
    </row>
    <row r="34" spans="1:26" ht="12.75" hidden="1" outlineLevel="1">
      <c r="A34" s="171" t="s">
        <v>2757</v>
      </c>
      <c r="C34" s="172" t="s">
        <v>2758</v>
      </c>
      <c r="D34" s="172" t="s">
        <v>2759</v>
      </c>
      <c r="E34" s="171">
        <v>0</v>
      </c>
      <c r="F34" s="171">
        <v>0</v>
      </c>
      <c r="G34" s="216">
        <f t="shared" si="8"/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f t="shared" si="9"/>
        <v>0</v>
      </c>
      <c r="M34" s="217">
        <v>0</v>
      </c>
      <c r="N34" s="217">
        <v>0</v>
      </c>
      <c r="O34" s="217">
        <v>0</v>
      </c>
      <c r="P34" s="217">
        <f t="shared" si="10"/>
        <v>0</v>
      </c>
      <c r="Q34" s="216">
        <v>0</v>
      </c>
      <c r="R34" s="216">
        <v>0</v>
      </c>
      <c r="S34" s="216">
        <v>0</v>
      </c>
      <c r="T34" s="216">
        <v>0</v>
      </c>
      <c r="U34" s="216">
        <f>Q34+R34+S34+T34</f>
        <v>0</v>
      </c>
      <c r="V34" s="216">
        <f t="shared" si="13"/>
        <v>0</v>
      </c>
      <c r="W34" s="171">
        <v>0</v>
      </c>
      <c r="X34" s="171">
        <f t="shared" si="11"/>
        <v>0</v>
      </c>
      <c r="Y34" s="172">
        <v>48500</v>
      </c>
      <c r="Z34" s="171">
        <f t="shared" si="12"/>
        <v>48500</v>
      </c>
    </row>
    <row r="35" spans="1:27" ht="12.75" collapsed="1">
      <c r="A35" s="208" t="s">
        <v>3419</v>
      </c>
      <c r="B35" s="209"/>
      <c r="C35" s="208" t="s">
        <v>3420</v>
      </c>
      <c r="D35" s="210"/>
      <c r="E35" s="185">
        <v>0</v>
      </c>
      <c r="F35" s="185">
        <v>1836841.82</v>
      </c>
      <c r="G35" s="101">
        <f t="shared" si="8"/>
        <v>1836841.82</v>
      </c>
      <c r="H35" s="101">
        <v>0</v>
      </c>
      <c r="I35" s="101">
        <v>0</v>
      </c>
      <c r="J35" s="101">
        <v>0</v>
      </c>
      <c r="K35" s="101">
        <v>0</v>
      </c>
      <c r="L35" s="101">
        <f t="shared" si="9"/>
        <v>0</v>
      </c>
      <c r="M35" s="101">
        <v>0</v>
      </c>
      <c r="N35" s="101">
        <v>0</v>
      </c>
      <c r="O35" s="101">
        <v>0</v>
      </c>
      <c r="P35" s="101">
        <f t="shared" si="10"/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f>Q35+R35+S35+T35</f>
        <v>0</v>
      </c>
      <c r="V35" s="101">
        <f t="shared" si="13"/>
        <v>1836841.82</v>
      </c>
      <c r="W35" s="185">
        <v>0</v>
      </c>
      <c r="X35" s="185">
        <f t="shared" si="11"/>
        <v>1836841.82</v>
      </c>
      <c r="Y35" s="185">
        <v>57861.45</v>
      </c>
      <c r="Z35" s="185">
        <f t="shared" si="12"/>
        <v>1894703.27</v>
      </c>
      <c r="AA35" s="208"/>
    </row>
    <row r="36" spans="1:27" ht="12.75">
      <c r="A36" s="208"/>
      <c r="B36" s="209"/>
      <c r="C36" s="208" t="s">
        <v>3421</v>
      </c>
      <c r="D36" s="210"/>
      <c r="E36" s="185"/>
      <c r="F36" s="185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85"/>
      <c r="X36" s="185"/>
      <c r="Y36" s="185"/>
      <c r="Z36" s="185"/>
      <c r="AA36" s="208"/>
    </row>
    <row r="37" spans="1:27" ht="12.75">
      <c r="A37" s="208"/>
      <c r="B37" s="209"/>
      <c r="C37" s="208" t="s">
        <v>3422</v>
      </c>
      <c r="D37" s="210"/>
      <c r="E37" s="185">
        <v>0</v>
      </c>
      <c r="F37" s="185">
        <v>0</v>
      </c>
      <c r="G37" s="101">
        <f aca="true" t="shared" si="14" ref="G37:G74">E37+F37</f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f aca="true" t="shared" si="15" ref="L37:L74">J37+I37+K37</f>
        <v>0</v>
      </c>
      <c r="M37" s="101">
        <v>0</v>
      </c>
      <c r="N37" s="101">
        <v>0</v>
      </c>
      <c r="O37" s="101">
        <v>0</v>
      </c>
      <c r="P37" s="101">
        <f aca="true" t="shared" si="16" ref="P37:P74">M37+N37+O37</f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f aca="true" t="shared" si="17" ref="U37:U74">Q37+R37+S37+T37</f>
        <v>0</v>
      </c>
      <c r="V37" s="101">
        <f aca="true" t="shared" si="18" ref="V37:V74">G37+H37+L37+P37+U37</f>
        <v>0</v>
      </c>
      <c r="W37" s="185">
        <v>0</v>
      </c>
      <c r="X37" s="185">
        <f aca="true" t="shared" si="19" ref="X37:X74">V37+W37</f>
        <v>0</v>
      </c>
      <c r="Y37" s="185">
        <v>0</v>
      </c>
      <c r="Z37" s="185">
        <f aca="true" t="shared" si="20" ref="Z37:Z74">X37+Y37</f>
        <v>0</v>
      </c>
      <c r="AA37" s="208"/>
    </row>
    <row r="38" spans="1:27" ht="12.75">
      <c r="A38" s="208"/>
      <c r="B38" s="209"/>
      <c r="C38" s="208" t="s">
        <v>780</v>
      </c>
      <c r="D38" s="210"/>
      <c r="E38" s="185">
        <v>0</v>
      </c>
      <c r="F38" s="185">
        <v>4982468.49</v>
      </c>
      <c r="G38" s="101">
        <f t="shared" si="14"/>
        <v>4982468.49</v>
      </c>
      <c r="H38" s="101">
        <v>0</v>
      </c>
      <c r="I38" s="101">
        <v>0</v>
      </c>
      <c r="J38" s="101">
        <v>0</v>
      </c>
      <c r="K38" s="101">
        <v>0</v>
      </c>
      <c r="L38" s="101">
        <f t="shared" si="15"/>
        <v>0</v>
      </c>
      <c r="M38" s="101">
        <v>0</v>
      </c>
      <c r="N38" s="101">
        <v>0</v>
      </c>
      <c r="O38" s="101">
        <v>0</v>
      </c>
      <c r="P38" s="101">
        <f t="shared" si="16"/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f t="shared" si="17"/>
        <v>0</v>
      </c>
      <c r="V38" s="101">
        <f t="shared" si="18"/>
        <v>4982468.49</v>
      </c>
      <c r="W38" s="185">
        <v>0</v>
      </c>
      <c r="X38" s="185">
        <f t="shared" si="19"/>
        <v>4982468.49</v>
      </c>
      <c r="Y38" s="185">
        <v>0</v>
      </c>
      <c r="Z38" s="185">
        <f t="shared" si="20"/>
        <v>4982468.49</v>
      </c>
      <c r="AA38" s="208"/>
    </row>
    <row r="39" spans="1:27" ht="12.75">
      <c r="A39" s="208"/>
      <c r="B39" s="209"/>
      <c r="C39" s="208" t="s">
        <v>781</v>
      </c>
      <c r="D39" s="210"/>
      <c r="E39" s="185">
        <v>0</v>
      </c>
      <c r="F39" s="185">
        <v>5740635.140000001</v>
      </c>
      <c r="G39" s="101">
        <f t="shared" si="14"/>
        <v>5740635.140000001</v>
      </c>
      <c r="H39" s="101">
        <v>0</v>
      </c>
      <c r="I39" s="101">
        <v>0</v>
      </c>
      <c r="J39" s="101">
        <v>0</v>
      </c>
      <c r="K39" s="101">
        <v>0</v>
      </c>
      <c r="L39" s="101">
        <f t="shared" si="15"/>
        <v>0</v>
      </c>
      <c r="M39" s="101">
        <v>0</v>
      </c>
      <c r="N39" s="101">
        <v>0</v>
      </c>
      <c r="O39" s="101">
        <v>0</v>
      </c>
      <c r="P39" s="101">
        <f t="shared" si="16"/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f t="shared" si="17"/>
        <v>0</v>
      </c>
      <c r="V39" s="101">
        <f t="shared" si="18"/>
        <v>5740635.140000001</v>
      </c>
      <c r="W39" s="185">
        <v>0</v>
      </c>
      <c r="X39" s="185">
        <f t="shared" si="19"/>
        <v>5740635.140000001</v>
      </c>
      <c r="Y39" s="185">
        <v>0</v>
      </c>
      <c r="Z39" s="185">
        <f t="shared" si="20"/>
        <v>5740635.140000001</v>
      </c>
      <c r="AA39" s="208"/>
    </row>
    <row r="40" spans="1:27" ht="12.75">
      <c r="A40" s="208" t="s">
        <v>3423</v>
      </c>
      <c r="B40" s="209"/>
      <c r="C40" s="208" t="s">
        <v>3424</v>
      </c>
      <c r="D40" s="210"/>
      <c r="E40" s="185">
        <v>0</v>
      </c>
      <c r="F40" s="185">
        <v>16271503.02</v>
      </c>
      <c r="G40" s="101">
        <f t="shared" si="14"/>
        <v>16271503.02</v>
      </c>
      <c r="H40" s="101">
        <v>0</v>
      </c>
      <c r="I40" s="101">
        <v>0</v>
      </c>
      <c r="J40" s="101">
        <v>0</v>
      </c>
      <c r="K40" s="101">
        <v>0</v>
      </c>
      <c r="L40" s="101">
        <f t="shared" si="15"/>
        <v>0</v>
      </c>
      <c r="M40" s="101">
        <v>0</v>
      </c>
      <c r="N40" s="101">
        <v>0</v>
      </c>
      <c r="O40" s="101">
        <v>0</v>
      </c>
      <c r="P40" s="101">
        <f t="shared" si="16"/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f t="shared" si="17"/>
        <v>0</v>
      </c>
      <c r="V40" s="101">
        <f t="shared" si="18"/>
        <v>16271503.02</v>
      </c>
      <c r="W40" s="185">
        <v>0</v>
      </c>
      <c r="X40" s="185">
        <f t="shared" si="19"/>
        <v>16271503.02</v>
      </c>
      <c r="Y40" s="185">
        <v>0</v>
      </c>
      <c r="Z40" s="185">
        <f t="shared" si="20"/>
        <v>16271503.02</v>
      </c>
      <c r="AA40" s="208"/>
    </row>
    <row r="41" spans="1:27" ht="12.75">
      <c r="A41" s="208"/>
      <c r="B41" s="209"/>
      <c r="C41" s="208" t="s">
        <v>3425</v>
      </c>
      <c r="D41" s="210"/>
      <c r="E41" s="185">
        <v>0</v>
      </c>
      <c r="F41" s="185">
        <v>13989841.3</v>
      </c>
      <c r="G41" s="101">
        <f t="shared" si="14"/>
        <v>13989841.3</v>
      </c>
      <c r="H41" s="101">
        <v>0</v>
      </c>
      <c r="I41" s="101">
        <v>0</v>
      </c>
      <c r="J41" s="101">
        <v>0</v>
      </c>
      <c r="K41" s="101">
        <v>0</v>
      </c>
      <c r="L41" s="101">
        <f t="shared" si="15"/>
        <v>0</v>
      </c>
      <c r="M41" s="101">
        <v>0</v>
      </c>
      <c r="N41" s="101">
        <v>0</v>
      </c>
      <c r="O41" s="101">
        <v>0</v>
      </c>
      <c r="P41" s="101">
        <f t="shared" si="16"/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f t="shared" si="17"/>
        <v>0</v>
      </c>
      <c r="V41" s="101">
        <f t="shared" si="18"/>
        <v>13989841.3</v>
      </c>
      <c r="W41" s="185">
        <v>0</v>
      </c>
      <c r="X41" s="185">
        <f t="shared" si="19"/>
        <v>13989841.3</v>
      </c>
      <c r="Y41" s="185">
        <v>0</v>
      </c>
      <c r="Z41" s="185">
        <f t="shared" si="20"/>
        <v>13989841.3</v>
      </c>
      <c r="AA41" s="208"/>
    </row>
    <row r="42" spans="1:26" ht="12.75" hidden="1" outlineLevel="1">
      <c r="A42" s="171" t="s">
        <v>3426</v>
      </c>
      <c r="C42" s="172" t="s">
        <v>882</v>
      </c>
      <c r="D42" s="172" t="s">
        <v>3427</v>
      </c>
      <c r="E42" s="171">
        <v>0</v>
      </c>
      <c r="F42" s="171">
        <v>0</v>
      </c>
      <c r="G42" s="216">
        <f t="shared" si="14"/>
        <v>0</v>
      </c>
      <c r="H42" s="217">
        <v>0</v>
      </c>
      <c r="I42" s="217">
        <v>69.97</v>
      </c>
      <c r="J42" s="217">
        <v>0</v>
      </c>
      <c r="K42" s="217">
        <v>10884.51</v>
      </c>
      <c r="L42" s="217">
        <f t="shared" si="15"/>
        <v>10954.48</v>
      </c>
      <c r="M42" s="217">
        <v>0</v>
      </c>
      <c r="N42" s="217">
        <v>0</v>
      </c>
      <c r="O42" s="217">
        <v>0</v>
      </c>
      <c r="P42" s="217">
        <f t="shared" si="16"/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f t="shared" si="17"/>
        <v>0</v>
      </c>
      <c r="V42" s="216">
        <f t="shared" si="18"/>
        <v>10954.48</v>
      </c>
      <c r="W42" s="171">
        <v>0</v>
      </c>
      <c r="X42" s="171">
        <f t="shared" si="19"/>
        <v>10954.48</v>
      </c>
      <c r="Y42" s="172">
        <v>0</v>
      </c>
      <c r="Z42" s="171">
        <f t="shared" si="20"/>
        <v>10954.48</v>
      </c>
    </row>
    <row r="43" spans="1:26" ht="12.75" hidden="1" outlineLevel="1">
      <c r="A43" s="171" t="s">
        <v>3428</v>
      </c>
      <c r="C43" s="172" t="s">
        <v>883</v>
      </c>
      <c r="D43" s="172" t="s">
        <v>3429</v>
      </c>
      <c r="E43" s="171">
        <v>0</v>
      </c>
      <c r="F43" s="171">
        <v>0</v>
      </c>
      <c r="G43" s="216">
        <f t="shared" si="14"/>
        <v>0</v>
      </c>
      <c r="H43" s="217">
        <v>0</v>
      </c>
      <c r="I43" s="217">
        <v>11825.84</v>
      </c>
      <c r="J43" s="217">
        <v>0</v>
      </c>
      <c r="K43" s="217">
        <v>329295.98</v>
      </c>
      <c r="L43" s="217">
        <f t="shared" si="15"/>
        <v>341121.82</v>
      </c>
      <c r="M43" s="217">
        <v>0</v>
      </c>
      <c r="N43" s="217">
        <v>0</v>
      </c>
      <c r="O43" s="217">
        <v>0</v>
      </c>
      <c r="P43" s="217">
        <f t="shared" si="16"/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f t="shared" si="17"/>
        <v>0</v>
      </c>
      <c r="V43" s="216">
        <f t="shared" si="18"/>
        <v>341121.82</v>
      </c>
      <c r="W43" s="171">
        <v>0</v>
      </c>
      <c r="X43" s="171">
        <f t="shared" si="19"/>
        <v>341121.82</v>
      </c>
      <c r="Y43" s="172">
        <v>0</v>
      </c>
      <c r="Z43" s="171">
        <f t="shared" si="20"/>
        <v>341121.82</v>
      </c>
    </row>
    <row r="44" spans="1:26" ht="12.75" hidden="1" outlineLevel="1">
      <c r="A44" s="171" t="s">
        <v>3430</v>
      </c>
      <c r="C44" s="172" t="s">
        <v>3431</v>
      </c>
      <c r="D44" s="172" t="s">
        <v>3432</v>
      </c>
      <c r="E44" s="171">
        <v>0</v>
      </c>
      <c r="F44" s="171">
        <v>0</v>
      </c>
      <c r="G44" s="216">
        <f t="shared" si="14"/>
        <v>0</v>
      </c>
      <c r="H44" s="217">
        <v>0</v>
      </c>
      <c r="I44" s="217">
        <v>0</v>
      </c>
      <c r="J44" s="217">
        <v>0</v>
      </c>
      <c r="K44" s="217">
        <v>19037.6</v>
      </c>
      <c r="L44" s="217">
        <f t="shared" si="15"/>
        <v>19037.6</v>
      </c>
      <c r="M44" s="217">
        <v>0</v>
      </c>
      <c r="N44" s="217">
        <v>0</v>
      </c>
      <c r="O44" s="217">
        <v>0</v>
      </c>
      <c r="P44" s="217">
        <f t="shared" si="16"/>
        <v>0</v>
      </c>
      <c r="Q44" s="216">
        <v>0</v>
      </c>
      <c r="R44" s="216">
        <v>0</v>
      </c>
      <c r="S44" s="216">
        <v>0</v>
      </c>
      <c r="T44" s="216">
        <v>0</v>
      </c>
      <c r="U44" s="216">
        <f t="shared" si="17"/>
        <v>0</v>
      </c>
      <c r="V44" s="216">
        <f t="shared" si="18"/>
        <v>19037.6</v>
      </c>
      <c r="W44" s="171">
        <v>0</v>
      </c>
      <c r="X44" s="171">
        <f t="shared" si="19"/>
        <v>19037.6</v>
      </c>
      <c r="Y44" s="172">
        <v>0</v>
      </c>
      <c r="Z44" s="171">
        <f t="shared" si="20"/>
        <v>19037.6</v>
      </c>
    </row>
    <row r="45" spans="1:26" ht="12.75" hidden="1" outlineLevel="1">
      <c r="A45" s="171" t="s">
        <v>3433</v>
      </c>
      <c r="C45" s="172" t="s">
        <v>3434</v>
      </c>
      <c r="D45" s="172" t="s">
        <v>3435</v>
      </c>
      <c r="E45" s="171">
        <v>0</v>
      </c>
      <c r="F45" s="171">
        <v>0</v>
      </c>
      <c r="G45" s="216">
        <f t="shared" si="14"/>
        <v>0</v>
      </c>
      <c r="H45" s="217">
        <v>0</v>
      </c>
      <c r="I45" s="217">
        <v>0</v>
      </c>
      <c r="J45" s="217">
        <v>0</v>
      </c>
      <c r="K45" s="217">
        <v>375</v>
      </c>
      <c r="L45" s="217">
        <f t="shared" si="15"/>
        <v>375</v>
      </c>
      <c r="M45" s="217">
        <v>0</v>
      </c>
      <c r="N45" s="217">
        <v>0</v>
      </c>
      <c r="O45" s="217">
        <v>0</v>
      </c>
      <c r="P45" s="217">
        <f t="shared" si="16"/>
        <v>0</v>
      </c>
      <c r="Q45" s="216">
        <v>0</v>
      </c>
      <c r="R45" s="216">
        <v>0</v>
      </c>
      <c r="S45" s="216">
        <v>0</v>
      </c>
      <c r="T45" s="216">
        <v>0</v>
      </c>
      <c r="U45" s="216">
        <f t="shared" si="17"/>
        <v>0</v>
      </c>
      <c r="V45" s="216">
        <f t="shared" si="18"/>
        <v>375</v>
      </c>
      <c r="W45" s="171">
        <v>0</v>
      </c>
      <c r="X45" s="171">
        <f t="shared" si="19"/>
        <v>375</v>
      </c>
      <c r="Y45" s="172">
        <v>0</v>
      </c>
      <c r="Z45" s="171">
        <f t="shared" si="20"/>
        <v>375</v>
      </c>
    </row>
    <row r="46" spans="1:26" ht="12.75" hidden="1" outlineLevel="1">
      <c r="A46" s="171" t="s">
        <v>3436</v>
      </c>
      <c r="C46" s="172" t="s">
        <v>3437</v>
      </c>
      <c r="D46" s="172" t="s">
        <v>3438</v>
      </c>
      <c r="E46" s="171">
        <v>0</v>
      </c>
      <c r="F46" s="171">
        <v>0</v>
      </c>
      <c r="G46" s="216">
        <f t="shared" si="14"/>
        <v>0</v>
      </c>
      <c r="H46" s="217">
        <v>0</v>
      </c>
      <c r="I46" s="217">
        <v>0</v>
      </c>
      <c r="J46" s="217">
        <v>0</v>
      </c>
      <c r="K46" s="217">
        <v>7274.13</v>
      </c>
      <c r="L46" s="217">
        <f t="shared" si="15"/>
        <v>7274.13</v>
      </c>
      <c r="M46" s="217">
        <v>0</v>
      </c>
      <c r="N46" s="217">
        <v>0</v>
      </c>
      <c r="O46" s="217">
        <v>0</v>
      </c>
      <c r="P46" s="217">
        <f t="shared" si="16"/>
        <v>0</v>
      </c>
      <c r="Q46" s="216">
        <v>0</v>
      </c>
      <c r="R46" s="216">
        <v>0</v>
      </c>
      <c r="S46" s="216">
        <v>0</v>
      </c>
      <c r="T46" s="216">
        <v>0</v>
      </c>
      <c r="U46" s="216">
        <f t="shared" si="17"/>
        <v>0</v>
      </c>
      <c r="V46" s="216">
        <f t="shared" si="18"/>
        <v>7274.13</v>
      </c>
      <c r="W46" s="171">
        <v>0</v>
      </c>
      <c r="X46" s="171">
        <f t="shared" si="19"/>
        <v>7274.13</v>
      </c>
      <c r="Y46" s="172">
        <v>0</v>
      </c>
      <c r="Z46" s="171">
        <f t="shared" si="20"/>
        <v>7274.13</v>
      </c>
    </row>
    <row r="47" spans="1:26" ht="12.75" hidden="1" outlineLevel="1">
      <c r="A47" s="171" t="s">
        <v>3439</v>
      </c>
      <c r="C47" s="172" t="s">
        <v>3440</v>
      </c>
      <c r="D47" s="172" t="s">
        <v>3441</v>
      </c>
      <c r="E47" s="171">
        <v>0</v>
      </c>
      <c r="F47" s="171">
        <v>0</v>
      </c>
      <c r="G47" s="216">
        <f t="shared" si="14"/>
        <v>0</v>
      </c>
      <c r="H47" s="217">
        <v>0</v>
      </c>
      <c r="I47" s="217">
        <v>0</v>
      </c>
      <c r="J47" s="217">
        <v>0</v>
      </c>
      <c r="K47" s="217">
        <v>12284.41</v>
      </c>
      <c r="L47" s="217">
        <f t="shared" si="15"/>
        <v>12284.41</v>
      </c>
      <c r="M47" s="217">
        <v>0</v>
      </c>
      <c r="N47" s="217">
        <v>0</v>
      </c>
      <c r="O47" s="217">
        <v>0</v>
      </c>
      <c r="P47" s="217">
        <f t="shared" si="16"/>
        <v>0</v>
      </c>
      <c r="Q47" s="216">
        <v>0</v>
      </c>
      <c r="R47" s="216">
        <v>0</v>
      </c>
      <c r="S47" s="216">
        <v>0</v>
      </c>
      <c r="T47" s="216">
        <v>0</v>
      </c>
      <c r="U47" s="216">
        <f t="shared" si="17"/>
        <v>0</v>
      </c>
      <c r="V47" s="216">
        <f t="shared" si="18"/>
        <v>12284.41</v>
      </c>
      <c r="W47" s="171">
        <v>0</v>
      </c>
      <c r="X47" s="171">
        <f t="shared" si="19"/>
        <v>12284.41</v>
      </c>
      <c r="Y47" s="172">
        <v>0</v>
      </c>
      <c r="Z47" s="171">
        <f t="shared" si="20"/>
        <v>12284.41</v>
      </c>
    </row>
    <row r="48" spans="1:26" ht="12.75" hidden="1" outlineLevel="1">
      <c r="A48" s="171" t="s">
        <v>3442</v>
      </c>
      <c r="C48" s="172" t="s">
        <v>3443</v>
      </c>
      <c r="D48" s="172" t="s">
        <v>3444</v>
      </c>
      <c r="E48" s="171">
        <v>0</v>
      </c>
      <c r="F48" s="171">
        <v>0</v>
      </c>
      <c r="G48" s="216">
        <f t="shared" si="14"/>
        <v>0</v>
      </c>
      <c r="H48" s="217">
        <v>0</v>
      </c>
      <c r="I48" s="217">
        <v>0</v>
      </c>
      <c r="J48" s="217">
        <v>0</v>
      </c>
      <c r="K48" s="217">
        <v>11382.36</v>
      </c>
      <c r="L48" s="217">
        <f t="shared" si="15"/>
        <v>11382.36</v>
      </c>
      <c r="M48" s="217">
        <v>0</v>
      </c>
      <c r="N48" s="217">
        <v>0</v>
      </c>
      <c r="O48" s="217">
        <v>0</v>
      </c>
      <c r="P48" s="217">
        <f t="shared" si="16"/>
        <v>0</v>
      </c>
      <c r="Q48" s="216">
        <v>0</v>
      </c>
      <c r="R48" s="216">
        <v>0</v>
      </c>
      <c r="S48" s="216">
        <v>0</v>
      </c>
      <c r="T48" s="216">
        <v>0</v>
      </c>
      <c r="U48" s="216">
        <f t="shared" si="17"/>
        <v>0</v>
      </c>
      <c r="V48" s="216">
        <f t="shared" si="18"/>
        <v>11382.36</v>
      </c>
      <c r="W48" s="171">
        <v>0</v>
      </c>
      <c r="X48" s="171">
        <f t="shared" si="19"/>
        <v>11382.36</v>
      </c>
      <c r="Y48" s="172">
        <v>0</v>
      </c>
      <c r="Z48" s="171">
        <f t="shared" si="20"/>
        <v>11382.36</v>
      </c>
    </row>
    <row r="49" spans="1:26" ht="12.75" hidden="1" outlineLevel="1">
      <c r="A49" s="171" t="s">
        <v>3445</v>
      </c>
      <c r="C49" s="172" t="s">
        <v>3446</v>
      </c>
      <c r="D49" s="172" t="s">
        <v>3447</v>
      </c>
      <c r="E49" s="171">
        <v>0</v>
      </c>
      <c r="F49" s="171">
        <v>0</v>
      </c>
      <c r="G49" s="216">
        <f t="shared" si="14"/>
        <v>0</v>
      </c>
      <c r="H49" s="217">
        <v>0</v>
      </c>
      <c r="I49" s="217">
        <v>0</v>
      </c>
      <c r="J49" s="217">
        <v>0</v>
      </c>
      <c r="K49" s="217">
        <v>6067.02</v>
      </c>
      <c r="L49" s="217">
        <f t="shared" si="15"/>
        <v>6067.02</v>
      </c>
      <c r="M49" s="217">
        <v>0</v>
      </c>
      <c r="N49" s="217">
        <v>0</v>
      </c>
      <c r="O49" s="217">
        <v>0</v>
      </c>
      <c r="P49" s="217">
        <f t="shared" si="16"/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f t="shared" si="17"/>
        <v>0</v>
      </c>
      <c r="V49" s="216">
        <f t="shared" si="18"/>
        <v>6067.02</v>
      </c>
      <c r="W49" s="171">
        <v>0</v>
      </c>
      <c r="X49" s="171">
        <f t="shared" si="19"/>
        <v>6067.02</v>
      </c>
      <c r="Y49" s="172">
        <v>0</v>
      </c>
      <c r="Z49" s="171">
        <f t="shared" si="20"/>
        <v>6067.02</v>
      </c>
    </row>
    <row r="50" spans="1:26" ht="12.75" hidden="1" outlineLevel="1">
      <c r="A50" s="171" t="s">
        <v>3448</v>
      </c>
      <c r="C50" s="172" t="s">
        <v>3449</v>
      </c>
      <c r="D50" s="172" t="s">
        <v>3450</v>
      </c>
      <c r="E50" s="171">
        <v>0</v>
      </c>
      <c r="F50" s="171">
        <v>0</v>
      </c>
      <c r="G50" s="216">
        <f t="shared" si="14"/>
        <v>0</v>
      </c>
      <c r="H50" s="217">
        <v>0</v>
      </c>
      <c r="I50" s="217">
        <v>-500</v>
      </c>
      <c r="J50" s="217">
        <v>0</v>
      </c>
      <c r="K50" s="217">
        <v>-18553.01</v>
      </c>
      <c r="L50" s="217">
        <f t="shared" si="15"/>
        <v>-19053.01</v>
      </c>
      <c r="M50" s="217">
        <v>0</v>
      </c>
      <c r="N50" s="217">
        <v>0</v>
      </c>
      <c r="O50" s="217">
        <v>0</v>
      </c>
      <c r="P50" s="217">
        <f t="shared" si="16"/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f t="shared" si="17"/>
        <v>0</v>
      </c>
      <c r="V50" s="216">
        <f t="shared" si="18"/>
        <v>-19053.01</v>
      </c>
      <c r="W50" s="171">
        <v>0</v>
      </c>
      <c r="X50" s="171">
        <f t="shared" si="19"/>
        <v>-19053.01</v>
      </c>
      <c r="Y50" s="172">
        <v>0</v>
      </c>
      <c r="Z50" s="171">
        <f t="shared" si="20"/>
        <v>-19053.01</v>
      </c>
    </row>
    <row r="51" spans="1:26" ht="12.75" hidden="1" outlineLevel="1">
      <c r="A51" s="171" t="s">
        <v>3451</v>
      </c>
      <c r="C51" s="172" t="s">
        <v>3452</v>
      </c>
      <c r="D51" s="172" t="s">
        <v>3453</v>
      </c>
      <c r="E51" s="171">
        <v>0</v>
      </c>
      <c r="F51" s="171">
        <v>0</v>
      </c>
      <c r="G51" s="216">
        <f t="shared" si="14"/>
        <v>0</v>
      </c>
      <c r="H51" s="217">
        <v>0</v>
      </c>
      <c r="I51" s="217">
        <v>0</v>
      </c>
      <c r="J51" s="217">
        <v>0</v>
      </c>
      <c r="K51" s="217">
        <v>-24576.45</v>
      </c>
      <c r="L51" s="217">
        <f t="shared" si="15"/>
        <v>-24576.45</v>
      </c>
      <c r="M51" s="217">
        <v>0</v>
      </c>
      <c r="N51" s="217">
        <v>0</v>
      </c>
      <c r="O51" s="217">
        <v>0</v>
      </c>
      <c r="P51" s="217">
        <f t="shared" si="16"/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f t="shared" si="17"/>
        <v>0</v>
      </c>
      <c r="V51" s="216">
        <f t="shared" si="18"/>
        <v>-24576.45</v>
      </c>
      <c r="W51" s="171">
        <v>0</v>
      </c>
      <c r="X51" s="171">
        <f t="shared" si="19"/>
        <v>-24576.45</v>
      </c>
      <c r="Y51" s="172">
        <v>0</v>
      </c>
      <c r="Z51" s="171">
        <f t="shared" si="20"/>
        <v>-24576.45</v>
      </c>
    </row>
    <row r="52" spans="1:26" ht="12.75" hidden="1" outlineLevel="1">
      <c r="A52" s="171" t="s">
        <v>884</v>
      </c>
      <c r="C52" s="172" t="s">
        <v>885</v>
      </c>
      <c r="D52" s="172" t="s">
        <v>886</v>
      </c>
      <c r="E52" s="171">
        <v>0</v>
      </c>
      <c r="F52" s="171">
        <v>0</v>
      </c>
      <c r="G52" s="216">
        <f t="shared" si="14"/>
        <v>0</v>
      </c>
      <c r="H52" s="217">
        <v>0</v>
      </c>
      <c r="I52" s="217">
        <v>0</v>
      </c>
      <c r="J52" s="217">
        <v>0</v>
      </c>
      <c r="K52" s="217">
        <v>-1000</v>
      </c>
      <c r="L52" s="217">
        <f t="shared" si="15"/>
        <v>-1000</v>
      </c>
      <c r="M52" s="217">
        <v>0</v>
      </c>
      <c r="N52" s="217">
        <v>0</v>
      </c>
      <c r="O52" s="217">
        <v>0</v>
      </c>
      <c r="P52" s="217">
        <f t="shared" si="16"/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f t="shared" si="17"/>
        <v>0</v>
      </c>
      <c r="V52" s="216">
        <f t="shared" si="18"/>
        <v>-1000</v>
      </c>
      <c r="W52" s="171">
        <v>0</v>
      </c>
      <c r="X52" s="171">
        <f t="shared" si="19"/>
        <v>-1000</v>
      </c>
      <c r="Y52" s="172">
        <v>0</v>
      </c>
      <c r="Z52" s="171">
        <f t="shared" si="20"/>
        <v>-1000</v>
      </c>
    </row>
    <row r="53" spans="1:26" ht="12.75" hidden="1" outlineLevel="1">
      <c r="A53" s="171" t="s">
        <v>3454</v>
      </c>
      <c r="C53" s="172" t="s">
        <v>3455</v>
      </c>
      <c r="D53" s="172" t="s">
        <v>3456</v>
      </c>
      <c r="E53" s="171">
        <v>0</v>
      </c>
      <c r="F53" s="171">
        <v>0</v>
      </c>
      <c r="G53" s="216">
        <f t="shared" si="14"/>
        <v>0</v>
      </c>
      <c r="H53" s="217">
        <v>0</v>
      </c>
      <c r="I53" s="217">
        <v>361</v>
      </c>
      <c r="J53" s="217">
        <v>0</v>
      </c>
      <c r="K53" s="217">
        <v>-9297.65</v>
      </c>
      <c r="L53" s="217">
        <f t="shared" si="15"/>
        <v>-8936.65</v>
      </c>
      <c r="M53" s="217">
        <v>0</v>
      </c>
      <c r="N53" s="217">
        <v>0</v>
      </c>
      <c r="O53" s="217">
        <v>0</v>
      </c>
      <c r="P53" s="217">
        <f t="shared" si="16"/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f t="shared" si="17"/>
        <v>0</v>
      </c>
      <c r="V53" s="216">
        <f t="shared" si="18"/>
        <v>-8936.65</v>
      </c>
      <c r="W53" s="171">
        <v>0</v>
      </c>
      <c r="X53" s="171">
        <f t="shared" si="19"/>
        <v>-8936.65</v>
      </c>
      <c r="Y53" s="172">
        <v>0</v>
      </c>
      <c r="Z53" s="171">
        <f t="shared" si="20"/>
        <v>-8936.65</v>
      </c>
    </row>
    <row r="54" spans="1:26" ht="12.75" hidden="1" outlineLevel="1">
      <c r="A54" s="171" t="s">
        <v>887</v>
      </c>
      <c r="C54" s="172" t="s">
        <v>888</v>
      </c>
      <c r="D54" s="172" t="s">
        <v>889</v>
      </c>
      <c r="E54" s="171">
        <v>0</v>
      </c>
      <c r="F54" s="171">
        <v>0</v>
      </c>
      <c r="G54" s="216">
        <f t="shared" si="14"/>
        <v>0</v>
      </c>
      <c r="H54" s="217">
        <v>0</v>
      </c>
      <c r="I54" s="217">
        <v>0</v>
      </c>
      <c r="J54" s="217">
        <v>0</v>
      </c>
      <c r="K54" s="217">
        <v>-2009.65</v>
      </c>
      <c r="L54" s="217">
        <f t="shared" si="15"/>
        <v>-2009.65</v>
      </c>
      <c r="M54" s="217">
        <v>0</v>
      </c>
      <c r="N54" s="217">
        <v>0</v>
      </c>
      <c r="O54" s="217">
        <v>0</v>
      </c>
      <c r="P54" s="217">
        <f t="shared" si="16"/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f t="shared" si="17"/>
        <v>0</v>
      </c>
      <c r="V54" s="216">
        <f t="shared" si="18"/>
        <v>-2009.65</v>
      </c>
      <c r="W54" s="171">
        <v>0</v>
      </c>
      <c r="X54" s="171">
        <f t="shared" si="19"/>
        <v>-2009.65</v>
      </c>
      <c r="Y54" s="172">
        <v>0</v>
      </c>
      <c r="Z54" s="171">
        <f t="shared" si="20"/>
        <v>-2009.65</v>
      </c>
    </row>
    <row r="55" spans="1:26" ht="12.75" hidden="1" outlineLevel="1">
      <c r="A55" s="171" t="s">
        <v>3457</v>
      </c>
      <c r="C55" s="172" t="s">
        <v>3458</v>
      </c>
      <c r="D55" s="172" t="s">
        <v>3459</v>
      </c>
      <c r="E55" s="171">
        <v>0</v>
      </c>
      <c r="F55" s="171">
        <v>0</v>
      </c>
      <c r="G55" s="216">
        <f t="shared" si="14"/>
        <v>0</v>
      </c>
      <c r="H55" s="217">
        <v>0</v>
      </c>
      <c r="I55" s="217">
        <v>0</v>
      </c>
      <c r="J55" s="217">
        <v>0</v>
      </c>
      <c r="K55" s="217">
        <v>-19037.6</v>
      </c>
      <c r="L55" s="217">
        <f t="shared" si="15"/>
        <v>-19037.6</v>
      </c>
      <c r="M55" s="217">
        <v>0</v>
      </c>
      <c r="N55" s="217">
        <v>0</v>
      </c>
      <c r="O55" s="217">
        <v>0</v>
      </c>
      <c r="P55" s="217">
        <f t="shared" si="16"/>
        <v>0</v>
      </c>
      <c r="Q55" s="216">
        <v>0</v>
      </c>
      <c r="R55" s="216">
        <v>0</v>
      </c>
      <c r="S55" s="216">
        <v>0</v>
      </c>
      <c r="T55" s="216">
        <v>0</v>
      </c>
      <c r="U55" s="216">
        <f t="shared" si="17"/>
        <v>0</v>
      </c>
      <c r="V55" s="216">
        <f t="shared" si="18"/>
        <v>-19037.6</v>
      </c>
      <c r="W55" s="171">
        <v>0</v>
      </c>
      <c r="X55" s="171">
        <f t="shared" si="19"/>
        <v>-19037.6</v>
      </c>
      <c r="Y55" s="172">
        <v>0</v>
      </c>
      <c r="Z55" s="171">
        <f t="shared" si="20"/>
        <v>-19037.6</v>
      </c>
    </row>
    <row r="56" spans="1:26" ht="12.75" hidden="1" outlineLevel="1">
      <c r="A56" s="171" t="s">
        <v>3460</v>
      </c>
      <c r="C56" s="172" t="s">
        <v>3461</v>
      </c>
      <c r="D56" s="172" t="s">
        <v>3462</v>
      </c>
      <c r="E56" s="171">
        <v>0</v>
      </c>
      <c r="F56" s="171">
        <v>0</v>
      </c>
      <c r="G56" s="216">
        <f t="shared" si="14"/>
        <v>0</v>
      </c>
      <c r="H56" s="217">
        <v>0</v>
      </c>
      <c r="I56" s="217">
        <v>0</v>
      </c>
      <c r="J56" s="217">
        <v>0</v>
      </c>
      <c r="K56" s="217">
        <v>-375</v>
      </c>
      <c r="L56" s="217">
        <f t="shared" si="15"/>
        <v>-375</v>
      </c>
      <c r="M56" s="217">
        <v>0</v>
      </c>
      <c r="N56" s="217">
        <v>0</v>
      </c>
      <c r="O56" s="217">
        <v>0</v>
      </c>
      <c r="P56" s="217">
        <f t="shared" si="16"/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f t="shared" si="17"/>
        <v>0</v>
      </c>
      <c r="V56" s="216">
        <f t="shared" si="18"/>
        <v>-375</v>
      </c>
      <c r="W56" s="171">
        <v>0</v>
      </c>
      <c r="X56" s="171">
        <f t="shared" si="19"/>
        <v>-375</v>
      </c>
      <c r="Y56" s="172">
        <v>0</v>
      </c>
      <c r="Z56" s="171">
        <f t="shared" si="20"/>
        <v>-375</v>
      </c>
    </row>
    <row r="57" spans="1:26" ht="12.75" hidden="1" outlineLevel="1">
      <c r="A57" s="171" t="s">
        <v>3463</v>
      </c>
      <c r="C57" s="172" t="s">
        <v>3464</v>
      </c>
      <c r="D57" s="172" t="s">
        <v>3465</v>
      </c>
      <c r="E57" s="171">
        <v>0</v>
      </c>
      <c r="F57" s="171">
        <v>0</v>
      </c>
      <c r="G57" s="216">
        <f t="shared" si="14"/>
        <v>0</v>
      </c>
      <c r="H57" s="217">
        <v>0</v>
      </c>
      <c r="I57" s="217">
        <v>0</v>
      </c>
      <c r="J57" s="217">
        <v>0</v>
      </c>
      <c r="K57" s="217">
        <v>-7274.13</v>
      </c>
      <c r="L57" s="217">
        <f t="shared" si="15"/>
        <v>-7274.13</v>
      </c>
      <c r="M57" s="217">
        <v>0</v>
      </c>
      <c r="N57" s="217">
        <v>0</v>
      </c>
      <c r="O57" s="217">
        <v>0</v>
      </c>
      <c r="P57" s="217">
        <f t="shared" si="16"/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f t="shared" si="17"/>
        <v>0</v>
      </c>
      <c r="V57" s="216">
        <f t="shared" si="18"/>
        <v>-7274.13</v>
      </c>
      <c r="W57" s="171">
        <v>0</v>
      </c>
      <c r="X57" s="171">
        <f t="shared" si="19"/>
        <v>-7274.13</v>
      </c>
      <c r="Y57" s="172">
        <v>0</v>
      </c>
      <c r="Z57" s="171">
        <f t="shared" si="20"/>
        <v>-7274.13</v>
      </c>
    </row>
    <row r="58" spans="1:26" ht="12.75" hidden="1" outlineLevel="1">
      <c r="A58" s="171" t="s">
        <v>3466</v>
      </c>
      <c r="C58" s="172" t="s">
        <v>3467</v>
      </c>
      <c r="D58" s="172" t="s">
        <v>3468</v>
      </c>
      <c r="E58" s="171">
        <v>0</v>
      </c>
      <c r="F58" s="171">
        <v>0</v>
      </c>
      <c r="G58" s="216">
        <f t="shared" si="14"/>
        <v>0</v>
      </c>
      <c r="H58" s="217">
        <v>0</v>
      </c>
      <c r="I58" s="217">
        <v>0</v>
      </c>
      <c r="J58" s="217">
        <v>0</v>
      </c>
      <c r="K58" s="217">
        <v>-12284.41</v>
      </c>
      <c r="L58" s="217">
        <f t="shared" si="15"/>
        <v>-12284.41</v>
      </c>
      <c r="M58" s="217">
        <v>0</v>
      </c>
      <c r="N58" s="217">
        <v>0</v>
      </c>
      <c r="O58" s="217">
        <v>0</v>
      </c>
      <c r="P58" s="217">
        <f t="shared" si="16"/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f t="shared" si="17"/>
        <v>0</v>
      </c>
      <c r="V58" s="216">
        <f t="shared" si="18"/>
        <v>-12284.41</v>
      </c>
      <c r="W58" s="171">
        <v>0</v>
      </c>
      <c r="X58" s="171">
        <f t="shared" si="19"/>
        <v>-12284.41</v>
      </c>
      <c r="Y58" s="172">
        <v>0</v>
      </c>
      <c r="Z58" s="171">
        <f t="shared" si="20"/>
        <v>-12284.41</v>
      </c>
    </row>
    <row r="59" spans="1:26" ht="12.75" hidden="1" outlineLevel="1">
      <c r="A59" s="171" t="s">
        <v>3469</v>
      </c>
      <c r="C59" s="172" t="s">
        <v>3470</v>
      </c>
      <c r="D59" s="172" t="s">
        <v>3471</v>
      </c>
      <c r="E59" s="171">
        <v>0</v>
      </c>
      <c r="F59" s="171">
        <v>0</v>
      </c>
      <c r="G59" s="216">
        <f t="shared" si="14"/>
        <v>0</v>
      </c>
      <c r="H59" s="217">
        <v>0</v>
      </c>
      <c r="I59" s="217">
        <v>0</v>
      </c>
      <c r="J59" s="217">
        <v>0</v>
      </c>
      <c r="K59" s="217">
        <v>-11382.36</v>
      </c>
      <c r="L59" s="217">
        <f t="shared" si="15"/>
        <v>-11382.36</v>
      </c>
      <c r="M59" s="217">
        <v>0</v>
      </c>
      <c r="N59" s="217">
        <v>0</v>
      </c>
      <c r="O59" s="217">
        <v>0</v>
      </c>
      <c r="P59" s="217">
        <f t="shared" si="16"/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f t="shared" si="17"/>
        <v>0</v>
      </c>
      <c r="V59" s="216">
        <f t="shared" si="18"/>
        <v>-11382.36</v>
      </c>
      <c r="W59" s="171">
        <v>0</v>
      </c>
      <c r="X59" s="171">
        <f t="shared" si="19"/>
        <v>-11382.36</v>
      </c>
      <c r="Y59" s="172">
        <v>0</v>
      </c>
      <c r="Z59" s="171">
        <f t="shared" si="20"/>
        <v>-11382.36</v>
      </c>
    </row>
    <row r="60" spans="1:26" ht="12.75" hidden="1" outlineLevel="1">
      <c r="A60" s="171" t="s">
        <v>3472</v>
      </c>
      <c r="C60" s="172" t="s">
        <v>3473</v>
      </c>
      <c r="D60" s="172" t="s">
        <v>3474</v>
      </c>
      <c r="E60" s="171">
        <v>0</v>
      </c>
      <c r="F60" s="171">
        <v>0</v>
      </c>
      <c r="G60" s="216">
        <f t="shared" si="14"/>
        <v>0</v>
      </c>
      <c r="H60" s="217">
        <v>0</v>
      </c>
      <c r="I60" s="217">
        <v>0</v>
      </c>
      <c r="J60" s="217">
        <v>0</v>
      </c>
      <c r="K60" s="217">
        <v>-6067.02</v>
      </c>
      <c r="L60" s="217">
        <f t="shared" si="15"/>
        <v>-6067.02</v>
      </c>
      <c r="M60" s="217">
        <v>0</v>
      </c>
      <c r="N60" s="217">
        <v>0</v>
      </c>
      <c r="O60" s="217">
        <v>0</v>
      </c>
      <c r="P60" s="217">
        <f t="shared" si="16"/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f t="shared" si="17"/>
        <v>0</v>
      </c>
      <c r="V60" s="216">
        <f t="shared" si="18"/>
        <v>-6067.02</v>
      </c>
      <c r="W60" s="171">
        <v>0</v>
      </c>
      <c r="X60" s="171">
        <f t="shared" si="19"/>
        <v>-6067.02</v>
      </c>
      <c r="Y60" s="172">
        <v>0</v>
      </c>
      <c r="Z60" s="171">
        <f t="shared" si="20"/>
        <v>-6067.02</v>
      </c>
    </row>
    <row r="61" spans="1:26" ht="12.75" hidden="1" outlineLevel="1">
      <c r="A61" s="171" t="s">
        <v>3475</v>
      </c>
      <c r="C61" s="172" t="s">
        <v>3476</v>
      </c>
      <c r="D61" s="172" t="s">
        <v>3477</v>
      </c>
      <c r="E61" s="171">
        <v>0</v>
      </c>
      <c r="F61" s="171">
        <v>0</v>
      </c>
      <c r="G61" s="216">
        <f t="shared" si="14"/>
        <v>0</v>
      </c>
      <c r="H61" s="217">
        <v>0</v>
      </c>
      <c r="I61" s="217">
        <v>-139.86</v>
      </c>
      <c r="J61" s="217">
        <v>0</v>
      </c>
      <c r="K61" s="217">
        <v>-4250.3</v>
      </c>
      <c r="L61" s="217">
        <f t="shared" si="15"/>
        <v>-4390.16</v>
      </c>
      <c r="M61" s="217">
        <v>0</v>
      </c>
      <c r="N61" s="217">
        <v>0</v>
      </c>
      <c r="O61" s="217">
        <v>0</v>
      </c>
      <c r="P61" s="217">
        <f t="shared" si="16"/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f t="shared" si="17"/>
        <v>0</v>
      </c>
      <c r="V61" s="216">
        <f t="shared" si="18"/>
        <v>-4390.16</v>
      </c>
      <c r="W61" s="171">
        <v>0</v>
      </c>
      <c r="X61" s="171">
        <f t="shared" si="19"/>
        <v>-4390.16</v>
      </c>
      <c r="Y61" s="172">
        <v>0</v>
      </c>
      <c r="Z61" s="171">
        <f t="shared" si="20"/>
        <v>-4390.16</v>
      </c>
    </row>
    <row r="62" spans="1:26" ht="12.75" hidden="1" outlineLevel="1">
      <c r="A62" s="171" t="s">
        <v>3478</v>
      </c>
      <c r="C62" s="172" t="s">
        <v>3479</v>
      </c>
      <c r="D62" s="172" t="s">
        <v>3480</v>
      </c>
      <c r="E62" s="171">
        <v>0</v>
      </c>
      <c r="F62" s="171">
        <v>0</v>
      </c>
      <c r="G62" s="216">
        <f t="shared" si="14"/>
        <v>0</v>
      </c>
      <c r="H62" s="217">
        <v>0</v>
      </c>
      <c r="I62" s="217">
        <v>0</v>
      </c>
      <c r="J62" s="217">
        <v>0</v>
      </c>
      <c r="K62" s="217">
        <v>-1326.63</v>
      </c>
      <c r="L62" s="217">
        <f t="shared" si="15"/>
        <v>-1326.63</v>
      </c>
      <c r="M62" s="217">
        <v>0</v>
      </c>
      <c r="N62" s="217">
        <v>0</v>
      </c>
      <c r="O62" s="217">
        <v>0</v>
      </c>
      <c r="P62" s="217">
        <f t="shared" si="16"/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f t="shared" si="17"/>
        <v>0</v>
      </c>
      <c r="V62" s="216">
        <f t="shared" si="18"/>
        <v>-1326.63</v>
      </c>
      <c r="W62" s="171">
        <v>0</v>
      </c>
      <c r="X62" s="171">
        <f t="shared" si="19"/>
        <v>-1326.63</v>
      </c>
      <c r="Y62" s="172">
        <v>0</v>
      </c>
      <c r="Z62" s="171">
        <f t="shared" si="20"/>
        <v>-1326.63</v>
      </c>
    </row>
    <row r="63" spans="1:26" ht="12.75" hidden="1" outlineLevel="1">
      <c r="A63" s="171" t="s">
        <v>890</v>
      </c>
      <c r="C63" s="172" t="s">
        <v>891</v>
      </c>
      <c r="D63" s="172" t="s">
        <v>892</v>
      </c>
      <c r="E63" s="171">
        <v>0</v>
      </c>
      <c r="F63" s="171">
        <v>0</v>
      </c>
      <c r="G63" s="216">
        <f t="shared" si="14"/>
        <v>0</v>
      </c>
      <c r="H63" s="217">
        <v>0</v>
      </c>
      <c r="I63" s="217">
        <v>0</v>
      </c>
      <c r="J63" s="217">
        <v>0</v>
      </c>
      <c r="K63" s="217">
        <v>-1826.15</v>
      </c>
      <c r="L63" s="217">
        <f t="shared" si="15"/>
        <v>-1826.15</v>
      </c>
      <c r="M63" s="217">
        <v>0</v>
      </c>
      <c r="N63" s="217">
        <v>0</v>
      </c>
      <c r="O63" s="217">
        <v>0</v>
      </c>
      <c r="P63" s="217">
        <f t="shared" si="16"/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f t="shared" si="17"/>
        <v>0</v>
      </c>
      <c r="V63" s="216">
        <f t="shared" si="18"/>
        <v>-1826.15</v>
      </c>
      <c r="W63" s="171">
        <v>0</v>
      </c>
      <c r="X63" s="171">
        <f t="shared" si="19"/>
        <v>-1826.15</v>
      </c>
      <c r="Y63" s="172">
        <v>0</v>
      </c>
      <c r="Z63" s="171">
        <f t="shared" si="20"/>
        <v>-1826.15</v>
      </c>
    </row>
    <row r="64" spans="1:26" ht="12.75" hidden="1" outlineLevel="1">
      <c r="A64" s="171" t="s">
        <v>3481</v>
      </c>
      <c r="C64" s="172" t="s">
        <v>893</v>
      </c>
      <c r="D64" s="172" t="s">
        <v>3482</v>
      </c>
      <c r="E64" s="171">
        <v>0</v>
      </c>
      <c r="F64" s="171">
        <v>0</v>
      </c>
      <c r="G64" s="216">
        <f t="shared" si="14"/>
        <v>0</v>
      </c>
      <c r="H64" s="217">
        <v>0</v>
      </c>
      <c r="I64" s="217">
        <v>69.89</v>
      </c>
      <c r="J64" s="217">
        <v>0</v>
      </c>
      <c r="K64" s="217">
        <v>-4808.06</v>
      </c>
      <c r="L64" s="217">
        <f t="shared" si="15"/>
        <v>-4738.17</v>
      </c>
      <c r="M64" s="217">
        <v>0</v>
      </c>
      <c r="N64" s="217">
        <v>0</v>
      </c>
      <c r="O64" s="217">
        <v>0</v>
      </c>
      <c r="P64" s="217">
        <f t="shared" si="16"/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f t="shared" si="17"/>
        <v>0</v>
      </c>
      <c r="V64" s="216">
        <f t="shared" si="18"/>
        <v>-4738.17</v>
      </c>
      <c r="W64" s="171">
        <v>0</v>
      </c>
      <c r="X64" s="171">
        <f t="shared" si="19"/>
        <v>-4738.17</v>
      </c>
      <c r="Y64" s="172">
        <v>0</v>
      </c>
      <c r="Z64" s="171">
        <f t="shared" si="20"/>
        <v>-4738.17</v>
      </c>
    </row>
    <row r="65" spans="1:27" ht="12.75" collapsed="1">
      <c r="A65" s="208" t="s">
        <v>3483</v>
      </c>
      <c r="B65" s="209"/>
      <c r="C65" s="208" t="s">
        <v>2945</v>
      </c>
      <c r="D65" s="210"/>
      <c r="E65" s="185">
        <v>0</v>
      </c>
      <c r="F65" s="185">
        <v>0</v>
      </c>
      <c r="G65" s="101">
        <f t="shared" si="14"/>
        <v>0</v>
      </c>
      <c r="H65" s="101">
        <v>0</v>
      </c>
      <c r="I65" s="101">
        <v>11686.84</v>
      </c>
      <c r="J65" s="101">
        <v>0</v>
      </c>
      <c r="K65" s="101">
        <v>272532.59</v>
      </c>
      <c r="L65" s="101">
        <f t="shared" si="15"/>
        <v>284219.43000000005</v>
      </c>
      <c r="M65" s="101">
        <v>0</v>
      </c>
      <c r="N65" s="101">
        <v>0</v>
      </c>
      <c r="O65" s="101">
        <v>0</v>
      </c>
      <c r="P65" s="101">
        <f t="shared" si="16"/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f t="shared" si="17"/>
        <v>0</v>
      </c>
      <c r="V65" s="101">
        <f t="shared" si="18"/>
        <v>284219.43000000005</v>
      </c>
      <c r="W65" s="185">
        <v>0</v>
      </c>
      <c r="X65" s="185">
        <f t="shared" si="19"/>
        <v>284219.43000000005</v>
      </c>
      <c r="Y65" s="185">
        <v>0</v>
      </c>
      <c r="Z65" s="185">
        <f t="shared" si="20"/>
        <v>284219.43000000005</v>
      </c>
      <c r="AA65" s="208"/>
    </row>
    <row r="66" spans="1:26" ht="12.75" hidden="1" outlineLevel="1">
      <c r="A66" s="171" t="s">
        <v>3484</v>
      </c>
      <c r="C66" s="172" t="s">
        <v>3485</v>
      </c>
      <c r="D66" s="172" t="s">
        <v>3486</v>
      </c>
      <c r="E66" s="171">
        <v>0</v>
      </c>
      <c r="F66" s="171">
        <v>0</v>
      </c>
      <c r="G66" s="216">
        <f t="shared" si="14"/>
        <v>0</v>
      </c>
      <c r="H66" s="217">
        <v>454608.52</v>
      </c>
      <c r="I66" s="217">
        <v>0</v>
      </c>
      <c r="J66" s="217">
        <v>0</v>
      </c>
      <c r="K66" s="217">
        <v>0</v>
      </c>
      <c r="L66" s="217">
        <f t="shared" si="15"/>
        <v>0</v>
      </c>
      <c r="M66" s="217">
        <v>0</v>
      </c>
      <c r="N66" s="217">
        <v>0</v>
      </c>
      <c r="O66" s="217">
        <v>0</v>
      </c>
      <c r="P66" s="217">
        <f t="shared" si="16"/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f t="shared" si="17"/>
        <v>0</v>
      </c>
      <c r="V66" s="216">
        <f t="shared" si="18"/>
        <v>454608.52</v>
      </c>
      <c r="W66" s="171">
        <v>0</v>
      </c>
      <c r="X66" s="171">
        <f t="shared" si="19"/>
        <v>454608.52</v>
      </c>
      <c r="Y66" s="172">
        <v>427981.08</v>
      </c>
      <c r="Z66" s="171">
        <f t="shared" si="20"/>
        <v>882589.6000000001</v>
      </c>
    </row>
    <row r="67" spans="1:26" ht="12.75" hidden="1" outlineLevel="1">
      <c r="A67" s="171" t="s">
        <v>3487</v>
      </c>
      <c r="C67" s="172" t="s">
        <v>3488</v>
      </c>
      <c r="D67" s="172" t="s">
        <v>3489</v>
      </c>
      <c r="E67" s="171">
        <v>0</v>
      </c>
      <c r="F67" s="171">
        <v>0</v>
      </c>
      <c r="G67" s="216">
        <f t="shared" si="14"/>
        <v>0</v>
      </c>
      <c r="H67" s="217">
        <v>453.02</v>
      </c>
      <c r="I67" s="217">
        <v>0</v>
      </c>
      <c r="J67" s="217">
        <v>0</v>
      </c>
      <c r="K67" s="217">
        <v>0</v>
      </c>
      <c r="L67" s="217">
        <f t="shared" si="15"/>
        <v>0</v>
      </c>
      <c r="M67" s="217">
        <v>0</v>
      </c>
      <c r="N67" s="217">
        <v>0</v>
      </c>
      <c r="O67" s="217">
        <v>0</v>
      </c>
      <c r="P67" s="217">
        <f t="shared" si="16"/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f t="shared" si="17"/>
        <v>0</v>
      </c>
      <c r="V67" s="216">
        <f t="shared" si="18"/>
        <v>453.02</v>
      </c>
      <c r="W67" s="171">
        <v>0</v>
      </c>
      <c r="X67" s="171">
        <f t="shared" si="19"/>
        <v>453.02</v>
      </c>
      <c r="Y67" s="172">
        <v>0</v>
      </c>
      <c r="Z67" s="171">
        <f t="shared" si="20"/>
        <v>453.02</v>
      </c>
    </row>
    <row r="68" spans="1:26" ht="12.75" hidden="1" outlineLevel="1">
      <c r="A68" s="171" t="s">
        <v>894</v>
      </c>
      <c r="C68" s="172" t="s">
        <v>895</v>
      </c>
      <c r="D68" s="172" t="s">
        <v>896</v>
      </c>
      <c r="E68" s="171">
        <v>0</v>
      </c>
      <c r="F68" s="171">
        <v>0</v>
      </c>
      <c r="G68" s="216">
        <f t="shared" si="14"/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f t="shared" si="15"/>
        <v>0</v>
      </c>
      <c r="M68" s="217">
        <v>0</v>
      </c>
      <c r="N68" s="217">
        <v>0</v>
      </c>
      <c r="O68" s="217">
        <v>0</v>
      </c>
      <c r="P68" s="217">
        <f t="shared" si="16"/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f t="shared" si="17"/>
        <v>0</v>
      </c>
      <c r="V68" s="216">
        <f t="shared" si="18"/>
        <v>0</v>
      </c>
      <c r="W68" s="171">
        <v>0</v>
      </c>
      <c r="X68" s="171">
        <f t="shared" si="19"/>
        <v>0</v>
      </c>
      <c r="Y68" s="172">
        <v>-0.01</v>
      </c>
      <c r="Z68" s="171">
        <f t="shared" si="20"/>
        <v>-0.01</v>
      </c>
    </row>
    <row r="69" spans="1:26" ht="12.75" hidden="1" outlineLevel="1">
      <c r="A69" s="171" t="s">
        <v>3490</v>
      </c>
      <c r="C69" s="172" t="s">
        <v>3491</v>
      </c>
      <c r="D69" s="172" t="s">
        <v>3492</v>
      </c>
      <c r="E69" s="171">
        <v>0</v>
      </c>
      <c r="F69" s="171">
        <v>0</v>
      </c>
      <c r="G69" s="216">
        <f t="shared" si="14"/>
        <v>0</v>
      </c>
      <c r="H69" s="217">
        <v>2124933.79</v>
      </c>
      <c r="I69" s="217">
        <v>0</v>
      </c>
      <c r="J69" s="217">
        <v>0</v>
      </c>
      <c r="K69" s="217">
        <v>0</v>
      </c>
      <c r="L69" s="217">
        <f t="shared" si="15"/>
        <v>0</v>
      </c>
      <c r="M69" s="217">
        <v>0</v>
      </c>
      <c r="N69" s="217">
        <v>320</v>
      </c>
      <c r="O69" s="217">
        <v>12550</v>
      </c>
      <c r="P69" s="217">
        <f t="shared" si="16"/>
        <v>12870</v>
      </c>
      <c r="Q69" s="216">
        <v>0</v>
      </c>
      <c r="R69" s="216">
        <v>0</v>
      </c>
      <c r="S69" s="216">
        <v>0</v>
      </c>
      <c r="T69" s="216">
        <v>0</v>
      </c>
      <c r="U69" s="216">
        <f t="shared" si="17"/>
        <v>0</v>
      </c>
      <c r="V69" s="216">
        <f t="shared" si="18"/>
        <v>2137803.79</v>
      </c>
      <c r="W69" s="171">
        <v>0</v>
      </c>
      <c r="X69" s="171">
        <f t="shared" si="19"/>
        <v>2137803.79</v>
      </c>
      <c r="Y69" s="172">
        <v>83534006.47</v>
      </c>
      <c r="Z69" s="171">
        <f t="shared" si="20"/>
        <v>85671810.26</v>
      </c>
    </row>
    <row r="70" spans="1:26" ht="12.75" hidden="1" outlineLevel="1">
      <c r="A70" s="171" t="s">
        <v>3493</v>
      </c>
      <c r="C70" s="172" t="s">
        <v>3494</v>
      </c>
      <c r="D70" s="172" t="s">
        <v>3495</v>
      </c>
      <c r="E70" s="171">
        <v>0</v>
      </c>
      <c r="F70" s="171">
        <v>0</v>
      </c>
      <c r="G70" s="216">
        <f t="shared" si="14"/>
        <v>0</v>
      </c>
      <c r="H70" s="217">
        <v>0</v>
      </c>
      <c r="I70" s="217">
        <v>0</v>
      </c>
      <c r="J70" s="217">
        <v>0</v>
      </c>
      <c r="K70" s="217">
        <v>0</v>
      </c>
      <c r="L70" s="217">
        <f t="shared" si="15"/>
        <v>0</v>
      </c>
      <c r="M70" s="217">
        <v>0</v>
      </c>
      <c r="N70" s="217">
        <v>0</v>
      </c>
      <c r="O70" s="217">
        <v>0</v>
      </c>
      <c r="P70" s="217">
        <f t="shared" si="16"/>
        <v>0</v>
      </c>
      <c r="Q70" s="216">
        <v>0</v>
      </c>
      <c r="R70" s="216">
        <v>0</v>
      </c>
      <c r="S70" s="216">
        <v>0</v>
      </c>
      <c r="T70" s="216">
        <v>0</v>
      </c>
      <c r="U70" s="216">
        <f t="shared" si="17"/>
        <v>0</v>
      </c>
      <c r="V70" s="216">
        <f t="shared" si="18"/>
        <v>0</v>
      </c>
      <c r="W70" s="171">
        <v>0</v>
      </c>
      <c r="X70" s="171">
        <f t="shared" si="19"/>
        <v>0</v>
      </c>
      <c r="Y70" s="172">
        <v>1277.25</v>
      </c>
      <c r="Z70" s="171">
        <f t="shared" si="20"/>
        <v>1277.25</v>
      </c>
    </row>
    <row r="71" spans="1:26" ht="12.75" hidden="1" outlineLevel="1">
      <c r="A71" s="171" t="s">
        <v>3496</v>
      </c>
      <c r="C71" s="172" t="s">
        <v>3497</v>
      </c>
      <c r="D71" s="172" t="s">
        <v>3498</v>
      </c>
      <c r="E71" s="171">
        <v>0</v>
      </c>
      <c r="F71" s="171">
        <v>0</v>
      </c>
      <c r="G71" s="216">
        <f t="shared" si="14"/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f t="shared" si="15"/>
        <v>0</v>
      </c>
      <c r="M71" s="217">
        <v>0</v>
      </c>
      <c r="N71" s="217">
        <v>0</v>
      </c>
      <c r="O71" s="217">
        <v>0</v>
      </c>
      <c r="P71" s="217">
        <f t="shared" si="16"/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f t="shared" si="17"/>
        <v>0</v>
      </c>
      <c r="V71" s="216">
        <f t="shared" si="18"/>
        <v>0</v>
      </c>
      <c r="W71" s="171">
        <v>0</v>
      </c>
      <c r="X71" s="171">
        <f t="shared" si="19"/>
        <v>0</v>
      </c>
      <c r="Y71" s="172">
        <v>621137.77</v>
      </c>
      <c r="Z71" s="171">
        <f t="shared" si="20"/>
        <v>621137.77</v>
      </c>
    </row>
    <row r="72" spans="1:26" ht="12.75" hidden="1" outlineLevel="1">
      <c r="A72" s="171" t="s">
        <v>3502</v>
      </c>
      <c r="C72" s="172" t="s">
        <v>3503</v>
      </c>
      <c r="D72" s="172" t="s">
        <v>3504</v>
      </c>
      <c r="E72" s="171">
        <v>0</v>
      </c>
      <c r="F72" s="171">
        <v>0</v>
      </c>
      <c r="G72" s="216">
        <f t="shared" si="14"/>
        <v>0</v>
      </c>
      <c r="H72" s="217">
        <v>-4457069.7</v>
      </c>
      <c r="I72" s="217">
        <v>0</v>
      </c>
      <c r="J72" s="217">
        <v>0</v>
      </c>
      <c r="K72" s="217">
        <v>0</v>
      </c>
      <c r="L72" s="217">
        <f t="shared" si="15"/>
        <v>0</v>
      </c>
      <c r="M72" s="217">
        <v>0</v>
      </c>
      <c r="N72" s="217">
        <v>0</v>
      </c>
      <c r="O72" s="217">
        <v>0</v>
      </c>
      <c r="P72" s="217">
        <f t="shared" si="16"/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f t="shared" si="17"/>
        <v>0</v>
      </c>
      <c r="V72" s="216">
        <f t="shared" si="18"/>
        <v>-4457069.7</v>
      </c>
      <c r="W72" s="171">
        <v>0</v>
      </c>
      <c r="X72" s="171">
        <f t="shared" si="19"/>
        <v>-4457069.7</v>
      </c>
      <c r="Y72" s="172">
        <v>0</v>
      </c>
      <c r="Z72" s="171">
        <f t="shared" si="20"/>
        <v>-4457069.7</v>
      </c>
    </row>
    <row r="73" spans="1:26" ht="12.75" hidden="1" outlineLevel="1">
      <c r="A73" s="171" t="s">
        <v>3505</v>
      </c>
      <c r="C73" s="172" t="s">
        <v>3506</v>
      </c>
      <c r="D73" s="172" t="s">
        <v>3507</v>
      </c>
      <c r="E73" s="171">
        <v>0</v>
      </c>
      <c r="F73" s="171">
        <v>0</v>
      </c>
      <c r="G73" s="216">
        <f t="shared" si="14"/>
        <v>0</v>
      </c>
      <c r="H73" s="217">
        <v>-20643.57</v>
      </c>
      <c r="I73" s="217">
        <v>0</v>
      </c>
      <c r="J73" s="217">
        <v>0</v>
      </c>
      <c r="K73" s="217">
        <v>0</v>
      </c>
      <c r="L73" s="217">
        <f t="shared" si="15"/>
        <v>0</v>
      </c>
      <c r="M73" s="217">
        <v>0</v>
      </c>
      <c r="N73" s="217">
        <v>0</v>
      </c>
      <c r="O73" s="217">
        <v>0</v>
      </c>
      <c r="P73" s="217">
        <f t="shared" si="16"/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f t="shared" si="17"/>
        <v>0</v>
      </c>
      <c r="V73" s="216">
        <f t="shared" si="18"/>
        <v>-20643.57</v>
      </c>
      <c r="W73" s="171">
        <v>0</v>
      </c>
      <c r="X73" s="171">
        <f t="shared" si="19"/>
        <v>-20643.57</v>
      </c>
      <c r="Y73" s="172">
        <v>0</v>
      </c>
      <c r="Z73" s="171">
        <f t="shared" si="20"/>
        <v>-20643.57</v>
      </c>
    </row>
    <row r="74" spans="1:27" ht="12.75" collapsed="1">
      <c r="A74" s="208" t="s">
        <v>3508</v>
      </c>
      <c r="B74" s="209"/>
      <c r="C74" s="208" t="s">
        <v>2946</v>
      </c>
      <c r="D74" s="210"/>
      <c r="E74" s="185">
        <v>0</v>
      </c>
      <c r="F74" s="185">
        <v>9845928.58</v>
      </c>
      <c r="G74" s="101">
        <f t="shared" si="14"/>
        <v>9845928.58</v>
      </c>
      <c r="H74" s="101">
        <v>-1897717.94</v>
      </c>
      <c r="I74" s="101">
        <v>0</v>
      </c>
      <c r="J74" s="101">
        <v>0</v>
      </c>
      <c r="K74" s="101">
        <v>0</v>
      </c>
      <c r="L74" s="101">
        <f t="shared" si="15"/>
        <v>0</v>
      </c>
      <c r="M74" s="101">
        <v>0</v>
      </c>
      <c r="N74" s="101">
        <v>320</v>
      </c>
      <c r="O74" s="101">
        <v>12550</v>
      </c>
      <c r="P74" s="101">
        <f t="shared" si="16"/>
        <v>12870</v>
      </c>
      <c r="Q74" s="101">
        <v>0</v>
      </c>
      <c r="R74" s="101">
        <v>0</v>
      </c>
      <c r="S74" s="101">
        <v>0</v>
      </c>
      <c r="T74" s="101">
        <v>0</v>
      </c>
      <c r="U74" s="101">
        <f t="shared" si="17"/>
        <v>0</v>
      </c>
      <c r="V74" s="101">
        <f t="shared" si="18"/>
        <v>7961080.640000001</v>
      </c>
      <c r="W74" s="185">
        <v>0</v>
      </c>
      <c r="X74" s="185">
        <f t="shared" si="19"/>
        <v>7961080.640000001</v>
      </c>
      <c r="Y74" s="185">
        <v>84584402.55999999</v>
      </c>
      <c r="Z74" s="185">
        <f t="shared" si="20"/>
        <v>92545483.19999999</v>
      </c>
      <c r="AA74" s="208"/>
    </row>
    <row r="75" spans="1:27" ht="15.75">
      <c r="A75" s="218"/>
      <c r="B75" s="214"/>
      <c r="C75" s="207" t="s">
        <v>2947</v>
      </c>
      <c r="D75" s="62"/>
      <c r="E75" s="151">
        <f aca="true" t="shared" si="21" ref="E75:T75">+E27+E29+E30+E31+E35+E37+E38+E39+E40+E41+E65+E74</f>
        <v>0</v>
      </c>
      <c r="F75" s="151">
        <f t="shared" si="21"/>
        <v>139803909.32</v>
      </c>
      <c r="G75" s="103">
        <f t="shared" si="21"/>
        <v>139803909.32</v>
      </c>
      <c r="H75" s="103">
        <f t="shared" si="21"/>
        <v>31410061.06</v>
      </c>
      <c r="I75" s="103">
        <f t="shared" si="21"/>
        <v>11686.84</v>
      </c>
      <c r="J75" s="103">
        <f t="shared" si="21"/>
        <v>0</v>
      </c>
      <c r="K75" s="103">
        <f t="shared" si="21"/>
        <v>345531.59</v>
      </c>
      <c r="L75" s="103">
        <f t="shared" si="21"/>
        <v>357218.43000000005</v>
      </c>
      <c r="M75" s="103">
        <f t="shared" si="21"/>
        <v>0</v>
      </c>
      <c r="N75" s="103">
        <f t="shared" si="21"/>
        <v>320</v>
      </c>
      <c r="O75" s="103">
        <f t="shared" si="21"/>
        <v>12550</v>
      </c>
      <c r="P75" s="103">
        <f t="shared" si="21"/>
        <v>12870</v>
      </c>
      <c r="Q75" s="103">
        <f t="shared" si="21"/>
        <v>0</v>
      </c>
      <c r="R75" s="103">
        <f t="shared" si="21"/>
        <v>0</v>
      </c>
      <c r="S75" s="103">
        <f t="shared" si="21"/>
        <v>0</v>
      </c>
      <c r="T75" s="103">
        <f t="shared" si="21"/>
        <v>0</v>
      </c>
      <c r="U75" s="103">
        <f>+U27+U35+U37+U38+U39+U40+U41+U65+U74</f>
        <v>0</v>
      </c>
      <c r="V75" s="103">
        <f>+V27+V29+V30+V31+V35+V37+V38+V39+V40+V41+V65+V74</f>
        <v>171584058.81</v>
      </c>
      <c r="W75" s="151">
        <f>+W27+W29+W30+W31+W35+W37+W38+W39+W40+W41+W65+W74</f>
        <v>0</v>
      </c>
      <c r="X75" s="151">
        <f>+X27+X29+X30+X31+X35+X37+X38+X39+X40+X41+X65+X74</f>
        <v>171584058.81</v>
      </c>
      <c r="Y75" s="151">
        <f>+Y27+Y29+Y30+Y31+Y35+Y37+Y38+Y39+Y40+Y41+Y65+Y74</f>
        <v>5034681.969999984</v>
      </c>
      <c r="Z75" s="151">
        <f>+Z27+Z29+Z30+Z31+Z35+Z37+Z38+Z39+Z40+Z41+Z65+Z74</f>
        <v>176618740.78</v>
      </c>
      <c r="AA75" s="206"/>
    </row>
    <row r="76" spans="2:26" ht="12.75">
      <c r="B76" s="209"/>
      <c r="C76" s="208"/>
      <c r="D76" s="210"/>
      <c r="E76" s="185"/>
      <c r="F76" s="185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85"/>
      <c r="X76" s="185"/>
      <c r="Y76" s="185"/>
      <c r="Z76" s="185"/>
    </row>
    <row r="77" spans="1:27" ht="15">
      <c r="A77" s="206"/>
      <c r="B77" s="214" t="s">
        <v>2948</v>
      </c>
      <c r="C77" s="215"/>
      <c r="D77" s="72"/>
      <c r="E77" s="185"/>
      <c r="F77" s="185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85"/>
      <c r="X77" s="185"/>
      <c r="Y77" s="185"/>
      <c r="Z77" s="185"/>
      <c r="AA77" s="206"/>
    </row>
    <row r="78" spans="1:26" ht="12.75" hidden="1" outlineLevel="1">
      <c r="A78" s="171" t="s">
        <v>3509</v>
      </c>
      <c r="C78" s="172" t="s">
        <v>3510</v>
      </c>
      <c r="D78" s="172" t="s">
        <v>3511</v>
      </c>
      <c r="E78" s="171">
        <v>0</v>
      </c>
      <c r="F78" s="171">
        <v>31419045.3</v>
      </c>
      <c r="G78" s="216">
        <f aca="true" t="shared" si="22" ref="G78:G141">E78+F78</f>
        <v>31419045.3</v>
      </c>
      <c r="H78" s="217">
        <v>3891709.41</v>
      </c>
      <c r="I78" s="217">
        <v>0</v>
      </c>
      <c r="J78" s="217">
        <v>0</v>
      </c>
      <c r="K78" s="217">
        <v>0</v>
      </c>
      <c r="L78" s="217">
        <f aca="true" t="shared" si="23" ref="L78:L141">J78+I78+K78</f>
        <v>0</v>
      </c>
      <c r="M78" s="217">
        <v>0</v>
      </c>
      <c r="N78" s="217">
        <v>0</v>
      </c>
      <c r="O78" s="217">
        <v>0</v>
      </c>
      <c r="P78" s="217">
        <f aca="true" t="shared" si="24" ref="P78:P141">M78+N78+O78</f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f aca="true" t="shared" si="25" ref="U78:U141">Q78+R78+S78+T78</f>
        <v>0</v>
      </c>
      <c r="V78" s="216">
        <f aca="true" t="shared" si="26" ref="V78:V141">G78+H78+L78+P78+U78</f>
        <v>35310754.71</v>
      </c>
      <c r="W78" s="171">
        <v>0</v>
      </c>
      <c r="X78" s="171">
        <f aca="true" t="shared" si="27" ref="X78:X141">V78+W78</f>
        <v>35310754.71</v>
      </c>
      <c r="Y78" s="172">
        <v>12800</v>
      </c>
      <c r="Z78" s="171">
        <f aca="true" t="shared" si="28" ref="Z78:Z141">X78+Y78</f>
        <v>35323554.71</v>
      </c>
    </row>
    <row r="79" spans="1:26" ht="12.75" hidden="1" outlineLevel="1">
      <c r="A79" s="171" t="s">
        <v>3512</v>
      </c>
      <c r="C79" s="172" t="s">
        <v>3513</v>
      </c>
      <c r="D79" s="172" t="s">
        <v>3514</v>
      </c>
      <c r="E79" s="171">
        <v>0</v>
      </c>
      <c r="F79" s="171">
        <v>6688176.26</v>
      </c>
      <c r="G79" s="216">
        <f t="shared" si="22"/>
        <v>6688176.26</v>
      </c>
      <c r="H79" s="217">
        <v>1056267.61</v>
      </c>
      <c r="I79" s="217">
        <v>0</v>
      </c>
      <c r="J79" s="217">
        <v>0</v>
      </c>
      <c r="K79" s="217">
        <v>0</v>
      </c>
      <c r="L79" s="217">
        <f t="shared" si="23"/>
        <v>0</v>
      </c>
      <c r="M79" s="217">
        <v>0</v>
      </c>
      <c r="N79" s="217">
        <v>0</v>
      </c>
      <c r="O79" s="217">
        <v>0</v>
      </c>
      <c r="P79" s="217">
        <f t="shared" si="24"/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f t="shared" si="25"/>
        <v>0</v>
      </c>
      <c r="V79" s="216">
        <f t="shared" si="26"/>
        <v>7744443.87</v>
      </c>
      <c r="W79" s="171">
        <v>0</v>
      </c>
      <c r="X79" s="171">
        <f t="shared" si="27"/>
        <v>7744443.87</v>
      </c>
      <c r="Y79" s="172">
        <v>0</v>
      </c>
      <c r="Z79" s="171">
        <f t="shared" si="28"/>
        <v>7744443.87</v>
      </c>
    </row>
    <row r="80" spans="1:26" ht="12.75" hidden="1" outlineLevel="1">
      <c r="A80" s="171" t="s">
        <v>3515</v>
      </c>
      <c r="C80" s="172" t="s">
        <v>3516</v>
      </c>
      <c r="D80" s="172" t="s">
        <v>3517</v>
      </c>
      <c r="E80" s="171">
        <v>0</v>
      </c>
      <c r="F80" s="171">
        <v>25762831.36</v>
      </c>
      <c r="G80" s="216">
        <f t="shared" si="22"/>
        <v>25762831.36</v>
      </c>
      <c r="H80" s="217">
        <v>6440853.78</v>
      </c>
      <c r="I80" s="217">
        <v>0</v>
      </c>
      <c r="J80" s="217">
        <v>0</v>
      </c>
      <c r="K80" s="217">
        <v>0</v>
      </c>
      <c r="L80" s="217">
        <f t="shared" si="23"/>
        <v>0</v>
      </c>
      <c r="M80" s="217">
        <v>0</v>
      </c>
      <c r="N80" s="217">
        <v>0</v>
      </c>
      <c r="O80" s="217">
        <v>0</v>
      </c>
      <c r="P80" s="217">
        <f t="shared" si="24"/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f t="shared" si="25"/>
        <v>0</v>
      </c>
      <c r="V80" s="216">
        <f t="shared" si="26"/>
        <v>32203685.14</v>
      </c>
      <c r="W80" s="171">
        <v>0</v>
      </c>
      <c r="X80" s="171">
        <f t="shared" si="27"/>
        <v>32203685.14</v>
      </c>
      <c r="Y80" s="172">
        <v>150</v>
      </c>
      <c r="Z80" s="171">
        <f t="shared" si="28"/>
        <v>32203835.14</v>
      </c>
    </row>
    <row r="81" spans="1:26" ht="12.75" hidden="1" outlineLevel="1">
      <c r="A81" s="171" t="s">
        <v>3518</v>
      </c>
      <c r="C81" s="172" t="s">
        <v>3519</v>
      </c>
      <c r="D81" s="172" t="s">
        <v>3520</v>
      </c>
      <c r="E81" s="171">
        <v>0</v>
      </c>
      <c r="F81" s="171">
        <v>3384791.84</v>
      </c>
      <c r="G81" s="216">
        <f t="shared" si="22"/>
        <v>3384791.84</v>
      </c>
      <c r="H81" s="217">
        <v>1676108.15</v>
      </c>
      <c r="I81" s="217">
        <v>0</v>
      </c>
      <c r="J81" s="217">
        <v>0</v>
      </c>
      <c r="K81" s="217">
        <v>0</v>
      </c>
      <c r="L81" s="217">
        <f t="shared" si="23"/>
        <v>0</v>
      </c>
      <c r="M81" s="217">
        <v>0</v>
      </c>
      <c r="N81" s="217">
        <v>0</v>
      </c>
      <c r="O81" s="217">
        <v>0</v>
      </c>
      <c r="P81" s="217">
        <f t="shared" si="24"/>
        <v>0</v>
      </c>
      <c r="Q81" s="216">
        <v>0</v>
      </c>
      <c r="R81" s="216">
        <v>0</v>
      </c>
      <c r="S81" s="216">
        <v>0</v>
      </c>
      <c r="T81" s="216">
        <v>0</v>
      </c>
      <c r="U81" s="216">
        <f t="shared" si="25"/>
        <v>0</v>
      </c>
      <c r="V81" s="216">
        <f t="shared" si="26"/>
        <v>5060899.99</v>
      </c>
      <c r="W81" s="171">
        <v>0</v>
      </c>
      <c r="X81" s="171">
        <f t="shared" si="27"/>
        <v>5060899.99</v>
      </c>
      <c r="Y81" s="172">
        <v>1000</v>
      </c>
      <c r="Z81" s="171">
        <f t="shared" si="28"/>
        <v>5061899.99</v>
      </c>
    </row>
    <row r="82" spans="1:26" ht="12.75" hidden="1" outlineLevel="1">
      <c r="A82" s="171" t="s">
        <v>3521</v>
      </c>
      <c r="C82" s="172" t="s">
        <v>3522</v>
      </c>
      <c r="D82" s="172" t="s">
        <v>3523</v>
      </c>
      <c r="E82" s="171">
        <v>0</v>
      </c>
      <c r="F82" s="171">
        <v>31188.33</v>
      </c>
      <c r="G82" s="216">
        <f t="shared" si="22"/>
        <v>31188.33</v>
      </c>
      <c r="H82" s="217">
        <v>0</v>
      </c>
      <c r="I82" s="217">
        <v>0</v>
      </c>
      <c r="J82" s="217">
        <v>0</v>
      </c>
      <c r="K82" s="217">
        <v>0</v>
      </c>
      <c r="L82" s="217">
        <f t="shared" si="23"/>
        <v>0</v>
      </c>
      <c r="M82" s="217">
        <v>0</v>
      </c>
      <c r="N82" s="217">
        <v>0</v>
      </c>
      <c r="O82" s="217">
        <v>0</v>
      </c>
      <c r="P82" s="217">
        <f t="shared" si="24"/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f t="shared" si="25"/>
        <v>0</v>
      </c>
      <c r="V82" s="216">
        <f t="shared" si="26"/>
        <v>31188.33</v>
      </c>
      <c r="W82" s="171">
        <v>0</v>
      </c>
      <c r="X82" s="171">
        <f t="shared" si="27"/>
        <v>31188.33</v>
      </c>
      <c r="Y82" s="172">
        <v>0</v>
      </c>
      <c r="Z82" s="171">
        <f t="shared" si="28"/>
        <v>31188.33</v>
      </c>
    </row>
    <row r="83" spans="1:26" ht="12.75" hidden="1" outlineLevel="1">
      <c r="A83" s="171" t="s">
        <v>3524</v>
      </c>
      <c r="C83" s="172" t="s">
        <v>3525</v>
      </c>
      <c r="D83" s="172" t="s">
        <v>3526</v>
      </c>
      <c r="E83" s="171">
        <v>0</v>
      </c>
      <c r="F83" s="171">
        <v>16357511.22</v>
      </c>
      <c r="G83" s="216">
        <f t="shared" si="22"/>
        <v>16357511.22</v>
      </c>
      <c r="H83" s="217">
        <v>1742555.66</v>
      </c>
      <c r="I83" s="217">
        <v>0</v>
      </c>
      <c r="J83" s="217">
        <v>0</v>
      </c>
      <c r="K83" s="217">
        <v>0</v>
      </c>
      <c r="L83" s="217">
        <f t="shared" si="23"/>
        <v>0</v>
      </c>
      <c r="M83" s="217">
        <v>0</v>
      </c>
      <c r="N83" s="217">
        <v>0</v>
      </c>
      <c r="O83" s="217">
        <v>0</v>
      </c>
      <c r="P83" s="217">
        <f t="shared" si="24"/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f t="shared" si="25"/>
        <v>0</v>
      </c>
      <c r="V83" s="216">
        <f t="shared" si="26"/>
        <v>18100066.88</v>
      </c>
      <c r="W83" s="171">
        <v>0</v>
      </c>
      <c r="X83" s="171">
        <f t="shared" si="27"/>
        <v>18100066.88</v>
      </c>
      <c r="Y83" s="172">
        <v>0</v>
      </c>
      <c r="Z83" s="171">
        <f t="shared" si="28"/>
        <v>18100066.88</v>
      </c>
    </row>
    <row r="84" spans="1:26" ht="12.75" hidden="1" outlineLevel="1">
      <c r="A84" s="171" t="s">
        <v>3527</v>
      </c>
      <c r="C84" s="172" t="s">
        <v>3528</v>
      </c>
      <c r="D84" s="172" t="s">
        <v>3529</v>
      </c>
      <c r="E84" s="171">
        <v>0</v>
      </c>
      <c r="F84" s="171">
        <v>11887719.429999998</v>
      </c>
      <c r="G84" s="216">
        <f t="shared" si="22"/>
        <v>11887719.429999998</v>
      </c>
      <c r="H84" s="217">
        <v>2005416.93</v>
      </c>
      <c r="I84" s="217">
        <v>0</v>
      </c>
      <c r="J84" s="217">
        <v>0</v>
      </c>
      <c r="K84" s="217">
        <v>0</v>
      </c>
      <c r="L84" s="217">
        <f t="shared" si="23"/>
        <v>0</v>
      </c>
      <c r="M84" s="217">
        <v>0</v>
      </c>
      <c r="N84" s="217">
        <v>0</v>
      </c>
      <c r="O84" s="217">
        <v>0</v>
      </c>
      <c r="P84" s="217">
        <f t="shared" si="24"/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f t="shared" si="25"/>
        <v>0</v>
      </c>
      <c r="V84" s="216">
        <f t="shared" si="26"/>
        <v>13893136.359999998</v>
      </c>
      <c r="W84" s="171">
        <v>0</v>
      </c>
      <c r="X84" s="171">
        <f t="shared" si="27"/>
        <v>13893136.359999998</v>
      </c>
      <c r="Y84" s="172">
        <v>5484</v>
      </c>
      <c r="Z84" s="171">
        <f t="shared" si="28"/>
        <v>13898620.359999998</v>
      </c>
    </row>
    <row r="85" spans="1:26" ht="12.75" hidden="1" outlineLevel="1">
      <c r="A85" s="171" t="s">
        <v>897</v>
      </c>
      <c r="C85" s="172" t="s">
        <v>898</v>
      </c>
      <c r="D85" s="172" t="s">
        <v>899</v>
      </c>
      <c r="E85" s="171">
        <v>0</v>
      </c>
      <c r="F85" s="171">
        <v>50</v>
      </c>
      <c r="G85" s="216">
        <f t="shared" si="22"/>
        <v>50</v>
      </c>
      <c r="H85" s="217">
        <v>0</v>
      </c>
      <c r="I85" s="217">
        <v>0</v>
      </c>
      <c r="J85" s="217">
        <v>0</v>
      </c>
      <c r="K85" s="217">
        <v>0</v>
      </c>
      <c r="L85" s="217">
        <f t="shared" si="23"/>
        <v>0</v>
      </c>
      <c r="M85" s="217">
        <v>0</v>
      </c>
      <c r="N85" s="217">
        <v>0</v>
      </c>
      <c r="O85" s="217">
        <v>0</v>
      </c>
      <c r="P85" s="217">
        <f t="shared" si="24"/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f t="shared" si="25"/>
        <v>0</v>
      </c>
      <c r="V85" s="216">
        <f t="shared" si="26"/>
        <v>50</v>
      </c>
      <c r="W85" s="171">
        <v>0</v>
      </c>
      <c r="X85" s="171">
        <f t="shared" si="27"/>
        <v>50</v>
      </c>
      <c r="Y85" s="172">
        <v>0</v>
      </c>
      <c r="Z85" s="171">
        <f t="shared" si="28"/>
        <v>50</v>
      </c>
    </row>
    <row r="86" spans="1:26" ht="12.75" hidden="1" outlineLevel="1">
      <c r="A86" s="171" t="s">
        <v>3530</v>
      </c>
      <c r="C86" s="172" t="s">
        <v>3531</v>
      </c>
      <c r="D86" s="172" t="s">
        <v>3532</v>
      </c>
      <c r="E86" s="171">
        <v>0</v>
      </c>
      <c r="F86" s="171">
        <v>3670272.63</v>
      </c>
      <c r="G86" s="216">
        <f t="shared" si="22"/>
        <v>3670272.63</v>
      </c>
      <c r="H86" s="217">
        <v>216690.61</v>
      </c>
      <c r="I86" s="217">
        <v>0</v>
      </c>
      <c r="J86" s="217">
        <v>0</v>
      </c>
      <c r="K86" s="217">
        <v>0</v>
      </c>
      <c r="L86" s="217">
        <f t="shared" si="23"/>
        <v>0</v>
      </c>
      <c r="M86" s="217">
        <v>0</v>
      </c>
      <c r="N86" s="217">
        <v>0</v>
      </c>
      <c r="O86" s="217">
        <v>0</v>
      </c>
      <c r="P86" s="217">
        <f t="shared" si="24"/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f t="shared" si="25"/>
        <v>0</v>
      </c>
      <c r="V86" s="216">
        <f t="shared" si="26"/>
        <v>3886963.2399999998</v>
      </c>
      <c r="W86" s="171">
        <v>0</v>
      </c>
      <c r="X86" s="171">
        <f t="shared" si="27"/>
        <v>3886963.2399999998</v>
      </c>
      <c r="Y86" s="172">
        <v>0</v>
      </c>
      <c r="Z86" s="171">
        <f t="shared" si="28"/>
        <v>3886963.2399999998</v>
      </c>
    </row>
    <row r="87" spans="1:26" ht="12.75" hidden="1" outlineLevel="1">
      <c r="A87" s="171" t="s">
        <v>3533</v>
      </c>
      <c r="C87" s="172" t="s">
        <v>3534</v>
      </c>
      <c r="D87" s="172" t="s">
        <v>3535</v>
      </c>
      <c r="E87" s="171">
        <v>0</v>
      </c>
      <c r="F87" s="171">
        <v>7592476.64</v>
      </c>
      <c r="G87" s="216">
        <f t="shared" si="22"/>
        <v>7592476.64</v>
      </c>
      <c r="H87" s="217">
        <v>731365.04</v>
      </c>
      <c r="I87" s="217">
        <v>0</v>
      </c>
      <c r="J87" s="217">
        <v>0</v>
      </c>
      <c r="K87" s="217">
        <v>0</v>
      </c>
      <c r="L87" s="217">
        <f t="shared" si="23"/>
        <v>0</v>
      </c>
      <c r="M87" s="217">
        <v>0</v>
      </c>
      <c r="N87" s="217">
        <v>0</v>
      </c>
      <c r="O87" s="217">
        <v>0</v>
      </c>
      <c r="P87" s="217">
        <f t="shared" si="24"/>
        <v>0</v>
      </c>
      <c r="Q87" s="216">
        <v>0</v>
      </c>
      <c r="R87" s="216">
        <v>0</v>
      </c>
      <c r="S87" s="216">
        <v>0</v>
      </c>
      <c r="T87" s="216">
        <v>0</v>
      </c>
      <c r="U87" s="216">
        <f t="shared" si="25"/>
        <v>0</v>
      </c>
      <c r="V87" s="216">
        <f t="shared" si="26"/>
        <v>8323841.68</v>
      </c>
      <c r="W87" s="171">
        <v>0</v>
      </c>
      <c r="X87" s="171">
        <f t="shared" si="27"/>
        <v>8323841.68</v>
      </c>
      <c r="Y87" s="172">
        <v>0</v>
      </c>
      <c r="Z87" s="171">
        <f t="shared" si="28"/>
        <v>8323841.68</v>
      </c>
    </row>
    <row r="88" spans="1:26" ht="12.75" hidden="1" outlineLevel="1">
      <c r="A88" s="171" t="s">
        <v>3536</v>
      </c>
      <c r="C88" s="172" t="s">
        <v>3537</v>
      </c>
      <c r="D88" s="172" t="s">
        <v>3538</v>
      </c>
      <c r="E88" s="171">
        <v>0</v>
      </c>
      <c r="F88" s="171">
        <v>3348386.74</v>
      </c>
      <c r="G88" s="216">
        <f t="shared" si="22"/>
        <v>3348386.74</v>
      </c>
      <c r="H88" s="217">
        <v>6546</v>
      </c>
      <c r="I88" s="217">
        <v>0</v>
      </c>
      <c r="J88" s="217">
        <v>0</v>
      </c>
      <c r="K88" s="217">
        <v>0</v>
      </c>
      <c r="L88" s="217">
        <f t="shared" si="23"/>
        <v>0</v>
      </c>
      <c r="M88" s="217">
        <v>0</v>
      </c>
      <c r="N88" s="217">
        <v>0</v>
      </c>
      <c r="O88" s="217">
        <v>0</v>
      </c>
      <c r="P88" s="217">
        <f t="shared" si="24"/>
        <v>0</v>
      </c>
      <c r="Q88" s="216">
        <v>0</v>
      </c>
      <c r="R88" s="216">
        <v>0</v>
      </c>
      <c r="S88" s="216">
        <v>0</v>
      </c>
      <c r="T88" s="216">
        <v>0</v>
      </c>
      <c r="U88" s="216">
        <f t="shared" si="25"/>
        <v>0</v>
      </c>
      <c r="V88" s="216">
        <f t="shared" si="26"/>
        <v>3354932.74</v>
      </c>
      <c r="W88" s="171">
        <v>0</v>
      </c>
      <c r="X88" s="171">
        <f t="shared" si="27"/>
        <v>3354932.74</v>
      </c>
      <c r="Y88" s="172">
        <v>0</v>
      </c>
      <c r="Z88" s="171">
        <f t="shared" si="28"/>
        <v>3354932.74</v>
      </c>
    </row>
    <row r="89" spans="1:26" ht="12.75" hidden="1" outlineLevel="1">
      <c r="A89" s="171" t="s">
        <v>3539</v>
      </c>
      <c r="C89" s="172" t="s">
        <v>3540</v>
      </c>
      <c r="D89" s="172" t="s">
        <v>3541</v>
      </c>
      <c r="E89" s="171">
        <v>0</v>
      </c>
      <c r="F89" s="171">
        <v>5036357.39</v>
      </c>
      <c r="G89" s="216">
        <f t="shared" si="22"/>
        <v>5036357.39</v>
      </c>
      <c r="H89" s="217">
        <v>100586.78</v>
      </c>
      <c r="I89" s="217">
        <v>0</v>
      </c>
      <c r="J89" s="217">
        <v>0</v>
      </c>
      <c r="K89" s="217">
        <v>0</v>
      </c>
      <c r="L89" s="217">
        <f t="shared" si="23"/>
        <v>0</v>
      </c>
      <c r="M89" s="217">
        <v>0</v>
      </c>
      <c r="N89" s="217">
        <v>0</v>
      </c>
      <c r="O89" s="217">
        <v>0</v>
      </c>
      <c r="P89" s="217">
        <f t="shared" si="24"/>
        <v>0</v>
      </c>
      <c r="Q89" s="216">
        <v>0</v>
      </c>
      <c r="R89" s="216">
        <v>0</v>
      </c>
      <c r="S89" s="216">
        <v>0</v>
      </c>
      <c r="T89" s="216">
        <v>0</v>
      </c>
      <c r="U89" s="216">
        <f t="shared" si="25"/>
        <v>0</v>
      </c>
      <c r="V89" s="216">
        <f t="shared" si="26"/>
        <v>5136944.17</v>
      </c>
      <c r="W89" s="171">
        <v>0</v>
      </c>
      <c r="X89" s="171">
        <f t="shared" si="27"/>
        <v>5136944.17</v>
      </c>
      <c r="Y89" s="172">
        <v>0</v>
      </c>
      <c r="Z89" s="171">
        <f t="shared" si="28"/>
        <v>5136944.17</v>
      </c>
    </row>
    <row r="90" spans="1:26" ht="12.75" hidden="1" outlineLevel="1">
      <c r="A90" s="171" t="s">
        <v>3542</v>
      </c>
      <c r="C90" s="172" t="s">
        <v>3543</v>
      </c>
      <c r="D90" s="172" t="s">
        <v>3544</v>
      </c>
      <c r="E90" s="171">
        <v>0</v>
      </c>
      <c r="F90" s="171">
        <v>1950090.44</v>
      </c>
      <c r="G90" s="216">
        <f t="shared" si="22"/>
        <v>1950090.44</v>
      </c>
      <c r="H90" s="217">
        <v>1487339.53</v>
      </c>
      <c r="I90" s="217">
        <v>0</v>
      </c>
      <c r="J90" s="217">
        <v>0</v>
      </c>
      <c r="K90" s="217">
        <v>0</v>
      </c>
      <c r="L90" s="217">
        <f t="shared" si="23"/>
        <v>0</v>
      </c>
      <c r="M90" s="217">
        <v>0</v>
      </c>
      <c r="N90" s="217">
        <v>0</v>
      </c>
      <c r="O90" s="217">
        <v>0</v>
      </c>
      <c r="P90" s="217">
        <f t="shared" si="24"/>
        <v>0</v>
      </c>
      <c r="Q90" s="216">
        <v>0</v>
      </c>
      <c r="R90" s="216">
        <v>0</v>
      </c>
      <c r="S90" s="216">
        <v>0</v>
      </c>
      <c r="T90" s="216">
        <v>0</v>
      </c>
      <c r="U90" s="216">
        <f t="shared" si="25"/>
        <v>0</v>
      </c>
      <c r="V90" s="216">
        <f t="shared" si="26"/>
        <v>3437429.9699999997</v>
      </c>
      <c r="W90" s="171">
        <v>0</v>
      </c>
      <c r="X90" s="171">
        <f t="shared" si="27"/>
        <v>3437429.9699999997</v>
      </c>
      <c r="Y90" s="172">
        <v>0</v>
      </c>
      <c r="Z90" s="171">
        <f t="shared" si="28"/>
        <v>3437429.9699999997</v>
      </c>
    </row>
    <row r="91" spans="1:26" ht="12.75" hidden="1" outlineLevel="1">
      <c r="A91" s="171" t="s">
        <v>3545</v>
      </c>
      <c r="C91" s="172" t="s">
        <v>3546</v>
      </c>
      <c r="D91" s="172" t="s">
        <v>3547</v>
      </c>
      <c r="E91" s="171">
        <v>0</v>
      </c>
      <c r="F91" s="171">
        <v>-46000</v>
      </c>
      <c r="G91" s="216">
        <f t="shared" si="22"/>
        <v>-46000</v>
      </c>
      <c r="H91" s="217">
        <v>6618.24</v>
      </c>
      <c r="I91" s="217">
        <v>0</v>
      </c>
      <c r="J91" s="217">
        <v>0</v>
      </c>
      <c r="K91" s="217">
        <v>0</v>
      </c>
      <c r="L91" s="217">
        <f t="shared" si="23"/>
        <v>0</v>
      </c>
      <c r="M91" s="217">
        <v>0</v>
      </c>
      <c r="N91" s="217">
        <v>0</v>
      </c>
      <c r="O91" s="217">
        <v>0</v>
      </c>
      <c r="P91" s="217">
        <f t="shared" si="24"/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f t="shared" si="25"/>
        <v>0</v>
      </c>
      <c r="V91" s="216">
        <f t="shared" si="26"/>
        <v>-39381.76</v>
      </c>
      <c r="W91" s="171">
        <v>0</v>
      </c>
      <c r="X91" s="171">
        <f t="shared" si="27"/>
        <v>-39381.76</v>
      </c>
      <c r="Y91" s="172">
        <v>0</v>
      </c>
      <c r="Z91" s="171">
        <f t="shared" si="28"/>
        <v>-39381.76</v>
      </c>
    </row>
    <row r="92" spans="1:26" ht="12.75" hidden="1" outlineLevel="1">
      <c r="A92" s="171" t="s">
        <v>3548</v>
      </c>
      <c r="C92" s="172" t="s">
        <v>3549</v>
      </c>
      <c r="D92" s="172" t="s">
        <v>3550</v>
      </c>
      <c r="E92" s="171">
        <v>0</v>
      </c>
      <c r="F92" s="171">
        <v>78919.09</v>
      </c>
      <c r="G92" s="216">
        <f t="shared" si="22"/>
        <v>78919.09</v>
      </c>
      <c r="H92" s="217">
        <v>-23416.32</v>
      </c>
      <c r="I92" s="217">
        <v>0</v>
      </c>
      <c r="J92" s="217">
        <v>0</v>
      </c>
      <c r="K92" s="217">
        <v>0</v>
      </c>
      <c r="L92" s="217">
        <f t="shared" si="23"/>
        <v>0</v>
      </c>
      <c r="M92" s="217">
        <v>0</v>
      </c>
      <c r="N92" s="217">
        <v>0</v>
      </c>
      <c r="O92" s="217">
        <v>0</v>
      </c>
      <c r="P92" s="217">
        <f t="shared" si="24"/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f t="shared" si="25"/>
        <v>0</v>
      </c>
      <c r="V92" s="216">
        <f t="shared" si="26"/>
        <v>55502.77</v>
      </c>
      <c r="W92" s="171">
        <v>0</v>
      </c>
      <c r="X92" s="171">
        <f t="shared" si="27"/>
        <v>55502.77</v>
      </c>
      <c r="Y92" s="172">
        <v>358.67</v>
      </c>
      <c r="Z92" s="171">
        <f t="shared" si="28"/>
        <v>55861.439999999995</v>
      </c>
    </row>
    <row r="93" spans="1:26" ht="12.75" hidden="1" outlineLevel="1">
      <c r="A93" s="171" t="s">
        <v>3551</v>
      </c>
      <c r="C93" s="172" t="s">
        <v>3552</v>
      </c>
      <c r="D93" s="172" t="s">
        <v>3553</v>
      </c>
      <c r="E93" s="171">
        <v>0</v>
      </c>
      <c r="F93" s="171">
        <v>7161515.7</v>
      </c>
      <c r="G93" s="216">
        <f t="shared" si="22"/>
        <v>7161515.7</v>
      </c>
      <c r="H93" s="217">
        <v>34458.44</v>
      </c>
      <c r="I93" s="217">
        <v>0</v>
      </c>
      <c r="J93" s="217">
        <v>0</v>
      </c>
      <c r="K93" s="217">
        <v>0</v>
      </c>
      <c r="L93" s="217">
        <f t="shared" si="23"/>
        <v>0</v>
      </c>
      <c r="M93" s="217">
        <v>0</v>
      </c>
      <c r="N93" s="217">
        <v>0</v>
      </c>
      <c r="O93" s="217">
        <v>0</v>
      </c>
      <c r="P93" s="217">
        <f t="shared" si="24"/>
        <v>0</v>
      </c>
      <c r="Q93" s="216">
        <v>0</v>
      </c>
      <c r="R93" s="216">
        <v>0</v>
      </c>
      <c r="S93" s="216">
        <v>0</v>
      </c>
      <c r="T93" s="216">
        <v>0</v>
      </c>
      <c r="U93" s="216">
        <f t="shared" si="25"/>
        <v>0</v>
      </c>
      <c r="V93" s="216">
        <f t="shared" si="26"/>
        <v>7195974.140000001</v>
      </c>
      <c r="W93" s="171">
        <v>0</v>
      </c>
      <c r="X93" s="171">
        <f t="shared" si="27"/>
        <v>7195974.140000001</v>
      </c>
      <c r="Y93" s="172">
        <v>0</v>
      </c>
      <c r="Z93" s="171">
        <f t="shared" si="28"/>
        <v>7195974.140000001</v>
      </c>
    </row>
    <row r="94" spans="1:26" ht="12.75" hidden="1" outlineLevel="1">
      <c r="A94" s="171" t="s">
        <v>3554</v>
      </c>
      <c r="C94" s="172" t="s">
        <v>783</v>
      </c>
      <c r="D94" s="172" t="s">
        <v>784</v>
      </c>
      <c r="E94" s="171">
        <v>0</v>
      </c>
      <c r="F94" s="171">
        <v>-4267.5</v>
      </c>
      <c r="G94" s="216">
        <f t="shared" si="22"/>
        <v>-4267.5</v>
      </c>
      <c r="H94" s="217">
        <v>-349.48</v>
      </c>
      <c r="I94" s="217">
        <v>0</v>
      </c>
      <c r="J94" s="217">
        <v>0</v>
      </c>
      <c r="K94" s="217">
        <v>0</v>
      </c>
      <c r="L94" s="217">
        <f t="shared" si="23"/>
        <v>0</v>
      </c>
      <c r="M94" s="217">
        <v>0</v>
      </c>
      <c r="N94" s="217">
        <v>0</v>
      </c>
      <c r="O94" s="217">
        <v>0</v>
      </c>
      <c r="P94" s="217">
        <f t="shared" si="24"/>
        <v>0</v>
      </c>
      <c r="Q94" s="216">
        <v>0</v>
      </c>
      <c r="R94" s="216">
        <v>0</v>
      </c>
      <c r="S94" s="216">
        <v>0</v>
      </c>
      <c r="T94" s="216">
        <v>0</v>
      </c>
      <c r="U94" s="216">
        <f t="shared" si="25"/>
        <v>0</v>
      </c>
      <c r="V94" s="216">
        <f t="shared" si="26"/>
        <v>-4616.98</v>
      </c>
      <c r="W94" s="171">
        <v>0</v>
      </c>
      <c r="X94" s="171">
        <f t="shared" si="27"/>
        <v>-4616.98</v>
      </c>
      <c r="Y94" s="172">
        <v>0</v>
      </c>
      <c r="Z94" s="171">
        <f t="shared" si="28"/>
        <v>-4616.98</v>
      </c>
    </row>
    <row r="95" spans="1:27" ht="12.75" collapsed="1">
      <c r="A95" s="208" t="s">
        <v>785</v>
      </c>
      <c r="B95" s="209"/>
      <c r="C95" s="208" t="s">
        <v>2949</v>
      </c>
      <c r="D95" s="210"/>
      <c r="E95" s="185">
        <v>0</v>
      </c>
      <c r="F95" s="185">
        <v>124319064.86999999</v>
      </c>
      <c r="G95" s="101">
        <f t="shared" si="22"/>
        <v>124319064.86999999</v>
      </c>
      <c r="H95" s="101">
        <v>19372750.380000003</v>
      </c>
      <c r="I95" s="101">
        <v>0</v>
      </c>
      <c r="J95" s="101">
        <v>0</v>
      </c>
      <c r="K95" s="101">
        <v>0</v>
      </c>
      <c r="L95" s="101">
        <f t="shared" si="23"/>
        <v>0</v>
      </c>
      <c r="M95" s="101">
        <v>0</v>
      </c>
      <c r="N95" s="101">
        <v>0</v>
      </c>
      <c r="O95" s="101">
        <v>0</v>
      </c>
      <c r="P95" s="101">
        <f t="shared" si="24"/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f t="shared" si="25"/>
        <v>0</v>
      </c>
      <c r="V95" s="101">
        <f t="shared" si="26"/>
        <v>143691815.25</v>
      </c>
      <c r="W95" s="185">
        <v>0</v>
      </c>
      <c r="X95" s="185">
        <f t="shared" si="27"/>
        <v>143691815.25</v>
      </c>
      <c r="Y95" s="185">
        <v>19792.67</v>
      </c>
      <c r="Z95" s="185">
        <f t="shared" si="28"/>
        <v>143711607.92</v>
      </c>
      <c r="AA95" s="208"/>
    </row>
    <row r="96" spans="1:26" ht="12.75" hidden="1" outlineLevel="1">
      <c r="A96" s="171" t="s">
        <v>786</v>
      </c>
      <c r="C96" s="172" t="s">
        <v>2950</v>
      </c>
      <c r="D96" s="172" t="s">
        <v>787</v>
      </c>
      <c r="E96" s="171">
        <v>0</v>
      </c>
      <c r="F96" s="171">
        <v>9232.33</v>
      </c>
      <c r="G96" s="216">
        <f t="shared" si="22"/>
        <v>9232.33</v>
      </c>
      <c r="H96" s="217">
        <v>-5613.25</v>
      </c>
      <c r="I96" s="217">
        <v>0</v>
      </c>
      <c r="J96" s="217">
        <v>0</v>
      </c>
      <c r="K96" s="217">
        <v>0</v>
      </c>
      <c r="L96" s="217">
        <f t="shared" si="23"/>
        <v>0</v>
      </c>
      <c r="M96" s="217">
        <v>0</v>
      </c>
      <c r="N96" s="217">
        <v>0</v>
      </c>
      <c r="O96" s="217">
        <v>0</v>
      </c>
      <c r="P96" s="217">
        <f t="shared" si="24"/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f t="shared" si="25"/>
        <v>0</v>
      </c>
      <c r="V96" s="216">
        <f t="shared" si="26"/>
        <v>3619.08</v>
      </c>
      <c r="W96" s="171">
        <v>0</v>
      </c>
      <c r="X96" s="171">
        <f t="shared" si="27"/>
        <v>3619.08</v>
      </c>
      <c r="Y96" s="172">
        <v>0</v>
      </c>
      <c r="Z96" s="171">
        <f t="shared" si="28"/>
        <v>3619.08</v>
      </c>
    </row>
    <row r="97" spans="1:26" ht="12.75" hidden="1" outlineLevel="1">
      <c r="A97" s="171" t="s">
        <v>788</v>
      </c>
      <c r="C97" s="172" t="s">
        <v>789</v>
      </c>
      <c r="D97" s="172" t="s">
        <v>790</v>
      </c>
      <c r="E97" s="171">
        <v>0</v>
      </c>
      <c r="F97" s="171">
        <v>8154966.76</v>
      </c>
      <c r="G97" s="216">
        <f t="shared" si="22"/>
        <v>8154966.76</v>
      </c>
      <c r="H97" s="217">
        <v>989426.24</v>
      </c>
      <c r="I97" s="217">
        <v>0</v>
      </c>
      <c r="J97" s="217">
        <v>0</v>
      </c>
      <c r="K97" s="217">
        <v>0</v>
      </c>
      <c r="L97" s="217">
        <f t="shared" si="23"/>
        <v>0</v>
      </c>
      <c r="M97" s="217">
        <v>0</v>
      </c>
      <c r="N97" s="217">
        <v>0</v>
      </c>
      <c r="O97" s="217">
        <v>0</v>
      </c>
      <c r="P97" s="217">
        <f t="shared" si="24"/>
        <v>0</v>
      </c>
      <c r="Q97" s="216">
        <v>0</v>
      </c>
      <c r="R97" s="216">
        <v>0</v>
      </c>
      <c r="S97" s="216">
        <v>0</v>
      </c>
      <c r="T97" s="216">
        <v>0</v>
      </c>
      <c r="U97" s="216">
        <f t="shared" si="25"/>
        <v>0</v>
      </c>
      <c r="V97" s="216">
        <f t="shared" si="26"/>
        <v>9144393</v>
      </c>
      <c r="W97" s="171">
        <v>0</v>
      </c>
      <c r="X97" s="171">
        <f t="shared" si="27"/>
        <v>9144393</v>
      </c>
      <c r="Y97" s="172">
        <v>954.58</v>
      </c>
      <c r="Z97" s="171">
        <f t="shared" si="28"/>
        <v>9145347.58</v>
      </c>
    </row>
    <row r="98" spans="1:26" ht="12.75" hidden="1" outlineLevel="1">
      <c r="A98" s="171" t="s">
        <v>791</v>
      </c>
      <c r="C98" s="172" t="s">
        <v>792</v>
      </c>
      <c r="D98" s="172" t="s">
        <v>793</v>
      </c>
      <c r="E98" s="171">
        <v>0</v>
      </c>
      <c r="F98" s="171">
        <v>1613404.81</v>
      </c>
      <c r="G98" s="216">
        <f t="shared" si="22"/>
        <v>1613404.81</v>
      </c>
      <c r="H98" s="217">
        <v>254208.85</v>
      </c>
      <c r="I98" s="217">
        <v>0</v>
      </c>
      <c r="J98" s="217">
        <v>0</v>
      </c>
      <c r="K98" s="217">
        <v>0</v>
      </c>
      <c r="L98" s="217">
        <f t="shared" si="23"/>
        <v>0</v>
      </c>
      <c r="M98" s="217">
        <v>0</v>
      </c>
      <c r="N98" s="217">
        <v>0</v>
      </c>
      <c r="O98" s="217">
        <v>0</v>
      </c>
      <c r="P98" s="217">
        <f t="shared" si="24"/>
        <v>0</v>
      </c>
      <c r="Q98" s="216">
        <v>0</v>
      </c>
      <c r="R98" s="216">
        <v>0</v>
      </c>
      <c r="S98" s="216">
        <v>0</v>
      </c>
      <c r="T98" s="216">
        <v>0</v>
      </c>
      <c r="U98" s="216">
        <f t="shared" si="25"/>
        <v>0</v>
      </c>
      <c r="V98" s="216">
        <f t="shared" si="26"/>
        <v>1867613.6600000001</v>
      </c>
      <c r="W98" s="171">
        <v>0</v>
      </c>
      <c r="X98" s="171">
        <f t="shared" si="27"/>
        <v>1867613.6600000001</v>
      </c>
      <c r="Y98" s="172">
        <v>0</v>
      </c>
      <c r="Z98" s="171">
        <f t="shared" si="28"/>
        <v>1867613.6600000001</v>
      </c>
    </row>
    <row r="99" spans="1:26" ht="12.75" hidden="1" outlineLevel="1">
      <c r="A99" s="171" t="s">
        <v>794</v>
      </c>
      <c r="C99" s="172" t="s">
        <v>795</v>
      </c>
      <c r="D99" s="172" t="s">
        <v>796</v>
      </c>
      <c r="E99" s="171">
        <v>0</v>
      </c>
      <c r="F99" s="171">
        <v>5010778.26</v>
      </c>
      <c r="G99" s="216">
        <f t="shared" si="22"/>
        <v>5010778.26</v>
      </c>
      <c r="H99" s="217">
        <v>1493495.81</v>
      </c>
      <c r="I99" s="217">
        <v>0</v>
      </c>
      <c r="J99" s="217">
        <v>0</v>
      </c>
      <c r="K99" s="217">
        <v>0</v>
      </c>
      <c r="L99" s="217">
        <f t="shared" si="23"/>
        <v>0</v>
      </c>
      <c r="M99" s="217">
        <v>0</v>
      </c>
      <c r="N99" s="217">
        <v>0</v>
      </c>
      <c r="O99" s="217">
        <v>0</v>
      </c>
      <c r="P99" s="217">
        <f t="shared" si="24"/>
        <v>0</v>
      </c>
      <c r="Q99" s="216">
        <v>0</v>
      </c>
      <c r="R99" s="216">
        <v>0</v>
      </c>
      <c r="S99" s="216">
        <v>0</v>
      </c>
      <c r="T99" s="216">
        <v>0</v>
      </c>
      <c r="U99" s="216">
        <f t="shared" si="25"/>
        <v>0</v>
      </c>
      <c r="V99" s="216">
        <f t="shared" si="26"/>
        <v>6504274.07</v>
      </c>
      <c r="W99" s="171">
        <v>0</v>
      </c>
      <c r="X99" s="171">
        <f t="shared" si="27"/>
        <v>6504274.07</v>
      </c>
      <c r="Y99" s="172">
        <v>11.11</v>
      </c>
      <c r="Z99" s="171">
        <f t="shared" si="28"/>
        <v>6504285.180000001</v>
      </c>
    </row>
    <row r="100" spans="1:26" ht="12.75" hidden="1" outlineLevel="1">
      <c r="A100" s="171" t="s">
        <v>797</v>
      </c>
      <c r="C100" s="172" t="s">
        <v>798</v>
      </c>
      <c r="D100" s="172" t="s">
        <v>799</v>
      </c>
      <c r="E100" s="171">
        <v>0</v>
      </c>
      <c r="F100" s="171">
        <v>50153.1</v>
      </c>
      <c r="G100" s="216">
        <f t="shared" si="22"/>
        <v>50153.1</v>
      </c>
      <c r="H100" s="217">
        <v>18085.53</v>
      </c>
      <c r="I100" s="217">
        <v>0</v>
      </c>
      <c r="J100" s="217">
        <v>0</v>
      </c>
      <c r="K100" s="217">
        <v>0</v>
      </c>
      <c r="L100" s="217">
        <f t="shared" si="23"/>
        <v>0</v>
      </c>
      <c r="M100" s="217">
        <v>0</v>
      </c>
      <c r="N100" s="217">
        <v>0</v>
      </c>
      <c r="O100" s="217">
        <v>0</v>
      </c>
      <c r="P100" s="217">
        <f t="shared" si="24"/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f t="shared" si="25"/>
        <v>0</v>
      </c>
      <c r="V100" s="216">
        <f t="shared" si="26"/>
        <v>68238.63</v>
      </c>
      <c r="W100" s="171">
        <v>0</v>
      </c>
      <c r="X100" s="171">
        <f t="shared" si="27"/>
        <v>68238.63</v>
      </c>
      <c r="Y100" s="172">
        <v>0</v>
      </c>
      <c r="Z100" s="171">
        <f t="shared" si="28"/>
        <v>68238.63</v>
      </c>
    </row>
    <row r="101" spans="1:26" ht="12.75" hidden="1" outlineLevel="1">
      <c r="A101" s="171" t="s">
        <v>800</v>
      </c>
      <c r="C101" s="172" t="s">
        <v>801</v>
      </c>
      <c r="D101" s="172" t="s">
        <v>802</v>
      </c>
      <c r="E101" s="171">
        <v>0</v>
      </c>
      <c r="F101" s="171">
        <v>4304553.3</v>
      </c>
      <c r="G101" s="216">
        <f t="shared" si="22"/>
        <v>4304553.3</v>
      </c>
      <c r="H101" s="217">
        <v>463760.38</v>
      </c>
      <c r="I101" s="217">
        <v>0</v>
      </c>
      <c r="J101" s="217">
        <v>0</v>
      </c>
      <c r="K101" s="217">
        <v>0</v>
      </c>
      <c r="L101" s="217">
        <f t="shared" si="23"/>
        <v>0</v>
      </c>
      <c r="M101" s="217">
        <v>0</v>
      </c>
      <c r="N101" s="217">
        <v>0</v>
      </c>
      <c r="O101" s="217">
        <v>0</v>
      </c>
      <c r="P101" s="217">
        <f t="shared" si="24"/>
        <v>0</v>
      </c>
      <c r="Q101" s="216">
        <v>0</v>
      </c>
      <c r="R101" s="216">
        <v>0</v>
      </c>
      <c r="S101" s="216">
        <v>0</v>
      </c>
      <c r="T101" s="216">
        <v>0</v>
      </c>
      <c r="U101" s="216">
        <f t="shared" si="25"/>
        <v>0</v>
      </c>
      <c r="V101" s="216">
        <f t="shared" si="26"/>
        <v>4768313.68</v>
      </c>
      <c r="W101" s="171">
        <v>0</v>
      </c>
      <c r="X101" s="171">
        <f t="shared" si="27"/>
        <v>4768313.68</v>
      </c>
      <c r="Y101" s="172">
        <v>0</v>
      </c>
      <c r="Z101" s="171">
        <f t="shared" si="28"/>
        <v>4768313.68</v>
      </c>
    </row>
    <row r="102" spans="1:26" ht="12.75" hidden="1" outlineLevel="1">
      <c r="A102" s="171" t="s">
        <v>803</v>
      </c>
      <c r="C102" s="172" t="s">
        <v>804</v>
      </c>
      <c r="D102" s="172" t="s">
        <v>805</v>
      </c>
      <c r="E102" s="171">
        <v>0</v>
      </c>
      <c r="F102" s="171">
        <v>3106013.94</v>
      </c>
      <c r="G102" s="216">
        <f t="shared" si="22"/>
        <v>3106013.94</v>
      </c>
      <c r="H102" s="217">
        <v>500930.15</v>
      </c>
      <c r="I102" s="217">
        <v>0</v>
      </c>
      <c r="J102" s="217">
        <v>0</v>
      </c>
      <c r="K102" s="217">
        <v>0</v>
      </c>
      <c r="L102" s="217">
        <f t="shared" si="23"/>
        <v>0</v>
      </c>
      <c r="M102" s="217">
        <v>0</v>
      </c>
      <c r="N102" s="217">
        <v>0</v>
      </c>
      <c r="O102" s="217">
        <v>0</v>
      </c>
      <c r="P102" s="217">
        <f t="shared" si="24"/>
        <v>0</v>
      </c>
      <c r="Q102" s="216">
        <v>0</v>
      </c>
      <c r="R102" s="216">
        <v>0</v>
      </c>
      <c r="S102" s="216">
        <v>0</v>
      </c>
      <c r="T102" s="216">
        <v>0</v>
      </c>
      <c r="U102" s="216">
        <f t="shared" si="25"/>
        <v>0</v>
      </c>
      <c r="V102" s="216">
        <f t="shared" si="26"/>
        <v>3606944.09</v>
      </c>
      <c r="W102" s="171">
        <v>0</v>
      </c>
      <c r="X102" s="171">
        <f t="shared" si="27"/>
        <v>3606944.09</v>
      </c>
      <c r="Y102" s="172">
        <v>1504.97</v>
      </c>
      <c r="Z102" s="171">
        <f t="shared" si="28"/>
        <v>3608449.06</v>
      </c>
    </row>
    <row r="103" spans="1:26" ht="12.75" hidden="1" outlineLevel="1">
      <c r="A103" s="171" t="s">
        <v>806</v>
      </c>
      <c r="C103" s="172" t="s">
        <v>807</v>
      </c>
      <c r="D103" s="172" t="s">
        <v>808</v>
      </c>
      <c r="E103" s="171">
        <v>0</v>
      </c>
      <c r="F103" s="171">
        <v>927299.25</v>
      </c>
      <c r="G103" s="216">
        <f t="shared" si="22"/>
        <v>927299.25</v>
      </c>
      <c r="H103" s="217">
        <v>43938.62</v>
      </c>
      <c r="I103" s="217">
        <v>0</v>
      </c>
      <c r="J103" s="217">
        <v>0</v>
      </c>
      <c r="K103" s="217">
        <v>0</v>
      </c>
      <c r="L103" s="217">
        <f t="shared" si="23"/>
        <v>0</v>
      </c>
      <c r="M103" s="217">
        <v>0</v>
      </c>
      <c r="N103" s="217">
        <v>0</v>
      </c>
      <c r="O103" s="217">
        <v>0</v>
      </c>
      <c r="P103" s="217">
        <f t="shared" si="24"/>
        <v>0</v>
      </c>
      <c r="Q103" s="216">
        <v>0</v>
      </c>
      <c r="R103" s="216">
        <v>0</v>
      </c>
      <c r="S103" s="216">
        <v>0</v>
      </c>
      <c r="T103" s="216">
        <v>0</v>
      </c>
      <c r="U103" s="216">
        <f t="shared" si="25"/>
        <v>0</v>
      </c>
      <c r="V103" s="216">
        <f t="shared" si="26"/>
        <v>971237.87</v>
      </c>
      <c r="W103" s="171">
        <v>0</v>
      </c>
      <c r="X103" s="171">
        <f t="shared" si="27"/>
        <v>971237.87</v>
      </c>
      <c r="Y103" s="172">
        <v>0</v>
      </c>
      <c r="Z103" s="171">
        <f t="shared" si="28"/>
        <v>971237.87</v>
      </c>
    </row>
    <row r="104" spans="1:26" ht="12.75" hidden="1" outlineLevel="1">
      <c r="A104" s="171" t="s">
        <v>809</v>
      </c>
      <c r="C104" s="172" t="s">
        <v>810</v>
      </c>
      <c r="D104" s="172" t="s">
        <v>811</v>
      </c>
      <c r="E104" s="171">
        <v>0</v>
      </c>
      <c r="F104" s="171">
        <v>2011199.52</v>
      </c>
      <c r="G104" s="216">
        <f t="shared" si="22"/>
        <v>2011199.52</v>
      </c>
      <c r="H104" s="217">
        <v>179029.77</v>
      </c>
      <c r="I104" s="217">
        <v>0</v>
      </c>
      <c r="J104" s="217">
        <v>0</v>
      </c>
      <c r="K104" s="217">
        <v>0</v>
      </c>
      <c r="L104" s="217">
        <f t="shared" si="23"/>
        <v>0</v>
      </c>
      <c r="M104" s="217">
        <v>0</v>
      </c>
      <c r="N104" s="217">
        <v>0</v>
      </c>
      <c r="O104" s="217">
        <v>0</v>
      </c>
      <c r="P104" s="217">
        <f t="shared" si="24"/>
        <v>0</v>
      </c>
      <c r="Q104" s="216">
        <v>0</v>
      </c>
      <c r="R104" s="216">
        <v>0</v>
      </c>
      <c r="S104" s="216">
        <v>0</v>
      </c>
      <c r="T104" s="216">
        <v>0</v>
      </c>
      <c r="U104" s="216">
        <f t="shared" si="25"/>
        <v>0</v>
      </c>
      <c r="V104" s="216">
        <f t="shared" si="26"/>
        <v>2190229.29</v>
      </c>
      <c r="W104" s="171">
        <v>0</v>
      </c>
      <c r="X104" s="171">
        <f t="shared" si="27"/>
        <v>2190229.29</v>
      </c>
      <c r="Y104" s="172">
        <v>0</v>
      </c>
      <c r="Z104" s="171">
        <f t="shared" si="28"/>
        <v>2190229.29</v>
      </c>
    </row>
    <row r="105" spans="1:26" ht="12.75" hidden="1" outlineLevel="1">
      <c r="A105" s="171" t="s">
        <v>812</v>
      </c>
      <c r="C105" s="172" t="s">
        <v>813</v>
      </c>
      <c r="D105" s="172" t="s">
        <v>814</v>
      </c>
      <c r="E105" s="171">
        <v>0</v>
      </c>
      <c r="F105" s="171">
        <v>899340.89</v>
      </c>
      <c r="G105" s="216">
        <f t="shared" si="22"/>
        <v>899340.89</v>
      </c>
      <c r="H105" s="217">
        <v>500.78</v>
      </c>
      <c r="I105" s="217">
        <v>0</v>
      </c>
      <c r="J105" s="217">
        <v>0</v>
      </c>
      <c r="K105" s="217">
        <v>0</v>
      </c>
      <c r="L105" s="217">
        <f t="shared" si="23"/>
        <v>0</v>
      </c>
      <c r="M105" s="217">
        <v>0</v>
      </c>
      <c r="N105" s="217">
        <v>0</v>
      </c>
      <c r="O105" s="217">
        <v>0</v>
      </c>
      <c r="P105" s="217">
        <f t="shared" si="24"/>
        <v>0</v>
      </c>
      <c r="Q105" s="216">
        <v>0</v>
      </c>
      <c r="R105" s="216">
        <v>0</v>
      </c>
      <c r="S105" s="216">
        <v>0</v>
      </c>
      <c r="T105" s="216">
        <v>0</v>
      </c>
      <c r="U105" s="216">
        <f t="shared" si="25"/>
        <v>0</v>
      </c>
      <c r="V105" s="216">
        <f t="shared" si="26"/>
        <v>899841.67</v>
      </c>
      <c r="W105" s="171">
        <v>0</v>
      </c>
      <c r="X105" s="171">
        <f t="shared" si="27"/>
        <v>899841.67</v>
      </c>
      <c r="Y105" s="172">
        <v>0</v>
      </c>
      <c r="Z105" s="171">
        <f t="shared" si="28"/>
        <v>899841.67</v>
      </c>
    </row>
    <row r="106" spans="1:26" ht="12.75" hidden="1" outlineLevel="1">
      <c r="A106" s="171" t="s">
        <v>815</v>
      </c>
      <c r="C106" s="172" t="s">
        <v>816</v>
      </c>
      <c r="D106" s="172" t="s">
        <v>817</v>
      </c>
      <c r="E106" s="171">
        <v>0</v>
      </c>
      <c r="F106" s="171">
        <v>1263697.47</v>
      </c>
      <c r="G106" s="216">
        <f t="shared" si="22"/>
        <v>1263697.47</v>
      </c>
      <c r="H106" s="217">
        <v>6021.15</v>
      </c>
      <c r="I106" s="217">
        <v>0</v>
      </c>
      <c r="J106" s="217">
        <v>0</v>
      </c>
      <c r="K106" s="217">
        <v>0</v>
      </c>
      <c r="L106" s="217">
        <f t="shared" si="23"/>
        <v>0</v>
      </c>
      <c r="M106" s="217">
        <v>0</v>
      </c>
      <c r="N106" s="217">
        <v>0</v>
      </c>
      <c r="O106" s="217">
        <v>0</v>
      </c>
      <c r="P106" s="217">
        <f t="shared" si="24"/>
        <v>0</v>
      </c>
      <c r="Q106" s="216">
        <v>0</v>
      </c>
      <c r="R106" s="216">
        <v>0</v>
      </c>
      <c r="S106" s="216">
        <v>0</v>
      </c>
      <c r="T106" s="216">
        <v>0</v>
      </c>
      <c r="U106" s="216">
        <f t="shared" si="25"/>
        <v>0</v>
      </c>
      <c r="V106" s="216">
        <f t="shared" si="26"/>
        <v>1269718.6199999999</v>
      </c>
      <c r="W106" s="171">
        <v>0</v>
      </c>
      <c r="X106" s="171">
        <f t="shared" si="27"/>
        <v>1269718.6199999999</v>
      </c>
      <c r="Y106" s="172">
        <v>0</v>
      </c>
      <c r="Z106" s="171">
        <f t="shared" si="28"/>
        <v>1269718.6199999999</v>
      </c>
    </row>
    <row r="107" spans="1:26" ht="12.75" hidden="1" outlineLevel="1">
      <c r="A107" s="171" t="s">
        <v>818</v>
      </c>
      <c r="C107" s="172" t="s">
        <v>819</v>
      </c>
      <c r="D107" s="172" t="s">
        <v>820</v>
      </c>
      <c r="E107" s="171">
        <v>0</v>
      </c>
      <c r="F107" s="171">
        <v>28738.07</v>
      </c>
      <c r="G107" s="216">
        <f t="shared" si="22"/>
        <v>28738.07</v>
      </c>
      <c r="H107" s="217">
        <v>19213.81</v>
      </c>
      <c r="I107" s="217">
        <v>0</v>
      </c>
      <c r="J107" s="217">
        <v>0</v>
      </c>
      <c r="K107" s="217">
        <v>0</v>
      </c>
      <c r="L107" s="217">
        <f t="shared" si="23"/>
        <v>0</v>
      </c>
      <c r="M107" s="217">
        <v>0</v>
      </c>
      <c r="N107" s="217">
        <v>0</v>
      </c>
      <c r="O107" s="217">
        <v>0</v>
      </c>
      <c r="P107" s="217">
        <f t="shared" si="24"/>
        <v>0</v>
      </c>
      <c r="Q107" s="216">
        <v>0</v>
      </c>
      <c r="R107" s="216">
        <v>0</v>
      </c>
      <c r="S107" s="216">
        <v>0</v>
      </c>
      <c r="T107" s="216">
        <v>0</v>
      </c>
      <c r="U107" s="216">
        <f t="shared" si="25"/>
        <v>0</v>
      </c>
      <c r="V107" s="216">
        <f t="shared" si="26"/>
        <v>47951.880000000005</v>
      </c>
      <c r="W107" s="171">
        <v>0</v>
      </c>
      <c r="X107" s="171">
        <f t="shared" si="27"/>
        <v>47951.880000000005</v>
      </c>
      <c r="Y107" s="172">
        <v>0</v>
      </c>
      <c r="Z107" s="171">
        <f t="shared" si="28"/>
        <v>47951.880000000005</v>
      </c>
    </row>
    <row r="108" spans="1:26" ht="12.75" hidden="1" outlineLevel="1">
      <c r="A108" s="171" t="s">
        <v>821</v>
      </c>
      <c r="C108" s="172" t="s">
        <v>822</v>
      </c>
      <c r="D108" s="172" t="s">
        <v>823</v>
      </c>
      <c r="E108" s="171">
        <v>0</v>
      </c>
      <c r="F108" s="171">
        <v>13770.78</v>
      </c>
      <c r="G108" s="216">
        <f t="shared" si="22"/>
        <v>13770.78</v>
      </c>
      <c r="H108" s="217">
        <v>6275.63</v>
      </c>
      <c r="I108" s="217">
        <v>0</v>
      </c>
      <c r="J108" s="217">
        <v>0</v>
      </c>
      <c r="K108" s="217">
        <v>0</v>
      </c>
      <c r="L108" s="217">
        <f t="shared" si="23"/>
        <v>0</v>
      </c>
      <c r="M108" s="217">
        <v>0</v>
      </c>
      <c r="N108" s="217">
        <v>0</v>
      </c>
      <c r="O108" s="217">
        <v>0</v>
      </c>
      <c r="P108" s="217">
        <f t="shared" si="24"/>
        <v>0</v>
      </c>
      <c r="Q108" s="216">
        <v>0</v>
      </c>
      <c r="R108" s="216">
        <v>0</v>
      </c>
      <c r="S108" s="216">
        <v>0</v>
      </c>
      <c r="T108" s="216">
        <v>0</v>
      </c>
      <c r="U108" s="216">
        <f t="shared" si="25"/>
        <v>0</v>
      </c>
      <c r="V108" s="216">
        <f t="shared" si="26"/>
        <v>20046.41</v>
      </c>
      <c r="W108" s="171">
        <v>0</v>
      </c>
      <c r="X108" s="171">
        <f t="shared" si="27"/>
        <v>20046.41</v>
      </c>
      <c r="Y108" s="172">
        <v>0</v>
      </c>
      <c r="Z108" s="171">
        <f t="shared" si="28"/>
        <v>20046.41</v>
      </c>
    </row>
    <row r="109" spans="1:26" ht="12.75" hidden="1" outlineLevel="1">
      <c r="A109" s="171" t="s">
        <v>900</v>
      </c>
      <c r="C109" s="172" t="s">
        <v>901</v>
      </c>
      <c r="D109" s="172" t="s">
        <v>902</v>
      </c>
      <c r="E109" s="171">
        <v>0</v>
      </c>
      <c r="F109" s="171">
        <v>56202.08</v>
      </c>
      <c r="G109" s="216">
        <f t="shared" si="22"/>
        <v>56202.08</v>
      </c>
      <c r="H109" s="217">
        <v>0</v>
      </c>
      <c r="I109" s="217">
        <v>0</v>
      </c>
      <c r="J109" s="217">
        <v>0</v>
      </c>
      <c r="K109" s="217">
        <v>0</v>
      </c>
      <c r="L109" s="217">
        <f t="shared" si="23"/>
        <v>0</v>
      </c>
      <c r="M109" s="217">
        <v>0</v>
      </c>
      <c r="N109" s="217">
        <v>0</v>
      </c>
      <c r="O109" s="217">
        <v>0</v>
      </c>
      <c r="P109" s="217">
        <f t="shared" si="24"/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f t="shared" si="25"/>
        <v>0</v>
      </c>
      <c r="V109" s="216">
        <f t="shared" si="26"/>
        <v>56202.08</v>
      </c>
      <c r="W109" s="171">
        <v>0</v>
      </c>
      <c r="X109" s="171">
        <f t="shared" si="27"/>
        <v>56202.08</v>
      </c>
      <c r="Y109" s="172">
        <v>0</v>
      </c>
      <c r="Z109" s="171">
        <f t="shared" si="28"/>
        <v>56202.08</v>
      </c>
    </row>
    <row r="110" spans="1:26" ht="12.75" hidden="1" outlineLevel="1">
      <c r="A110" s="171" t="s">
        <v>824</v>
      </c>
      <c r="C110" s="172" t="s">
        <v>825</v>
      </c>
      <c r="D110" s="172" t="s">
        <v>826</v>
      </c>
      <c r="E110" s="171">
        <v>0</v>
      </c>
      <c r="F110" s="171">
        <v>-167783.34</v>
      </c>
      <c r="G110" s="216">
        <f t="shared" si="22"/>
        <v>-167783.34</v>
      </c>
      <c r="H110" s="217">
        <v>-24121.46</v>
      </c>
      <c r="I110" s="217">
        <v>0</v>
      </c>
      <c r="J110" s="217">
        <v>0</v>
      </c>
      <c r="K110" s="217">
        <v>0</v>
      </c>
      <c r="L110" s="217">
        <f t="shared" si="23"/>
        <v>0</v>
      </c>
      <c r="M110" s="217">
        <v>0</v>
      </c>
      <c r="N110" s="217">
        <v>0</v>
      </c>
      <c r="O110" s="217">
        <v>0</v>
      </c>
      <c r="P110" s="217">
        <f t="shared" si="24"/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f t="shared" si="25"/>
        <v>0</v>
      </c>
      <c r="V110" s="216">
        <f t="shared" si="26"/>
        <v>-191904.8</v>
      </c>
      <c r="W110" s="171">
        <v>0</v>
      </c>
      <c r="X110" s="171">
        <f t="shared" si="27"/>
        <v>-191904.8</v>
      </c>
      <c r="Y110" s="172">
        <v>59.47</v>
      </c>
      <c r="Z110" s="171">
        <f t="shared" si="28"/>
        <v>-191845.33</v>
      </c>
    </row>
    <row r="111" spans="1:26" ht="12.75" hidden="1" outlineLevel="1">
      <c r="A111" s="171" t="s">
        <v>827</v>
      </c>
      <c r="C111" s="172" t="s">
        <v>828</v>
      </c>
      <c r="D111" s="172" t="s">
        <v>829</v>
      </c>
      <c r="E111" s="171">
        <v>0</v>
      </c>
      <c r="F111" s="171">
        <v>271.89</v>
      </c>
      <c r="G111" s="216">
        <f t="shared" si="22"/>
        <v>271.89</v>
      </c>
      <c r="H111" s="217">
        <v>322.42</v>
      </c>
      <c r="I111" s="217">
        <v>0</v>
      </c>
      <c r="J111" s="217">
        <v>0</v>
      </c>
      <c r="K111" s="217">
        <v>0</v>
      </c>
      <c r="L111" s="217">
        <f t="shared" si="23"/>
        <v>0</v>
      </c>
      <c r="M111" s="217">
        <v>0</v>
      </c>
      <c r="N111" s="217">
        <v>0</v>
      </c>
      <c r="O111" s="217">
        <v>0</v>
      </c>
      <c r="P111" s="217">
        <f t="shared" si="24"/>
        <v>0</v>
      </c>
      <c r="Q111" s="216">
        <v>0</v>
      </c>
      <c r="R111" s="216">
        <v>0</v>
      </c>
      <c r="S111" s="216">
        <v>0</v>
      </c>
      <c r="T111" s="216">
        <v>0</v>
      </c>
      <c r="U111" s="216">
        <f t="shared" si="25"/>
        <v>0</v>
      </c>
      <c r="V111" s="216">
        <f t="shared" si="26"/>
        <v>594.31</v>
      </c>
      <c r="W111" s="171">
        <v>0</v>
      </c>
      <c r="X111" s="171">
        <f t="shared" si="27"/>
        <v>594.31</v>
      </c>
      <c r="Y111" s="172">
        <v>0</v>
      </c>
      <c r="Z111" s="171">
        <f t="shared" si="28"/>
        <v>594.31</v>
      </c>
    </row>
    <row r="112" spans="1:27" ht="12.75" collapsed="1">
      <c r="A112" s="208" t="s">
        <v>830</v>
      </c>
      <c r="B112" s="209"/>
      <c r="C112" s="208" t="s">
        <v>2950</v>
      </c>
      <c r="D112" s="210"/>
      <c r="E112" s="185">
        <v>0</v>
      </c>
      <c r="F112" s="185">
        <v>27281839.11</v>
      </c>
      <c r="G112" s="101">
        <f t="shared" si="22"/>
        <v>27281839.11</v>
      </c>
      <c r="H112" s="101">
        <v>3945474.43</v>
      </c>
      <c r="I112" s="101">
        <v>0</v>
      </c>
      <c r="J112" s="101">
        <v>0</v>
      </c>
      <c r="K112" s="101">
        <v>0</v>
      </c>
      <c r="L112" s="101">
        <f t="shared" si="23"/>
        <v>0</v>
      </c>
      <c r="M112" s="101">
        <v>0</v>
      </c>
      <c r="N112" s="101">
        <v>0</v>
      </c>
      <c r="O112" s="101">
        <v>0</v>
      </c>
      <c r="P112" s="101">
        <f t="shared" si="24"/>
        <v>0</v>
      </c>
      <c r="Q112" s="101">
        <v>0</v>
      </c>
      <c r="R112" s="101">
        <v>0</v>
      </c>
      <c r="S112" s="101">
        <v>0</v>
      </c>
      <c r="T112" s="101">
        <v>0</v>
      </c>
      <c r="U112" s="101">
        <f t="shared" si="25"/>
        <v>0</v>
      </c>
      <c r="V112" s="101">
        <f t="shared" si="26"/>
        <v>31227313.54</v>
      </c>
      <c r="W112" s="185">
        <v>0</v>
      </c>
      <c r="X112" s="185">
        <f t="shared" si="27"/>
        <v>31227313.54</v>
      </c>
      <c r="Y112" s="185">
        <v>2530.13</v>
      </c>
      <c r="Z112" s="185">
        <f t="shared" si="28"/>
        <v>31229843.669999998</v>
      </c>
      <c r="AA112" s="208"/>
    </row>
    <row r="113" spans="1:26" ht="12.75" hidden="1" outlineLevel="1">
      <c r="A113" s="171" t="s">
        <v>834</v>
      </c>
      <c r="C113" s="172" t="s">
        <v>835</v>
      </c>
      <c r="D113" s="172" t="s">
        <v>836</v>
      </c>
      <c r="E113" s="171">
        <v>0</v>
      </c>
      <c r="F113" s="171">
        <v>-10770385.31</v>
      </c>
      <c r="G113" s="216">
        <f t="shared" si="22"/>
        <v>-10770385.31</v>
      </c>
      <c r="H113" s="217">
        <v>-64943.86</v>
      </c>
      <c r="I113" s="217">
        <v>0</v>
      </c>
      <c r="J113" s="217">
        <v>0</v>
      </c>
      <c r="K113" s="217">
        <v>0</v>
      </c>
      <c r="L113" s="217">
        <f t="shared" si="23"/>
        <v>0</v>
      </c>
      <c r="M113" s="217">
        <v>0</v>
      </c>
      <c r="N113" s="217">
        <v>0</v>
      </c>
      <c r="O113" s="217">
        <v>0</v>
      </c>
      <c r="P113" s="217">
        <f t="shared" si="24"/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f t="shared" si="25"/>
        <v>0</v>
      </c>
      <c r="V113" s="216">
        <f t="shared" si="26"/>
        <v>-10835329.17</v>
      </c>
      <c r="W113" s="171">
        <v>0</v>
      </c>
      <c r="X113" s="171">
        <f t="shared" si="27"/>
        <v>-10835329.17</v>
      </c>
      <c r="Y113" s="172">
        <v>-31970</v>
      </c>
      <c r="Z113" s="171">
        <f t="shared" si="28"/>
        <v>-10867299.17</v>
      </c>
    </row>
    <row r="114" spans="1:26" ht="12.75" hidden="1" outlineLevel="1">
      <c r="A114" s="171" t="s">
        <v>837</v>
      </c>
      <c r="C114" s="172" t="s">
        <v>1787</v>
      </c>
      <c r="D114" s="172" t="s">
        <v>1788</v>
      </c>
      <c r="E114" s="171">
        <v>0</v>
      </c>
      <c r="F114" s="171">
        <v>0</v>
      </c>
      <c r="G114" s="216">
        <f t="shared" si="22"/>
        <v>0</v>
      </c>
      <c r="H114" s="217">
        <v>-45</v>
      </c>
      <c r="I114" s="217">
        <v>0</v>
      </c>
      <c r="J114" s="217">
        <v>0</v>
      </c>
      <c r="K114" s="217">
        <v>0</v>
      </c>
      <c r="L114" s="217">
        <f t="shared" si="23"/>
        <v>0</v>
      </c>
      <c r="M114" s="217">
        <v>0</v>
      </c>
      <c r="N114" s="217">
        <v>0</v>
      </c>
      <c r="O114" s="217">
        <v>0</v>
      </c>
      <c r="P114" s="217">
        <f t="shared" si="24"/>
        <v>0</v>
      </c>
      <c r="Q114" s="216">
        <v>0</v>
      </c>
      <c r="R114" s="216">
        <v>0</v>
      </c>
      <c r="S114" s="216">
        <v>0</v>
      </c>
      <c r="T114" s="216">
        <v>0</v>
      </c>
      <c r="U114" s="216">
        <f t="shared" si="25"/>
        <v>0</v>
      </c>
      <c r="V114" s="216">
        <f t="shared" si="26"/>
        <v>-45</v>
      </c>
      <c r="W114" s="171">
        <v>0</v>
      </c>
      <c r="X114" s="171">
        <f t="shared" si="27"/>
        <v>-45</v>
      </c>
      <c r="Y114" s="172">
        <v>0</v>
      </c>
      <c r="Z114" s="171">
        <f t="shared" si="28"/>
        <v>-45</v>
      </c>
    </row>
    <row r="115" spans="1:26" ht="12.75" hidden="1" outlineLevel="1">
      <c r="A115" s="171" t="s">
        <v>1789</v>
      </c>
      <c r="C115" s="172" t="s">
        <v>1790</v>
      </c>
      <c r="D115" s="172" t="s">
        <v>1791</v>
      </c>
      <c r="E115" s="171">
        <v>0</v>
      </c>
      <c r="F115" s="171">
        <v>1802622.31</v>
      </c>
      <c r="G115" s="216">
        <f t="shared" si="22"/>
        <v>1802622.31</v>
      </c>
      <c r="H115" s="217">
        <v>0</v>
      </c>
      <c r="I115" s="217">
        <v>0</v>
      </c>
      <c r="J115" s="217">
        <v>0</v>
      </c>
      <c r="K115" s="217">
        <v>0</v>
      </c>
      <c r="L115" s="217">
        <f t="shared" si="23"/>
        <v>0</v>
      </c>
      <c r="M115" s="217">
        <v>0</v>
      </c>
      <c r="N115" s="217">
        <v>0</v>
      </c>
      <c r="O115" s="217">
        <v>0</v>
      </c>
      <c r="P115" s="217">
        <f t="shared" si="24"/>
        <v>0</v>
      </c>
      <c r="Q115" s="216">
        <v>0</v>
      </c>
      <c r="R115" s="216">
        <v>0</v>
      </c>
      <c r="S115" s="216">
        <v>0</v>
      </c>
      <c r="T115" s="216">
        <v>0</v>
      </c>
      <c r="U115" s="216">
        <f t="shared" si="25"/>
        <v>0</v>
      </c>
      <c r="V115" s="216">
        <f t="shared" si="26"/>
        <v>1802622.31</v>
      </c>
      <c r="W115" s="171">
        <v>0</v>
      </c>
      <c r="X115" s="171">
        <f t="shared" si="27"/>
        <v>1802622.31</v>
      </c>
      <c r="Y115" s="172">
        <v>0</v>
      </c>
      <c r="Z115" s="171">
        <f t="shared" si="28"/>
        <v>1802622.31</v>
      </c>
    </row>
    <row r="116" spans="1:26" ht="12.75" hidden="1" outlineLevel="1">
      <c r="A116" s="171" t="s">
        <v>1792</v>
      </c>
      <c r="C116" s="172" t="s">
        <v>1793</v>
      </c>
      <c r="D116" s="172" t="s">
        <v>1794</v>
      </c>
      <c r="E116" s="171">
        <v>0</v>
      </c>
      <c r="F116" s="171">
        <v>98041.4</v>
      </c>
      <c r="G116" s="216">
        <f t="shared" si="22"/>
        <v>98041.4</v>
      </c>
      <c r="H116" s="217">
        <v>0</v>
      </c>
      <c r="I116" s="217">
        <v>0</v>
      </c>
      <c r="J116" s="217">
        <v>0</v>
      </c>
      <c r="K116" s="217">
        <v>0</v>
      </c>
      <c r="L116" s="217">
        <f t="shared" si="23"/>
        <v>0</v>
      </c>
      <c r="M116" s="217">
        <v>0</v>
      </c>
      <c r="N116" s="217">
        <v>0</v>
      </c>
      <c r="O116" s="217">
        <v>0</v>
      </c>
      <c r="P116" s="217">
        <f t="shared" si="24"/>
        <v>0</v>
      </c>
      <c r="Q116" s="216">
        <v>0</v>
      </c>
      <c r="R116" s="216">
        <v>0</v>
      </c>
      <c r="S116" s="216">
        <v>0</v>
      </c>
      <c r="T116" s="216">
        <v>0</v>
      </c>
      <c r="U116" s="216">
        <f t="shared" si="25"/>
        <v>0</v>
      </c>
      <c r="V116" s="216">
        <f t="shared" si="26"/>
        <v>98041.4</v>
      </c>
      <c r="W116" s="171">
        <v>0</v>
      </c>
      <c r="X116" s="171">
        <f t="shared" si="27"/>
        <v>98041.4</v>
      </c>
      <c r="Y116" s="172">
        <v>0</v>
      </c>
      <c r="Z116" s="171">
        <f t="shared" si="28"/>
        <v>98041.4</v>
      </c>
    </row>
    <row r="117" spans="1:26" ht="12.75" hidden="1" outlineLevel="1">
      <c r="A117" s="171" t="s">
        <v>1795</v>
      </c>
      <c r="C117" s="172" t="s">
        <v>1796</v>
      </c>
      <c r="D117" s="172" t="s">
        <v>1797</v>
      </c>
      <c r="E117" s="171">
        <v>0</v>
      </c>
      <c r="F117" s="171">
        <v>94.75</v>
      </c>
      <c r="G117" s="216">
        <f t="shared" si="22"/>
        <v>94.75</v>
      </c>
      <c r="H117" s="217">
        <v>0</v>
      </c>
      <c r="I117" s="217">
        <v>0</v>
      </c>
      <c r="J117" s="217">
        <v>0</v>
      </c>
      <c r="K117" s="217">
        <v>0</v>
      </c>
      <c r="L117" s="217">
        <f t="shared" si="23"/>
        <v>0</v>
      </c>
      <c r="M117" s="217">
        <v>0</v>
      </c>
      <c r="N117" s="217">
        <v>0</v>
      </c>
      <c r="O117" s="217">
        <v>0</v>
      </c>
      <c r="P117" s="217">
        <f t="shared" si="24"/>
        <v>0</v>
      </c>
      <c r="Q117" s="216">
        <v>0</v>
      </c>
      <c r="R117" s="216">
        <v>0</v>
      </c>
      <c r="S117" s="216">
        <v>0</v>
      </c>
      <c r="T117" s="216">
        <v>0</v>
      </c>
      <c r="U117" s="216">
        <f t="shared" si="25"/>
        <v>0</v>
      </c>
      <c r="V117" s="216">
        <f t="shared" si="26"/>
        <v>94.75</v>
      </c>
      <c r="W117" s="171">
        <v>0</v>
      </c>
      <c r="X117" s="171">
        <f t="shared" si="27"/>
        <v>94.75</v>
      </c>
      <c r="Y117" s="172">
        <v>0</v>
      </c>
      <c r="Z117" s="171">
        <f t="shared" si="28"/>
        <v>94.75</v>
      </c>
    </row>
    <row r="118" spans="1:26" ht="12.75" hidden="1" outlineLevel="1">
      <c r="A118" s="171" t="s">
        <v>1798</v>
      </c>
      <c r="C118" s="172" t="s">
        <v>1799</v>
      </c>
      <c r="D118" s="172" t="s">
        <v>1800</v>
      </c>
      <c r="E118" s="171">
        <v>0</v>
      </c>
      <c r="F118" s="171">
        <v>7282.85</v>
      </c>
      <c r="G118" s="216">
        <f t="shared" si="22"/>
        <v>7282.85</v>
      </c>
      <c r="H118" s="217">
        <v>0</v>
      </c>
      <c r="I118" s="217">
        <v>0</v>
      </c>
      <c r="J118" s="217">
        <v>0</v>
      </c>
      <c r="K118" s="217">
        <v>0</v>
      </c>
      <c r="L118" s="217">
        <f t="shared" si="23"/>
        <v>0</v>
      </c>
      <c r="M118" s="217">
        <v>0</v>
      </c>
      <c r="N118" s="217">
        <v>0</v>
      </c>
      <c r="O118" s="217">
        <v>0</v>
      </c>
      <c r="P118" s="217">
        <f t="shared" si="24"/>
        <v>0</v>
      </c>
      <c r="Q118" s="216">
        <v>0</v>
      </c>
      <c r="R118" s="216">
        <v>0</v>
      </c>
      <c r="S118" s="216">
        <v>0</v>
      </c>
      <c r="T118" s="216">
        <v>0</v>
      </c>
      <c r="U118" s="216">
        <f t="shared" si="25"/>
        <v>0</v>
      </c>
      <c r="V118" s="216">
        <f t="shared" si="26"/>
        <v>7282.85</v>
      </c>
      <c r="W118" s="171">
        <v>0</v>
      </c>
      <c r="X118" s="171">
        <f t="shared" si="27"/>
        <v>7282.85</v>
      </c>
      <c r="Y118" s="172">
        <v>0</v>
      </c>
      <c r="Z118" s="171">
        <f t="shared" si="28"/>
        <v>7282.85</v>
      </c>
    </row>
    <row r="119" spans="1:26" ht="12.75" hidden="1" outlineLevel="1">
      <c r="A119" s="171" t="s">
        <v>1801</v>
      </c>
      <c r="C119" s="172" t="s">
        <v>1802</v>
      </c>
      <c r="D119" s="172" t="s">
        <v>1803</v>
      </c>
      <c r="E119" s="171">
        <v>0</v>
      </c>
      <c r="F119" s="171">
        <v>300</v>
      </c>
      <c r="G119" s="216">
        <f t="shared" si="22"/>
        <v>300</v>
      </c>
      <c r="H119" s="217">
        <v>0</v>
      </c>
      <c r="I119" s="217">
        <v>0</v>
      </c>
      <c r="J119" s="217">
        <v>0</v>
      </c>
      <c r="K119" s="217">
        <v>0</v>
      </c>
      <c r="L119" s="217">
        <f t="shared" si="23"/>
        <v>0</v>
      </c>
      <c r="M119" s="217">
        <v>0</v>
      </c>
      <c r="N119" s="217">
        <v>0</v>
      </c>
      <c r="O119" s="217">
        <v>0</v>
      </c>
      <c r="P119" s="217">
        <f t="shared" si="24"/>
        <v>0</v>
      </c>
      <c r="Q119" s="216">
        <v>0</v>
      </c>
      <c r="R119" s="216">
        <v>0</v>
      </c>
      <c r="S119" s="216">
        <v>0</v>
      </c>
      <c r="T119" s="216">
        <v>0</v>
      </c>
      <c r="U119" s="216">
        <f t="shared" si="25"/>
        <v>0</v>
      </c>
      <c r="V119" s="216">
        <f t="shared" si="26"/>
        <v>300</v>
      </c>
      <c r="W119" s="171">
        <v>0</v>
      </c>
      <c r="X119" s="171">
        <f t="shared" si="27"/>
        <v>300</v>
      </c>
      <c r="Y119" s="172">
        <v>0</v>
      </c>
      <c r="Z119" s="171">
        <f t="shared" si="28"/>
        <v>300</v>
      </c>
    </row>
    <row r="120" spans="1:26" ht="12.75" hidden="1" outlineLevel="1">
      <c r="A120" s="171" t="s">
        <v>1804</v>
      </c>
      <c r="C120" s="172" t="s">
        <v>1805</v>
      </c>
      <c r="D120" s="172" t="s">
        <v>1806</v>
      </c>
      <c r="E120" s="171">
        <v>0</v>
      </c>
      <c r="F120" s="171">
        <v>13152.63</v>
      </c>
      <c r="G120" s="216">
        <f t="shared" si="22"/>
        <v>13152.63</v>
      </c>
      <c r="H120" s="217">
        <v>0</v>
      </c>
      <c r="I120" s="217">
        <v>0</v>
      </c>
      <c r="J120" s="217">
        <v>0</v>
      </c>
      <c r="K120" s="217">
        <v>0</v>
      </c>
      <c r="L120" s="217">
        <f t="shared" si="23"/>
        <v>0</v>
      </c>
      <c r="M120" s="217">
        <v>0</v>
      </c>
      <c r="N120" s="217">
        <v>0</v>
      </c>
      <c r="O120" s="217">
        <v>0</v>
      </c>
      <c r="P120" s="217">
        <f t="shared" si="24"/>
        <v>0</v>
      </c>
      <c r="Q120" s="216">
        <v>0</v>
      </c>
      <c r="R120" s="216">
        <v>0</v>
      </c>
      <c r="S120" s="216">
        <v>0</v>
      </c>
      <c r="T120" s="216">
        <v>0</v>
      </c>
      <c r="U120" s="216">
        <f t="shared" si="25"/>
        <v>0</v>
      </c>
      <c r="V120" s="216">
        <f t="shared" si="26"/>
        <v>13152.63</v>
      </c>
      <c r="W120" s="171">
        <v>0</v>
      </c>
      <c r="X120" s="171">
        <f t="shared" si="27"/>
        <v>13152.63</v>
      </c>
      <c r="Y120" s="172">
        <v>0</v>
      </c>
      <c r="Z120" s="171">
        <f t="shared" si="28"/>
        <v>13152.63</v>
      </c>
    </row>
    <row r="121" spans="1:26" ht="12.75" hidden="1" outlineLevel="1">
      <c r="A121" s="171" t="s">
        <v>1807</v>
      </c>
      <c r="C121" s="172" t="s">
        <v>1808</v>
      </c>
      <c r="D121" s="172" t="s">
        <v>1809</v>
      </c>
      <c r="E121" s="171">
        <v>0</v>
      </c>
      <c r="F121" s="171">
        <v>4948.42</v>
      </c>
      <c r="G121" s="216">
        <f t="shared" si="22"/>
        <v>4948.42</v>
      </c>
      <c r="H121" s="217">
        <v>0</v>
      </c>
      <c r="I121" s="217">
        <v>0</v>
      </c>
      <c r="J121" s="217">
        <v>0</v>
      </c>
      <c r="K121" s="217">
        <v>0</v>
      </c>
      <c r="L121" s="217">
        <f t="shared" si="23"/>
        <v>0</v>
      </c>
      <c r="M121" s="217">
        <v>0</v>
      </c>
      <c r="N121" s="217">
        <v>0</v>
      </c>
      <c r="O121" s="217">
        <v>0</v>
      </c>
      <c r="P121" s="217">
        <f t="shared" si="24"/>
        <v>0</v>
      </c>
      <c r="Q121" s="216">
        <v>0</v>
      </c>
      <c r="R121" s="216">
        <v>0</v>
      </c>
      <c r="S121" s="216">
        <v>0</v>
      </c>
      <c r="T121" s="216">
        <v>0</v>
      </c>
      <c r="U121" s="216">
        <f t="shared" si="25"/>
        <v>0</v>
      </c>
      <c r="V121" s="216">
        <f t="shared" si="26"/>
        <v>4948.42</v>
      </c>
      <c r="W121" s="171">
        <v>0</v>
      </c>
      <c r="X121" s="171">
        <f t="shared" si="27"/>
        <v>4948.42</v>
      </c>
      <c r="Y121" s="172">
        <v>0</v>
      </c>
      <c r="Z121" s="171">
        <f t="shared" si="28"/>
        <v>4948.42</v>
      </c>
    </row>
    <row r="122" spans="1:26" ht="12.75" hidden="1" outlineLevel="1">
      <c r="A122" s="171" t="s">
        <v>1810</v>
      </c>
      <c r="C122" s="172" t="s">
        <v>1811</v>
      </c>
      <c r="D122" s="172" t="s">
        <v>1812</v>
      </c>
      <c r="E122" s="171">
        <v>0</v>
      </c>
      <c r="F122" s="171">
        <v>876.86</v>
      </c>
      <c r="G122" s="216">
        <f t="shared" si="22"/>
        <v>876.86</v>
      </c>
      <c r="H122" s="217">
        <v>0</v>
      </c>
      <c r="I122" s="217">
        <v>0</v>
      </c>
      <c r="J122" s="217">
        <v>0</v>
      </c>
      <c r="K122" s="217">
        <v>0</v>
      </c>
      <c r="L122" s="217">
        <f t="shared" si="23"/>
        <v>0</v>
      </c>
      <c r="M122" s="217">
        <v>0</v>
      </c>
      <c r="N122" s="217">
        <v>0</v>
      </c>
      <c r="O122" s="217">
        <v>0</v>
      </c>
      <c r="P122" s="217">
        <f t="shared" si="24"/>
        <v>0</v>
      </c>
      <c r="Q122" s="216">
        <v>0</v>
      </c>
      <c r="R122" s="216">
        <v>0</v>
      </c>
      <c r="S122" s="216">
        <v>0</v>
      </c>
      <c r="T122" s="216">
        <v>0</v>
      </c>
      <c r="U122" s="216">
        <f t="shared" si="25"/>
        <v>0</v>
      </c>
      <c r="V122" s="216">
        <f t="shared" si="26"/>
        <v>876.86</v>
      </c>
      <c r="W122" s="171">
        <v>0</v>
      </c>
      <c r="X122" s="171">
        <f t="shared" si="27"/>
        <v>876.86</v>
      </c>
      <c r="Y122" s="172">
        <v>0</v>
      </c>
      <c r="Z122" s="171">
        <f t="shared" si="28"/>
        <v>876.86</v>
      </c>
    </row>
    <row r="123" spans="1:26" ht="12.75" hidden="1" outlineLevel="1">
      <c r="A123" s="171" t="s">
        <v>1813</v>
      </c>
      <c r="C123" s="172" t="s">
        <v>1814</v>
      </c>
      <c r="D123" s="172" t="s">
        <v>1815</v>
      </c>
      <c r="E123" s="171">
        <v>0</v>
      </c>
      <c r="F123" s="171">
        <v>158439.15</v>
      </c>
      <c r="G123" s="216">
        <f t="shared" si="22"/>
        <v>158439.15</v>
      </c>
      <c r="H123" s="217">
        <v>0</v>
      </c>
      <c r="I123" s="217">
        <v>0</v>
      </c>
      <c r="J123" s="217">
        <v>0</v>
      </c>
      <c r="K123" s="217">
        <v>0</v>
      </c>
      <c r="L123" s="217">
        <f t="shared" si="23"/>
        <v>0</v>
      </c>
      <c r="M123" s="217">
        <v>0</v>
      </c>
      <c r="N123" s="217">
        <v>0</v>
      </c>
      <c r="O123" s="217">
        <v>0</v>
      </c>
      <c r="P123" s="217">
        <f t="shared" si="24"/>
        <v>0</v>
      </c>
      <c r="Q123" s="216">
        <v>0</v>
      </c>
      <c r="R123" s="216">
        <v>0</v>
      </c>
      <c r="S123" s="216">
        <v>0</v>
      </c>
      <c r="T123" s="216">
        <v>0</v>
      </c>
      <c r="U123" s="216">
        <f t="shared" si="25"/>
        <v>0</v>
      </c>
      <c r="V123" s="216">
        <f t="shared" si="26"/>
        <v>158439.15</v>
      </c>
      <c r="W123" s="171">
        <v>0</v>
      </c>
      <c r="X123" s="171">
        <f t="shared" si="27"/>
        <v>158439.15</v>
      </c>
      <c r="Y123" s="172">
        <v>0</v>
      </c>
      <c r="Z123" s="171">
        <f t="shared" si="28"/>
        <v>158439.15</v>
      </c>
    </row>
    <row r="124" spans="1:26" ht="12.75" hidden="1" outlineLevel="1">
      <c r="A124" s="171" t="s">
        <v>1816</v>
      </c>
      <c r="C124" s="172" t="s">
        <v>1817</v>
      </c>
      <c r="D124" s="172" t="s">
        <v>1818</v>
      </c>
      <c r="E124" s="171">
        <v>0</v>
      </c>
      <c r="F124" s="171">
        <v>38591.97</v>
      </c>
      <c r="G124" s="216">
        <f t="shared" si="22"/>
        <v>38591.97</v>
      </c>
      <c r="H124" s="217">
        <v>0</v>
      </c>
      <c r="I124" s="217">
        <v>0</v>
      </c>
      <c r="J124" s="217">
        <v>0</v>
      </c>
      <c r="K124" s="217">
        <v>0</v>
      </c>
      <c r="L124" s="217">
        <f t="shared" si="23"/>
        <v>0</v>
      </c>
      <c r="M124" s="217">
        <v>0</v>
      </c>
      <c r="N124" s="217">
        <v>0</v>
      </c>
      <c r="O124" s="217">
        <v>0</v>
      </c>
      <c r="P124" s="217">
        <f t="shared" si="24"/>
        <v>0</v>
      </c>
      <c r="Q124" s="216">
        <v>0</v>
      </c>
      <c r="R124" s="216">
        <v>0</v>
      </c>
      <c r="S124" s="216">
        <v>0</v>
      </c>
      <c r="T124" s="216">
        <v>0</v>
      </c>
      <c r="U124" s="216">
        <f t="shared" si="25"/>
        <v>0</v>
      </c>
      <c r="V124" s="216">
        <f t="shared" si="26"/>
        <v>38591.97</v>
      </c>
      <c r="W124" s="171">
        <v>0</v>
      </c>
      <c r="X124" s="171">
        <f t="shared" si="27"/>
        <v>38591.97</v>
      </c>
      <c r="Y124" s="172">
        <v>0</v>
      </c>
      <c r="Z124" s="171">
        <f t="shared" si="28"/>
        <v>38591.97</v>
      </c>
    </row>
    <row r="125" spans="1:26" ht="12.75" hidden="1" outlineLevel="1">
      <c r="A125" s="171" t="s">
        <v>1819</v>
      </c>
      <c r="C125" s="172" t="s">
        <v>1820</v>
      </c>
      <c r="D125" s="172" t="s">
        <v>1821</v>
      </c>
      <c r="E125" s="171">
        <v>0</v>
      </c>
      <c r="F125" s="171">
        <v>697213.97</v>
      </c>
      <c r="G125" s="216">
        <f t="shared" si="22"/>
        <v>697213.97</v>
      </c>
      <c r="H125" s="217">
        <v>0</v>
      </c>
      <c r="I125" s="217">
        <v>0</v>
      </c>
      <c r="J125" s="217">
        <v>0</v>
      </c>
      <c r="K125" s="217">
        <v>0</v>
      </c>
      <c r="L125" s="217">
        <f t="shared" si="23"/>
        <v>0</v>
      </c>
      <c r="M125" s="217">
        <v>0</v>
      </c>
      <c r="N125" s="217">
        <v>0</v>
      </c>
      <c r="O125" s="217">
        <v>0</v>
      </c>
      <c r="P125" s="217">
        <f t="shared" si="24"/>
        <v>0</v>
      </c>
      <c r="Q125" s="216">
        <v>0</v>
      </c>
      <c r="R125" s="216">
        <v>0</v>
      </c>
      <c r="S125" s="216">
        <v>0</v>
      </c>
      <c r="T125" s="216">
        <v>0</v>
      </c>
      <c r="U125" s="216">
        <f t="shared" si="25"/>
        <v>0</v>
      </c>
      <c r="V125" s="216">
        <f t="shared" si="26"/>
        <v>697213.97</v>
      </c>
      <c r="W125" s="171">
        <v>0</v>
      </c>
      <c r="X125" s="171">
        <f t="shared" si="27"/>
        <v>697213.97</v>
      </c>
      <c r="Y125" s="172">
        <v>0</v>
      </c>
      <c r="Z125" s="171">
        <f t="shared" si="28"/>
        <v>697213.97</v>
      </c>
    </row>
    <row r="126" spans="1:26" ht="12.75" hidden="1" outlineLevel="1">
      <c r="A126" s="171" t="s">
        <v>1822</v>
      </c>
      <c r="C126" s="172" t="s">
        <v>1823</v>
      </c>
      <c r="D126" s="172" t="s">
        <v>1824</v>
      </c>
      <c r="E126" s="171">
        <v>0</v>
      </c>
      <c r="F126" s="171">
        <v>307343.04</v>
      </c>
      <c r="G126" s="216">
        <f t="shared" si="22"/>
        <v>307343.04</v>
      </c>
      <c r="H126" s="217">
        <v>0</v>
      </c>
      <c r="I126" s="217">
        <v>0</v>
      </c>
      <c r="J126" s="217">
        <v>0</v>
      </c>
      <c r="K126" s="217">
        <v>0</v>
      </c>
      <c r="L126" s="217">
        <f t="shared" si="23"/>
        <v>0</v>
      </c>
      <c r="M126" s="217">
        <v>0</v>
      </c>
      <c r="N126" s="217">
        <v>0</v>
      </c>
      <c r="O126" s="217">
        <v>0</v>
      </c>
      <c r="P126" s="217">
        <f t="shared" si="24"/>
        <v>0</v>
      </c>
      <c r="Q126" s="216">
        <v>0</v>
      </c>
      <c r="R126" s="216">
        <v>0</v>
      </c>
      <c r="S126" s="216">
        <v>0</v>
      </c>
      <c r="T126" s="216">
        <v>0</v>
      </c>
      <c r="U126" s="216">
        <f t="shared" si="25"/>
        <v>0</v>
      </c>
      <c r="V126" s="216">
        <f t="shared" si="26"/>
        <v>307343.04</v>
      </c>
      <c r="W126" s="171">
        <v>0</v>
      </c>
      <c r="X126" s="171">
        <f t="shared" si="27"/>
        <v>307343.04</v>
      </c>
      <c r="Y126" s="172">
        <v>0</v>
      </c>
      <c r="Z126" s="171">
        <f t="shared" si="28"/>
        <v>307343.04</v>
      </c>
    </row>
    <row r="127" spans="1:26" ht="12.75" hidden="1" outlineLevel="1">
      <c r="A127" s="171" t="s">
        <v>1825</v>
      </c>
      <c r="C127" s="172" t="s">
        <v>1826</v>
      </c>
      <c r="D127" s="172" t="s">
        <v>1827</v>
      </c>
      <c r="E127" s="171">
        <v>0</v>
      </c>
      <c r="F127" s="171">
        <v>147779.23</v>
      </c>
      <c r="G127" s="216">
        <f t="shared" si="22"/>
        <v>147779.23</v>
      </c>
      <c r="H127" s="217">
        <v>0</v>
      </c>
      <c r="I127" s="217">
        <v>0</v>
      </c>
      <c r="J127" s="217">
        <v>0</v>
      </c>
      <c r="K127" s="217">
        <v>0</v>
      </c>
      <c r="L127" s="217">
        <f t="shared" si="23"/>
        <v>0</v>
      </c>
      <c r="M127" s="217">
        <v>0</v>
      </c>
      <c r="N127" s="217">
        <v>0</v>
      </c>
      <c r="O127" s="217">
        <v>0</v>
      </c>
      <c r="P127" s="217">
        <f t="shared" si="24"/>
        <v>0</v>
      </c>
      <c r="Q127" s="216">
        <v>0</v>
      </c>
      <c r="R127" s="216">
        <v>0</v>
      </c>
      <c r="S127" s="216">
        <v>0</v>
      </c>
      <c r="T127" s="216">
        <v>0</v>
      </c>
      <c r="U127" s="216">
        <f t="shared" si="25"/>
        <v>0</v>
      </c>
      <c r="V127" s="216">
        <f t="shared" si="26"/>
        <v>147779.23</v>
      </c>
      <c r="W127" s="171">
        <v>0</v>
      </c>
      <c r="X127" s="171">
        <f t="shared" si="27"/>
        <v>147779.23</v>
      </c>
      <c r="Y127" s="172">
        <v>0</v>
      </c>
      <c r="Z127" s="171">
        <f t="shared" si="28"/>
        <v>147779.23</v>
      </c>
    </row>
    <row r="128" spans="1:26" ht="12.75" hidden="1" outlineLevel="1">
      <c r="A128" s="171" t="s">
        <v>903</v>
      </c>
      <c r="C128" s="172" t="s">
        <v>904</v>
      </c>
      <c r="D128" s="172" t="s">
        <v>905</v>
      </c>
      <c r="E128" s="171">
        <v>0</v>
      </c>
      <c r="F128" s="171">
        <v>1891</v>
      </c>
      <c r="G128" s="216">
        <f t="shared" si="22"/>
        <v>1891</v>
      </c>
      <c r="H128" s="217">
        <v>0</v>
      </c>
      <c r="I128" s="217">
        <v>0</v>
      </c>
      <c r="J128" s="217">
        <v>0</v>
      </c>
      <c r="K128" s="217">
        <v>0</v>
      </c>
      <c r="L128" s="217">
        <f t="shared" si="23"/>
        <v>0</v>
      </c>
      <c r="M128" s="217">
        <v>0</v>
      </c>
      <c r="N128" s="217">
        <v>0</v>
      </c>
      <c r="O128" s="217">
        <v>0</v>
      </c>
      <c r="P128" s="217">
        <f t="shared" si="24"/>
        <v>0</v>
      </c>
      <c r="Q128" s="216">
        <v>0</v>
      </c>
      <c r="R128" s="216">
        <v>0</v>
      </c>
      <c r="S128" s="216">
        <v>0</v>
      </c>
      <c r="T128" s="216">
        <v>0</v>
      </c>
      <c r="U128" s="216">
        <f t="shared" si="25"/>
        <v>0</v>
      </c>
      <c r="V128" s="216">
        <f t="shared" si="26"/>
        <v>1891</v>
      </c>
      <c r="W128" s="171">
        <v>0</v>
      </c>
      <c r="X128" s="171">
        <f t="shared" si="27"/>
        <v>1891</v>
      </c>
      <c r="Y128" s="172">
        <v>0</v>
      </c>
      <c r="Z128" s="171">
        <f t="shared" si="28"/>
        <v>1891</v>
      </c>
    </row>
    <row r="129" spans="1:26" ht="12.75" hidden="1" outlineLevel="1">
      <c r="A129" s="171" t="s">
        <v>1828</v>
      </c>
      <c r="C129" s="172" t="s">
        <v>1829</v>
      </c>
      <c r="D129" s="172" t="s">
        <v>1830</v>
      </c>
      <c r="E129" s="171">
        <v>0</v>
      </c>
      <c r="F129" s="171">
        <v>834810.54</v>
      </c>
      <c r="G129" s="216">
        <f t="shared" si="22"/>
        <v>834810.54</v>
      </c>
      <c r="H129" s="217">
        <v>0</v>
      </c>
      <c r="I129" s="217">
        <v>0</v>
      </c>
      <c r="J129" s="217">
        <v>0</v>
      </c>
      <c r="K129" s="217">
        <v>0</v>
      </c>
      <c r="L129" s="217">
        <f t="shared" si="23"/>
        <v>0</v>
      </c>
      <c r="M129" s="217">
        <v>0</v>
      </c>
      <c r="N129" s="217">
        <v>0</v>
      </c>
      <c r="O129" s="217">
        <v>0</v>
      </c>
      <c r="P129" s="217">
        <f t="shared" si="24"/>
        <v>0</v>
      </c>
      <c r="Q129" s="216">
        <v>0</v>
      </c>
      <c r="R129" s="216">
        <v>0</v>
      </c>
      <c r="S129" s="216">
        <v>0</v>
      </c>
      <c r="T129" s="216">
        <v>0</v>
      </c>
      <c r="U129" s="216">
        <f t="shared" si="25"/>
        <v>0</v>
      </c>
      <c r="V129" s="216">
        <f t="shared" si="26"/>
        <v>834810.54</v>
      </c>
      <c r="W129" s="171">
        <v>0</v>
      </c>
      <c r="X129" s="171">
        <f t="shared" si="27"/>
        <v>834810.54</v>
      </c>
      <c r="Y129" s="172">
        <v>0</v>
      </c>
      <c r="Z129" s="171">
        <f t="shared" si="28"/>
        <v>834810.54</v>
      </c>
    </row>
    <row r="130" spans="1:26" ht="12.75" hidden="1" outlineLevel="1">
      <c r="A130" s="171" t="s">
        <v>1831</v>
      </c>
      <c r="C130" s="172" t="s">
        <v>1832</v>
      </c>
      <c r="D130" s="172" t="s">
        <v>1833</v>
      </c>
      <c r="E130" s="171">
        <v>0</v>
      </c>
      <c r="F130" s="171">
        <v>1080827.34</v>
      </c>
      <c r="G130" s="216">
        <f t="shared" si="22"/>
        <v>1080827.34</v>
      </c>
      <c r="H130" s="217">
        <v>0</v>
      </c>
      <c r="I130" s="217">
        <v>0</v>
      </c>
      <c r="J130" s="217">
        <v>0</v>
      </c>
      <c r="K130" s="217">
        <v>0</v>
      </c>
      <c r="L130" s="217">
        <f t="shared" si="23"/>
        <v>0</v>
      </c>
      <c r="M130" s="217">
        <v>0</v>
      </c>
      <c r="N130" s="217">
        <v>0</v>
      </c>
      <c r="O130" s="217">
        <v>0</v>
      </c>
      <c r="P130" s="217">
        <f t="shared" si="24"/>
        <v>0</v>
      </c>
      <c r="Q130" s="216">
        <v>0</v>
      </c>
      <c r="R130" s="216">
        <v>0</v>
      </c>
      <c r="S130" s="216">
        <v>0</v>
      </c>
      <c r="T130" s="216">
        <v>0</v>
      </c>
      <c r="U130" s="216">
        <f t="shared" si="25"/>
        <v>0</v>
      </c>
      <c r="V130" s="216">
        <f t="shared" si="26"/>
        <v>1080827.34</v>
      </c>
      <c r="W130" s="171">
        <v>0</v>
      </c>
      <c r="X130" s="171">
        <f t="shared" si="27"/>
        <v>1080827.34</v>
      </c>
      <c r="Y130" s="172">
        <v>0</v>
      </c>
      <c r="Z130" s="171">
        <f t="shared" si="28"/>
        <v>1080827.34</v>
      </c>
    </row>
    <row r="131" spans="1:26" ht="12.75" hidden="1" outlineLevel="1">
      <c r="A131" s="171" t="s">
        <v>1834</v>
      </c>
      <c r="C131" s="172" t="s">
        <v>1835</v>
      </c>
      <c r="D131" s="172" t="s">
        <v>1836</v>
      </c>
      <c r="E131" s="171">
        <v>0</v>
      </c>
      <c r="F131" s="171">
        <v>249</v>
      </c>
      <c r="G131" s="216">
        <f t="shared" si="22"/>
        <v>249</v>
      </c>
      <c r="H131" s="217">
        <v>0</v>
      </c>
      <c r="I131" s="217">
        <v>0</v>
      </c>
      <c r="J131" s="217">
        <v>0</v>
      </c>
      <c r="K131" s="217">
        <v>0</v>
      </c>
      <c r="L131" s="217">
        <f t="shared" si="23"/>
        <v>0</v>
      </c>
      <c r="M131" s="217">
        <v>0</v>
      </c>
      <c r="N131" s="217">
        <v>0</v>
      </c>
      <c r="O131" s="217">
        <v>0</v>
      </c>
      <c r="P131" s="217">
        <f t="shared" si="24"/>
        <v>0</v>
      </c>
      <c r="Q131" s="216">
        <v>0</v>
      </c>
      <c r="R131" s="216">
        <v>0</v>
      </c>
      <c r="S131" s="216">
        <v>0</v>
      </c>
      <c r="T131" s="216">
        <v>0</v>
      </c>
      <c r="U131" s="216">
        <f t="shared" si="25"/>
        <v>0</v>
      </c>
      <c r="V131" s="216">
        <f t="shared" si="26"/>
        <v>249</v>
      </c>
      <c r="W131" s="171">
        <v>0</v>
      </c>
      <c r="X131" s="171">
        <f t="shared" si="27"/>
        <v>249</v>
      </c>
      <c r="Y131" s="172">
        <v>0</v>
      </c>
      <c r="Z131" s="171">
        <f t="shared" si="28"/>
        <v>249</v>
      </c>
    </row>
    <row r="132" spans="1:26" ht="12.75" hidden="1" outlineLevel="1">
      <c r="A132" s="171" t="s">
        <v>1837</v>
      </c>
      <c r="C132" s="172" t="s">
        <v>1838</v>
      </c>
      <c r="D132" s="172" t="s">
        <v>1839</v>
      </c>
      <c r="E132" s="171">
        <v>0</v>
      </c>
      <c r="F132" s="171">
        <v>15680.52</v>
      </c>
      <c r="G132" s="216">
        <f t="shared" si="22"/>
        <v>15680.52</v>
      </c>
      <c r="H132" s="217">
        <v>0</v>
      </c>
      <c r="I132" s="217">
        <v>0</v>
      </c>
      <c r="J132" s="217">
        <v>0</v>
      </c>
      <c r="K132" s="217">
        <v>0</v>
      </c>
      <c r="L132" s="217">
        <f t="shared" si="23"/>
        <v>0</v>
      </c>
      <c r="M132" s="217">
        <v>0</v>
      </c>
      <c r="N132" s="217">
        <v>0</v>
      </c>
      <c r="O132" s="217">
        <v>0</v>
      </c>
      <c r="P132" s="217">
        <f t="shared" si="24"/>
        <v>0</v>
      </c>
      <c r="Q132" s="216">
        <v>0</v>
      </c>
      <c r="R132" s="216">
        <v>0</v>
      </c>
      <c r="S132" s="216">
        <v>0</v>
      </c>
      <c r="T132" s="216">
        <v>0</v>
      </c>
      <c r="U132" s="216">
        <f t="shared" si="25"/>
        <v>0</v>
      </c>
      <c r="V132" s="216">
        <f t="shared" si="26"/>
        <v>15680.52</v>
      </c>
      <c r="W132" s="171">
        <v>0</v>
      </c>
      <c r="X132" s="171">
        <f t="shared" si="27"/>
        <v>15680.52</v>
      </c>
      <c r="Y132" s="172">
        <v>0</v>
      </c>
      <c r="Z132" s="171">
        <f t="shared" si="28"/>
        <v>15680.52</v>
      </c>
    </row>
    <row r="133" spans="1:26" ht="12.75" hidden="1" outlineLevel="1">
      <c r="A133" s="171" t="s">
        <v>1840</v>
      </c>
      <c r="C133" s="172" t="s">
        <v>1841</v>
      </c>
      <c r="D133" s="172" t="s">
        <v>1842</v>
      </c>
      <c r="E133" s="171">
        <v>0</v>
      </c>
      <c r="F133" s="171">
        <v>236888.16</v>
      </c>
      <c r="G133" s="216">
        <f t="shared" si="22"/>
        <v>236888.16</v>
      </c>
      <c r="H133" s="217">
        <v>0</v>
      </c>
      <c r="I133" s="217">
        <v>0</v>
      </c>
      <c r="J133" s="217">
        <v>0</v>
      </c>
      <c r="K133" s="217">
        <v>0</v>
      </c>
      <c r="L133" s="217">
        <f t="shared" si="23"/>
        <v>0</v>
      </c>
      <c r="M133" s="217">
        <v>0</v>
      </c>
      <c r="N133" s="217">
        <v>0</v>
      </c>
      <c r="O133" s="217">
        <v>0</v>
      </c>
      <c r="P133" s="217">
        <f t="shared" si="24"/>
        <v>0</v>
      </c>
      <c r="Q133" s="216">
        <v>0</v>
      </c>
      <c r="R133" s="216">
        <v>0</v>
      </c>
      <c r="S133" s="216">
        <v>0</v>
      </c>
      <c r="T133" s="216">
        <v>0</v>
      </c>
      <c r="U133" s="216">
        <f t="shared" si="25"/>
        <v>0</v>
      </c>
      <c r="V133" s="216">
        <f t="shared" si="26"/>
        <v>236888.16</v>
      </c>
      <c r="W133" s="171">
        <v>0</v>
      </c>
      <c r="X133" s="171">
        <f t="shared" si="27"/>
        <v>236888.16</v>
      </c>
      <c r="Y133" s="172">
        <v>0</v>
      </c>
      <c r="Z133" s="171">
        <f t="shared" si="28"/>
        <v>236888.16</v>
      </c>
    </row>
    <row r="134" spans="1:26" ht="12.75" hidden="1" outlineLevel="1">
      <c r="A134" s="171" t="s">
        <v>1843</v>
      </c>
      <c r="C134" s="172" t="s">
        <v>1844</v>
      </c>
      <c r="D134" s="172" t="s">
        <v>1845</v>
      </c>
      <c r="E134" s="171">
        <v>0</v>
      </c>
      <c r="F134" s="171">
        <v>2529761.98</v>
      </c>
      <c r="G134" s="216">
        <f t="shared" si="22"/>
        <v>2529761.98</v>
      </c>
      <c r="H134" s="217">
        <v>0</v>
      </c>
      <c r="I134" s="217">
        <v>0</v>
      </c>
      <c r="J134" s="217">
        <v>0</v>
      </c>
      <c r="K134" s="217">
        <v>0</v>
      </c>
      <c r="L134" s="217">
        <f t="shared" si="23"/>
        <v>0</v>
      </c>
      <c r="M134" s="217">
        <v>0</v>
      </c>
      <c r="N134" s="217">
        <v>0</v>
      </c>
      <c r="O134" s="217">
        <v>0</v>
      </c>
      <c r="P134" s="217">
        <f t="shared" si="24"/>
        <v>0</v>
      </c>
      <c r="Q134" s="216">
        <v>0</v>
      </c>
      <c r="R134" s="216">
        <v>0</v>
      </c>
      <c r="S134" s="216">
        <v>0</v>
      </c>
      <c r="T134" s="216">
        <v>0</v>
      </c>
      <c r="U134" s="216">
        <f t="shared" si="25"/>
        <v>0</v>
      </c>
      <c r="V134" s="216">
        <f t="shared" si="26"/>
        <v>2529761.98</v>
      </c>
      <c r="W134" s="171">
        <v>0</v>
      </c>
      <c r="X134" s="171">
        <f t="shared" si="27"/>
        <v>2529761.98</v>
      </c>
      <c r="Y134" s="172">
        <v>0</v>
      </c>
      <c r="Z134" s="171">
        <f t="shared" si="28"/>
        <v>2529761.98</v>
      </c>
    </row>
    <row r="135" spans="1:26" ht="12.75" hidden="1" outlineLevel="1">
      <c r="A135" s="171" t="s">
        <v>1846</v>
      </c>
      <c r="C135" s="172" t="s">
        <v>1847</v>
      </c>
      <c r="D135" s="172" t="s">
        <v>1848</v>
      </c>
      <c r="E135" s="171">
        <v>0</v>
      </c>
      <c r="F135" s="171">
        <v>235730.94</v>
      </c>
      <c r="G135" s="216">
        <f t="shared" si="22"/>
        <v>235730.94</v>
      </c>
      <c r="H135" s="217">
        <v>0</v>
      </c>
      <c r="I135" s="217">
        <v>0</v>
      </c>
      <c r="J135" s="217">
        <v>0</v>
      </c>
      <c r="K135" s="217">
        <v>0</v>
      </c>
      <c r="L135" s="217">
        <f t="shared" si="23"/>
        <v>0</v>
      </c>
      <c r="M135" s="217">
        <v>0</v>
      </c>
      <c r="N135" s="217">
        <v>0</v>
      </c>
      <c r="O135" s="217">
        <v>0</v>
      </c>
      <c r="P135" s="217">
        <f t="shared" si="24"/>
        <v>0</v>
      </c>
      <c r="Q135" s="216">
        <v>0</v>
      </c>
      <c r="R135" s="216">
        <v>0</v>
      </c>
      <c r="S135" s="216">
        <v>0</v>
      </c>
      <c r="T135" s="216">
        <v>0</v>
      </c>
      <c r="U135" s="216">
        <f t="shared" si="25"/>
        <v>0</v>
      </c>
      <c r="V135" s="216">
        <f t="shared" si="26"/>
        <v>235730.94</v>
      </c>
      <c r="W135" s="171">
        <v>0</v>
      </c>
      <c r="X135" s="171">
        <f t="shared" si="27"/>
        <v>235730.94</v>
      </c>
      <c r="Y135" s="172">
        <v>0</v>
      </c>
      <c r="Z135" s="171">
        <f t="shared" si="28"/>
        <v>235730.94</v>
      </c>
    </row>
    <row r="136" spans="1:26" ht="12.75" hidden="1" outlineLevel="1">
      <c r="A136" s="171" t="s">
        <v>1849</v>
      </c>
      <c r="C136" s="172" t="s">
        <v>1850</v>
      </c>
      <c r="D136" s="172" t="s">
        <v>1851</v>
      </c>
      <c r="E136" s="171">
        <v>0</v>
      </c>
      <c r="F136" s="171">
        <v>1574.03</v>
      </c>
      <c r="G136" s="216">
        <f t="shared" si="22"/>
        <v>1574.03</v>
      </c>
      <c r="H136" s="217">
        <v>0</v>
      </c>
      <c r="I136" s="217">
        <v>0</v>
      </c>
      <c r="J136" s="217">
        <v>0</v>
      </c>
      <c r="K136" s="217">
        <v>0</v>
      </c>
      <c r="L136" s="217">
        <f t="shared" si="23"/>
        <v>0</v>
      </c>
      <c r="M136" s="217">
        <v>0</v>
      </c>
      <c r="N136" s="217">
        <v>0</v>
      </c>
      <c r="O136" s="217">
        <v>0</v>
      </c>
      <c r="P136" s="217">
        <f t="shared" si="24"/>
        <v>0</v>
      </c>
      <c r="Q136" s="216">
        <v>0</v>
      </c>
      <c r="R136" s="216">
        <v>0</v>
      </c>
      <c r="S136" s="216">
        <v>0</v>
      </c>
      <c r="T136" s="216">
        <v>0</v>
      </c>
      <c r="U136" s="216">
        <f t="shared" si="25"/>
        <v>0</v>
      </c>
      <c r="V136" s="216">
        <f t="shared" si="26"/>
        <v>1574.03</v>
      </c>
      <c r="W136" s="171">
        <v>0</v>
      </c>
      <c r="X136" s="171">
        <f t="shared" si="27"/>
        <v>1574.03</v>
      </c>
      <c r="Y136" s="172">
        <v>0</v>
      </c>
      <c r="Z136" s="171">
        <f t="shared" si="28"/>
        <v>1574.03</v>
      </c>
    </row>
    <row r="137" spans="1:26" ht="12.75" hidden="1" outlineLevel="1">
      <c r="A137" s="171" t="s">
        <v>1852</v>
      </c>
      <c r="C137" s="172" t="s">
        <v>1853</v>
      </c>
      <c r="D137" s="172" t="s">
        <v>1854</v>
      </c>
      <c r="E137" s="171">
        <v>0</v>
      </c>
      <c r="F137" s="171">
        <v>325.41</v>
      </c>
      <c r="G137" s="216">
        <f t="shared" si="22"/>
        <v>325.41</v>
      </c>
      <c r="H137" s="217">
        <v>0</v>
      </c>
      <c r="I137" s="217">
        <v>0</v>
      </c>
      <c r="J137" s="217">
        <v>0</v>
      </c>
      <c r="K137" s="217">
        <v>0</v>
      </c>
      <c r="L137" s="217">
        <f t="shared" si="23"/>
        <v>0</v>
      </c>
      <c r="M137" s="217">
        <v>0</v>
      </c>
      <c r="N137" s="217">
        <v>0</v>
      </c>
      <c r="O137" s="217">
        <v>0</v>
      </c>
      <c r="P137" s="217">
        <f t="shared" si="24"/>
        <v>0</v>
      </c>
      <c r="Q137" s="216">
        <v>0</v>
      </c>
      <c r="R137" s="216">
        <v>0</v>
      </c>
      <c r="S137" s="216">
        <v>0</v>
      </c>
      <c r="T137" s="216">
        <v>0</v>
      </c>
      <c r="U137" s="216">
        <f t="shared" si="25"/>
        <v>0</v>
      </c>
      <c r="V137" s="216">
        <f t="shared" si="26"/>
        <v>325.41</v>
      </c>
      <c r="W137" s="171">
        <v>0</v>
      </c>
      <c r="X137" s="171">
        <f t="shared" si="27"/>
        <v>325.41</v>
      </c>
      <c r="Y137" s="172">
        <v>0</v>
      </c>
      <c r="Z137" s="171">
        <f t="shared" si="28"/>
        <v>325.41</v>
      </c>
    </row>
    <row r="138" spans="1:26" ht="12.75" hidden="1" outlineLevel="1">
      <c r="A138" s="171" t="s">
        <v>1855</v>
      </c>
      <c r="C138" s="172" t="s">
        <v>1856</v>
      </c>
      <c r="D138" s="172" t="s">
        <v>1857</v>
      </c>
      <c r="E138" s="171">
        <v>0</v>
      </c>
      <c r="F138" s="171">
        <v>145943.88</v>
      </c>
      <c r="G138" s="216">
        <f t="shared" si="22"/>
        <v>145943.88</v>
      </c>
      <c r="H138" s="217">
        <v>-120828.03</v>
      </c>
      <c r="I138" s="217">
        <v>0</v>
      </c>
      <c r="J138" s="217">
        <v>0</v>
      </c>
      <c r="K138" s="217">
        <v>0</v>
      </c>
      <c r="L138" s="217">
        <f t="shared" si="23"/>
        <v>0</v>
      </c>
      <c r="M138" s="217">
        <v>0</v>
      </c>
      <c r="N138" s="217">
        <v>45.5</v>
      </c>
      <c r="O138" s="217">
        <v>0</v>
      </c>
      <c r="P138" s="217">
        <f t="shared" si="24"/>
        <v>45.5</v>
      </c>
      <c r="Q138" s="216">
        <v>0</v>
      </c>
      <c r="R138" s="216">
        <v>0</v>
      </c>
      <c r="S138" s="216">
        <v>0</v>
      </c>
      <c r="T138" s="216">
        <v>0</v>
      </c>
      <c r="U138" s="216">
        <f t="shared" si="25"/>
        <v>0</v>
      </c>
      <c r="V138" s="216">
        <f t="shared" si="26"/>
        <v>25161.350000000006</v>
      </c>
      <c r="W138" s="171">
        <v>0</v>
      </c>
      <c r="X138" s="171">
        <f t="shared" si="27"/>
        <v>25161.350000000006</v>
      </c>
      <c r="Y138" s="172">
        <v>0</v>
      </c>
      <c r="Z138" s="171">
        <f t="shared" si="28"/>
        <v>25161.350000000006</v>
      </c>
    </row>
    <row r="139" spans="1:26" ht="12.75" hidden="1" outlineLevel="1">
      <c r="A139" s="171" t="s">
        <v>1858</v>
      </c>
      <c r="C139" s="172" t="s">
        <v>1859</v>
      </c>
      <c r="D139" s="172" t="s">
        <v>1860</v>
      </c>
      <c r="E139" s="171">
        <v>0</v>
      </c>
      <c r="F139" s="171">
        <v>1135666.68</v>
      </c>
      <c r="G139" s="216">
        <f t="shared" si="22"/>
        <v>1135666.68</v>
      </c>
      <c r="H139" s="217">
        <v>736983</v>
      </c>
      <c r="I139" s="217">
        <v>0</v>
      </c>
      <c r="J139" s="217">
        <v>0</v>
      </c>
      <c r="K139" s="217">
        <v>0</v>
      </c>
      <c r="L139" s="217">
        <f t="shared" si="23"/>
        <v>0</v>
      </c>
      <c r="M139" s="217">
        <v>0</v>
      </c>
      <c r="N139" s="217">
        <v>0</v>
      </c>
      <c r="O139" s="217">
        <v>0</v>
      </c>
      <c r="P139" s="217">
        <f t="shared" si="24"/>
        <v>0</v>
      </c>
      <c r="Q139" s="216">
        <v>0</v>
      </c>
      <c r="R139" s="216">
        <v>0</v>
      </c>
      <c r="S139" s="216">
        <v>0</v>
      </c>
      <c r="T139" s="216">
        <v>0</v>
      </c>
      <c r="U139" s="216">
        <f t="shared" si="25"/>
        <v>0</v>
      </c>
      <c r="V139" s="216">
        <f t="shared" si="26"/>
        <v>1872649.68</v>
      </c>
      <c r="W139" s="171">
        <v>0</v>
      </c>
      <c r="X139" s="171">
        <f t="shared" si="27"/>
        <v>1872649.68</v>
      </c>
      <c r="Y139" s="172">
        <v>4186.81</v>
      </c>
      <c r="Z139" s="171">
        <f t="shared" si="28"/>
        <v>1876836.49</v>
      </c>
    </row>
    <row r="140" spans="1:26" ht="12.75" hidden="1" outlineLevel="1">
      <c r="A140" s="171" t="s">
        <v>1861</v>
      </c>
      <c r="C140" s="172" t="s">
        <v>1862</v>
      </c>
      <c r="D140" s="172" t="s">
        <v>1863</v>
      </c>
      <c r="E140" s="171">
        <v>0</v>
      </c>
      <c r="F140" s="171">
        <v>185628.07</v>
      </c>
      <c r="G140" s="216">
        <f t="shared" si="22"/>
        <v>185628.07</v>
      </c>
      <c r="H140" s="217">
        <v>284807.67</v>
      </c>
      <c r="I140" s="217">
        <v>0</v>
      </c>
      <c r="J140" s="217">
        <v>0</v>
      </c>
      <c r="K140" s="217">
        <v>0</v>
      </c>
      <c r="L140" s="217">
        <f t="shared" si="23"/>
        <v>0</v>
      </c>
      <c r="M140" s="217">
        <v>0</v>
      </c>
      <c r="N140" s="217">
        <v>0</v>
      </c>
      <c r="O140" s="217">
        <v>0</v>
      </c>
      <c r="P140" s="217">
        <f t="shared" si="24"/>
        <v>0</v>
      </c>
      <c r="Q140" s="216">
        <v>0</v>
      </c>
      <c r="R140" s="216">
        <v>76.75</v>
      </c>
      <c r="S140" s="216">
        <v>0</v>
      </c>
      <c r="T140" s="216">
        <v>0</v>
      </c>
      <c r="U140" s="216">
        <f t="shared" si="25"/>
        <v>76.75</v>
      </c>
      <c r="V140" s="216">
        <f t="shared" si="26"/>
        <v>470512.49</v>
      </c>
      <c r="W140" s="171">
        <v>0</v>
      </c>
      <c r="X140" s="171">
        <f t="shared" si="27"/>
        <v>470512.49</v>
      </c>
      <c r="Y140" s="172">
        <v>147.69</v>
      </c>
      <c r="Z140" s="171">
        <f t="shared" si="28"/>
        <v>470660.18</v>
      </c>
    </row>
    <row r="141" spans="1:26" ht="12.75" hidden="1" outlineLevel="1">
      <c r="A141" s="171" t="s">
        <v>1864</v>
      </c>
      <c r="C141" s="172" t="s">
        <v>1865</v>
      </c>
      <c r="D141" s="172" t="s">
        <v>1866</v>
      </c>
      <c r="E141" s="171">
        <v>0</v>
      </c>
      <c r="F141" s="171">
        <v>621678.69</v>
      </c>
      <c r="G141" s="216">
        <f t="shared" si="22"/>
        <v>621678.69</v>
      </c>
      <c r="H141" s="217">
        <v>290077.24</v>
      </c>
      <c r="I141" s="217">
        <v>0</v>
      </c>
      <c r="J141" s="217">
        <v>0</v>
      </c>
      <c r="K141" s="217">
        <v>0</v>
      </c>
      <c r="L141" s="217">
        <f t="shared" si="23"/>
        <v>0</v>
      </c>
      <c r="M141" s="217">
        <v>0</v>
      </c>
      <c r="N141" s="217">
        <v>0</v>
      </c>
      <c r="O141" s="217">
        <v>0</v>
      </c>
      <c r="P141" s="217">
        <f t="shared" si="24"/>
        <v>0</v>
      </c>
      <c r="Q141" s="216">
        <v>0</v>
      </c>
      <c r="R141" s="216">
        <v>4815.11</v>
      </c>
      <c r="S141" s="216">
        <v>0</v>
      </c>
      <c r="T141" s="216">
        <v>0</v>
      </c>
      <c r="U141" s="216">
        <f t="shared" si="25"/>
        <v>4815.11</v>
      </c>
      <c r="V141" s="216">
        <f t="shared" si="26"/>
        <v>916571.0399999999</v>
      </c>
      <c r="W141" s="171">
        <v>0</v>
      </c>
      <c r="X141" s="171">
        <f t="shared" si="27"/>
        <v>916571.0399999999</v>
      </c>
      <c r="Y141" s="172">
        <v>518.35</v>
      </c>
      <c r="Z141" s="171">
        <f t="shared" si="28"/>
        <v>917089.3899999999</v>
      </c>
    </row>
    <row r="142" spans="1:26" ht="12.75" hidden="1" outlineLevel="1">
      <c r="A142" s="171" t="s">
        <v>1867</v>
      </c>
      <c r="C142" s="172" t="s">
        <v>1868</v>
      </c>
      <c r="D142" s="172" t="s">
        <v>1869</v>
      </c>
      <c r="E142" s="171">
        <v>0</v>
      </c>
      <c r="F142" s="171">
        <v>458693.12</v>
      </c>
      <c r="G142" s="216">
        <f aca="true" t="shared" si="29" ref="G142:G205">E142+F142</f>
        <v>458693.12</v>
      </c>
      <c r="H142" s="217">
        <v>77710.99</v>
      </c>
      <c r="I142" s="217">
        <v>0</v>
      </c>
      <c r="J142" s="217">
        <v>0</v>
      </c>
      <c r="K142" s="217">
        <v>0</v>
      </c>
      <c r="L142" s="217">
        <f aca="true" t="shared" si="30" ref="L142:L205">J142+I142+K142</f>
        <v>0</v>
      </c>
      <c r="M142" s="217">
        <v>0</v>
      </c>
      <c r="N142" s="217">
        <v>0</v>
      </c>
      <c r="O142" s="217">
        <v>0</v>
      </c>
      <c r="P142" s="217">
        <f aca="true" t="shared" si="31" ref="P142:P205">M142+N142+O142</f>
        <v>0</v>
      </c>
      <c r="Q142" s="216">
        <v>0</v>
      </c>
      <c r="R142" s="216">
        <v>0</v>
      </c>
      <c r="S142" s="216">
        <v>0</v>
      </c>
      <c r="T142" s="216">
        <v>0</v>
      </c>
      <c r="U142" s="216">
        <f aca="true" t="shared" si="32" ref="U142:U205">Q142+R142+S142+T142</f>
        <v>0</v>
      </c>
      <c r="V142" s="216">
        <f aca="true" t="shared" si="33" ref="V142:V205">G142+H142+L142+P142+U142</f>
        <v>536404.11</v>
      </c>
      <c r="W142" s="171">
        <v>0</v>
      </c>
      <c r="X142" s="171">
        <f aca="true" t="shared" si="34" ref="X142:X205">V142+W142</f>
        <v>536404.11</v>
      </c>
      <c r="Y142" s="172">
        <v>0</v>
      </c>
      <c r="Z142" s="171">
        <f aca="true" t="shared" si="35" ref="Z142:Z205">X142+Y142</f>
        <v>536404.11</v>
      </c>
    </row>
    <row r="143" spans="1:26" ht="12.75" hidden="1" outlineLevel="1">
      <c r="A143" s="171" t="s">
        <v>1870</v>
      </c>
      <c r="C143" s="172" t="s">
        <v>1871</v>
      </c>
      <c r="D143" s="172" t="s">
        <v>1872</v>
      </c>
      <c r="E143" s="171">
        <v>0</v>
      </c>
      <c r="F143" s="171">
        <v>14872.41</v>
      </c>
      <c r="G143" s="216">
        <f t="shared" si="29"/>
        <v>14872.41</v>
      </c>
      <c r="H143" s="217">
        <v>4924.18</v>
      </c>
      <c r="I143" s="217">
        <v>0</v>
      </c>
      <c r="J143" s="217">
        <v>0</v>
      </c>
      <c r="K143" s="217">
        <v>0</v>
      </c>
      <c r="L143" s="217">
        <f t="shared" si="30"/>
        <v>0</v>
      </c>
      <c r="M143" s="217">
        <v>0</v>
      </c>
      <c r="N143" s="217">
        <v>0</v>
      </c>
      <c r="O143" s="217">
        <v>0</v>
      </c>
      <c r="P143" s="217">
        <f t="shared" si="31"/>
        <v>0</v>
      </c>
      <c r="Q143" s="216">
        <v>0</v>
      </c>
      <c r="R143" s="216">
        <v>0</v>
      </c>
      <c r="S143" s="216">
        <v>0</v>
      </c>
      <c r="T143" s="216">
        <v>0</v>
      </c>
      <c r="U143" s="216">
        <f t="shared" si="32"/>
        <v>0</v>
      </c>
      <c r="V143" s="216">
        <f t="shared" si="33"/>
        <v>19796.59</v>
      </c>
      <c r="W143" s="171">
        <v>0</v>
      </c>
      <c r="X143" s="171">
        <f t="shared" si="34"/>
        <v>19796.59</v>
      </c>
      <c r="Y143" s="172">
        <v>0</v>
      </c>
      <c r="Z143" s="171">
        <f t="shared" si="35"/>
        <v>19796.59</v>
      </c>
    </row>
    <row r="144" spans="1:26" ht="12.75" hidden="1" outlineLevel="1">
      <c r="A144" s="171" t="s">
        <v>1873</v>
      </c>
      <c r="C144" s="172" t="s">
        <v>1874</v>
      </c>
      <c r="D144" s="172" t="s">
        <v>1875</v>
      </c>
      <c r="E144" s="171">
        <v>0</v>
      </c>
      <c r="F144" s="171">
        <v>7612.91</v>
      </c>
      <c r="G144" s="216">
        <f t="shared" si="29"/>
        <v>7612.91</v>
      </c>
      <c r="H144" s="217">
        <v>911</v>
      </c>
      <c r="I144" s="217">
        <v>0</v>
      </c>
      <c r="J144" s="217">
        <v>0</v>
      </c>
      <c r="K144" s="217">
        <v>0</v>
      </c>
      <c r="L144" s="217">
        <f t="shared" si="30"/>
        <v>0</v>
      </c>
      <c r="M144" s="217">
        <v>0</v>
      </c>
      <c r="N144" s="217">
        <v>0</v>
      </c>
      <c r="O144" s="217">
        <v>0</v>
      </c>
      <c r="P144" s="217">
        <f t="shared" si="31"/>
        <v>0</v>
      </c>
      <c r="Q144" s="216">
        <v>0</v>
      </c>
      <c r="R144" s="216">
        <v>0</v>
      </c>
      <c r="S144" s="216">
        <v>0</v>
      </c>
      <c r="T144" s="216">
        <v>0</v>
      </c>
      <c r="U144" s="216">
        <f t="shared" si="32"/>
        <v>0</v>
      </c>
      <c r="V144" s="216">
        <f t="shared" si="33"/>
        <v>8523.91</v>
      </c>
      <c r="W144" s="171">
        <v>0</v>
      </c>
      <c r="X144" s="171">
        <f t="shared" si="34"/>
        <v>8523.91</v>
      </c>
      <c r="Y144" s="172">
        <v>0</v>
      </c>
      <c r="Z144" s="171">
        <f t="shared" si="35"/>
        <v>8523.91</v>
      </c>
    </row>
    <row r="145" spans="1:26" ht="12.75" hidden="1" outlineLevel="1">
      <c r="A145" s="171" t="s">
        <v>1876</v>
      </c>
      <c r="C145" s="172" t="s">
        <v>1877</v>
      </c>
      <c r="D145" s="172" t="s">
        <v>1878</v>
      </c>
      <c r="E145" s="171">
        <v>0</v>
      </c>
      <c r="F145" s="171">
        <v>18177.33</v>
      </c>
      <c r="G145" s="216">
        <f t="shared" si="29"/>
        <v>18177.33</v>
      </c>
      <c r="H145" s="217">
        <v>8609.04</v>
      </c>
      <c r="I145" s="217">
        <v>0</v>
      </c>
      <c r="J145" s="217">
        <v>0</v>
      </c>
      <c r="K145" s="217">
        <v>0</v>
      </c>
      <c r="L145" s="217">
        <f t="shared" si="30"/>
        <v>0</v>
      </c>
      <c r="M145" s="217">
        <v>0</v>
      </c>
      <c r="N145" s="217">
        <v>0</v>
      </c>
      <c r="O145" s="217">
        <v>0</v>
      </c>
      <c r="P145" s="217">
        <f t="shared" si="31"/>
        <v>0</v>
      </c>
      <c r="Q145" s="216">
        <v>0</v>
      </c>
      <c r="R145" s="216">
        <v>0</v>
      </c>
      <c r="S145" s="216">
        <v>0</v>
      </c>
      <c r="T145" s="216">
        <v>0</v>
      </c>
      <c r="U145" s="216">
        <f t="shared" si="32"/>
        <v>0</v>
      </c>
      <c r="V145" s="216">
        <f t="shared" si="33"/>
        <v>26786.370000000003</v>
      </c>
      <c r="W145" s="171">
        <v>0</v>
      </c>
      <c r="X145" s="171">
        <f t="shared" si="34"/>
        <v>26786.370000000003</v>
      </c>
      <c r="Y145" s="172">
        <v>0</v>
      </c>
      <c r="Z145" s="171">
        <f t="shared" si="35"/>
        <v>26786.370000000003</v>
      </c>
    </row>
    <row r="146" spans="1:26" ht="12.75" hidden="1" outlineLevel="1">
      <c r="A146" s="171" t="s">
        <v>1879</v>
      </c>
      <c r="C146" s="172" t="s">
        <v>1880</v>
      </c>
      <c r="D146" s="172" t="s">
        <v>1881</v>
      </c>
      <c r="E146" s="171">
        <v>0</v>
      </c>
      <c r="F146" s="171">
        <v>374318.5</v>
      </c>
      <c r="G146" s="216">
        <f t="shared" si="29"/>
        <v>374318.5</v>
      </c>
      <c r="H146" s="217">
        <v>5000</v>
      </c>
      <c r="I146" s="217">
        <v>0</v>
      </c>
      <c r="J146" s="217">
        <v>0</v>
      </c>
      <c r="K146" s="217">
        <v>0</v>
      </c>
      <c r="L146" s="217">
        <f t="shared" si="30"/>
        <v>0</v>
      </c>
      <c r="M146" s="217">
        <v>0</v>
      </c>
      <c r="N146" s="217">
        <v>0</v>
      </c>
      <c r="O146" s="217">
        <v>0</v>
      </c>
      <c r="P146" s="217">
        <f t="shared" si="31"/>
        <v>0</v>
      </c>
      <c r="Q146" s="216">
        <v>0</v>
      </c>
      <c r="R146" s="216">
        <v>0</v>
      </c>
      <c r="S146" s="216">
        <v>0</v>
      </c>
      <c r="T146" s="216">
        <v>0</v>
      </c>
      <c r="U146" s="216">
        <f t="shared" si="32"/>
        <v>0</v>
      </c>
      <c r="V146" s="216">
        <f t="shared" si="33"/>
        <v>379318.5</v>
      </c>
      <c r="W146" s="171">
        <v>0</v>
      </c>
      <c r="X146" s="171">
        <f t="shared" si="34"/>
        <v>379318.5</v>
      </c>
      <c r="Y146" s="172">
        <v>0</v>
      </c>
      <c r="Z146" s="171">
        <f t="shared" si="35"/>
        <v>379318.5</v>
      </c>
    </row>
    <row r="147" spans="1:26" ht="12.75" hidden="1" outlineLevel="1">
      <c r="A147" s="171" t="s">
        <v>1882</v>
      </c>
      <c r="C147" s="172" t="s">
        <v>1883</v>
      </c>
      <c r="D147" s="172" t="s">
        <v>1884</v>
      </c>
      <c r="E147" s="171">
        <v>0</v>
      </c>
      <c r="F147" s="171">
        <v>42706.87</v>
      </c>
      <c r="G147" s="216">
        <f t="shared" si="29"/>
        <v>42706.87</v>
      </c>
      <c r="H147" s="217">
        <v>0</v>
      </c>
      <c r="I147" s="217">
        <v>0</v>
      </c>
      <c r="J147" s="217">
        <v>0</v>
      </c>
      <c r="K147" s="217">
        <v>0</v>
      </c>
      <c r="L147" s="217">
        <f t="shared" si="30"/>
        <v>0</v>
      </c>
      <c r="M147" s="217">
        <v>0</v>
      </c>
      <c r="N147" s="217">
        <v>0</v>
      </c>
      <c r="O147" s="217">
        <v>0</v>
      </c>
      <c r="P147" s="217">
        <f t="shared" si="31"/>
        <v>0</v>
      </c>
      <c r="Q147" s="216">
        <v>0</v>
      </c>
      <c r="R147" s="216">
        <v>0</v>
      </c>
      <c r="S147" s="216">
        <v>0</v>
      </c>
      <c r="T147" s="216">
        <v>0</v>
      </c>
      <c r="U147" s="216">
        <f t="shared" si="32"/>
        <v>0</v>
      </c>
      <c r="V147" s="216">
        <f t="shared" si="33"/>
        <v>42706.87</v>
      </c>
      <c r="W147" s="171">
        <v>0</v>
      </c>
      <c r="X147" s="171">
        <f t="shared" si="34"/>
        <v>42706.87</v>
      </c>
      <c r="Y147" s="172">
        <v>0</v>
      </c>
      <c r="Z147" s="171">
        <f t="shared" si="35"/>
        <v>42706.87</v>
      </c>
    </row>
    <row r="148" spans="1:26" ht="12.75" hidden="1" outlineLevel="1">
      <c r="A148" s="171" t="s">
        <v>1885</v>
      </c>
      <c r="C148" s="172" t="s">
        <v>1886</v>
      </c>
      <c r="D148" s="172" t="s">
        <v>1887</v>
      </c>
      <c r="E148" s="171">
        <v>0</v>
      </c>
      <c r="F148" s="171">
        <v>120062.84</v>
      </c>
      <c r="G148" s="216">
        <f t="shared" si="29"/>
        <v>120062.84</v>
      </c>
      <c r="H148" s="217">
        <v>192.86</v>
      </c>
      <c r="I148" s="217">
        <v>0</v>
      </c>
      <c r="J148" s="217">
        <v>0</v>
      </c>
      <c r="K148" s="217">
        <v>0</v>
      </c>
      <c r="L148" s="217">
        <f t="shared" si="30"/>
        <v>0</v>
      </c>
      <c r="M148" s="217">
        <v>0</v>
      </c>
      <c r="N148" s="217">
        <v>0</v>
      </c>
      <c r="O148" s="217">
        <v>0</v>
      </c>
      <c r="P148" s="217">
        <f t="shared" si="31"/>
        <v>0</v>
      </c>
      <c r="Q148" s="216">
        <v>0</v>
      </c>
      <c r="R148" s="216">
        <v>0</v>
      </c>
      <c r="S148" s="216">
        <v>0</v>
      </c>
      <c r="T148" s="216">
        <v>0</v>
      </c>
      <c r="U148" s="216">
        <f t="shared" si="32"/>
        <v>0</v>
      </c>
      <c r="V148" s="216">
        <f t="shared" si="33"/>
        <v>120255.7</v>
      </c>
      <c r="W148" s="171">
        <v>0</v>
      </c>
      <c r="X148" s="171">
        <f t="shared" si="34"/>
        <v>120255.7</v>
      </c>
      <c r="Y148" s="172">
        <v>0</v>
      </c>
      <c r="Z148" s="171">
        <f t="shared" si="35"/>
        <v>120255.7</v>
      </c>
    </row>
    <row r="149" spans="1:26" ht="12.75" hidden="1" outlineLevel="1">
      <c r="A149" s="171" t="s">
        <v>1888</v>
      </c>
      <c r="C149" s="172" t="s">
        <v>1889</v>
      </c>
      <c r="D149" s="172" t="s">
        <v>1890</v>
      </c>
      <c r="E149" s="171">
        <v>0</v>
      </c>
      <c r="F149" s="171">
        <v>2668.98</v>
      </c>
      <c r="G149" s="216">
        <f t="shared" si="29"/>
        <v>2668.98</v>
      </c>
      <c r="H149" s="217">
        <v>760.22</v>
      </c>
      <c r="I149" s="217">
        <v>0</v>
      </c>
      <c r="J149" s="217">
        <v>0</v>
      </c>
      <c r="K149" s="217">
        <v>0</v>
      </c>
      <c r="L149" s="217">
        <f t="shared" si="30"/>
        <v>0</v>
      </c>
      <c r="M149" s="217">
        <v>0</v>
      </c>
      <c r="N149" s="217">
        <v>0</v>
      </c>
      <c r="O149" s="217">
        <v>0</v>
      </c>
      <c r="P149" s="217">
        <f t="shared" si="31"/>
        <v>0</v>
      </c>
      <c r="Q149" s="216">
        <v>0</v>
      </c>
      <c r="R149" s="216">
        <v>0</v>
      </c>
      <c r="S149" s="216">
        <v>0</v>
      </c>
      <c r="T149" s="216">
        <v>0</v>
      </c>
      <c r="U149" s="216">
        <f t="shared" si="32"/>
        <v>0</v>
      </c>
      <c r="V149" s="216">
        <f t="shared" si="33"/>
        <v>3429.2</v>
      </c>
      <c r="W149" s="171">
        <v>0</v>
      </c>
      <c r="X149" s="171">
        <f t="shared" si="34"/>
        <v>3429.2</v>
      </c>
      <c r="Y149" s="172">
        <v>0</v>
      </c>
      <c r="Z149" s="171">
        <f t="shared" si="35"/>
        <v>3429.2</v>
      </c>
    </row>
    <row r="150" spans="1:26" ht="12.75" hidden="1" outlineLevel="1">
      <c r="A150" s="171" t="s">
        <v>1891</v>
      </c>
      <c r="C150" s="172" t="s">
        <v>1892</v>
      </c>
      <c r="D150" s="172" t="s">
        <v>1893</v>
      </c>
      <c r="E150" s="171">
        <v>0</v>
      </c>
      <c r="F150" s="171">
        <v>8221.05</v>
      </c>
      <c r="G150" s="216">
        <f t="shared" si="29"/>
        <v>8221.05</v>
      </c>
      <c r="H150" s="217">
        <v>7892.08</v>
      </c>
      <c r="I150" s="217">
        <v>0</v>
      </c>
      <c r="J150" s="217">
        <v>0</v>
      </c>
      <c r="K150" s="217">
        <v>0</v>
      </c>
      <c r="L150" s="217">
        <f t="shared" si="30"/>
        <v>0</v>
      </c>
      <c r="M150" s="217">
        <v>0</v>
      </c>
      <c r="N150" s="217">
        <v>0</v>
      </c>
      <c r="O150" s="217">
        <v>0</v>
      </c>
      <c r="P150" s="217">
        <f t="shared" si="31"/>
        <v>0</v>
      </c>
      <c r="Q150" s="216">
        <v>0</v>
      </c>
      <c r="R150" s="216">
        <v>0</v>
      </c>
      <c r="S150" s="216">
        <v>0</v>
      </c>
      <c r="T150" s="216">
        <v>0</v>
      </c>
      <c r="U150" s="216">
        <f t="shared" si="32"/>
        <v>0</v>
      </c>
      <c r="V150" s="216">
        <f t="shared" si="33"/>
        <v>16113.13</v>
      </c>
      <c r="W150" s="171">
        <v>0</v>
      </c>
      <c r="X150" s="171">
        <f t="shared" si="34"/>
        <v>16113.13</v>
      </c>
      <c r="Y150" s="172">
        <v>50</v>
      </c>
      <c r="Z150" s="171">
        <f t="shared" si="35"/>
        <v>16163.13</v>
      </c>
    </row>
    <row r="151" spans="1:26" ht="12.75" hidden="1" outlineLevel="1">
      <c r="A151" s="171" t="s">
        <v>1894</v>
      </c>
      <c r="C151" s="172" t="s">
        <v>1895</v>
      </c>
      <c r="D151" s="172" t="s">
        <v>1896</v>
      </c>
      <c r="E151" s="171">
        <v>0</v>
      </c>
      <c r="F151" s="171">
        <v>12912.55</v>
      </c>
      <c r="G151" s="216">
        <f t="shared" si="29"/>
        <v>12912.55</v>
      </c>
      <c r="H151" s="217">
        <v>11528.05</v>
      </c>
      <c r="I151" s="217">
        <v>0</v>
      </c>
      <c r="J151" s="217">
        <v>0</v>
      </c>
      <c r="K151" s="217">
        <v>0</v>
      </c>
      <c r="L151" s="217">
        <f t="shared" si="30"/>
        <v>0</v>
      </c>
      <c r="M151" s="217">
        <v>0</v>
      </c>
      <c r="N151" s="217">
        <v>140</v>
      </c>
      <c r="O151" s="217">
        <v>0</v>
      </c>
      <c r="P151" s="217">
        <f t="shared" si="31"/>
        <v>140</v>
      </c>
      <c r="Q151" s="216">
        <v>0</v>
      </c>
      <c r="R151" s="216">
        <v>0</v>
      </c>
      <c r="S151" s="216">
        <v>0</v>
      </c>
      <c r="T151" s="216">
        <v>0</v>
      </c>
      <c r="U151" s="216">
        <f t="shared" si="32"/>
        <v>0</v>
      </c>
      <c r="V151" s="216">
        <f t="shared" si="33"/>
        <v>24580.6</v>
      </c>
      <c r="W151" s="171">
        <v>0</v>
      </c>
      <c r="X151" s="171">
        <f t="shared" si="34"/>
        <v>24580.6</v>
      </c>
      <c r="Y151" s="172">
        <v>964</v>
      </c>
      <c r="Z151" s="171">
        <f t="shared" si="35"/>
        <v>25544.6</v>
      </c>
    </row>
    <row r="152" spans="1:26" ht="12.75" hidden="1" outlineLevel="1">
      <c r="A152" s="171" t="s">
        <v>1897</v>
      </c>
      <c r="C152" s="172" t="s">
        <v>1898</v>
      </c>
      <c r="D152" s="172" t="s">
        <v>1899</v>
      </c>
      <c r="E152" s="171">
        <v>0</v>
      </c>
      <c r="F152" s="171">
        <v>510248.66</v>
      </c>
      <c r="G152" s="216">
        <f t="shared" si="29"/>
        <v>510248.66</v>
      </c>
      <c r="H152" s="217">
        <v>348397.61</v>
      </c>
      <c r="I152" s="217">
        <v>0</v>
      </c>
      <c r="J152" s="217">
        <v>0</v>
      </c>
      <c r="K152" s="217">
        <v>0</v>
      </c>
      <c r="L152" s="217">
        <f t="shared" si="30"/>
        <v>0</v>
      </c>
      <c r="M152" s="217">
        <v>0</v>
      </c>
      <c r="N152" s="217">
        <v>0</v>
      </c>
      <c r="O152" s="217">
        <v>0</v>
      </c>
      <c r="P152" s="217">
        <f t="shared" si="31"/>
        <v>0</v>
      </c>
      <c r="Q152" s="216">
        <v>1810.6</v>
      </c>
      <c r="R152" s="216">
        <v>620.19</v>
      </c>
      <c r="S152" s="216">
        <v>0</v>
      </c>
      <c r="T152" s="216">
        <v>0</v>
      </c>
      <c r="U152" s="216">
        <f t="shared" si="32"/>
        <v>2430.79</v>
      </c>
      <c r="V152" s="216">
        <f t="shared" si="33"/>
        <v>861077.06</v>
      </c>
      <c r="W152" s="171">
        <v>0</v>
      </c>
      <c r="X152" s="171">
        <f t="shared" si="34"/>
        <v>861077.06</v>
      </c>
      <c r="Y152" s="172">
        <v>40298.73</v>
      </c>
      <c r="Z152" s="171">
        <f t="shared" si="35"/>
        <v>901375.79</v>
      </c>
    </row>
    <row r="153" spans="1:26" ht="12.75" hidden="1" outlineLevel="1">
      <c r="A153" s="171" t="s">
        <v>1900</v>
      </c>
      <c r="C153" s="172" t="s">
        <v>1901</v>
      </c>
      <c r="D153" s="172" t="s">
        <v>1902</v>
      </c>
      <c r="E153" s="171">
        <v>0</v>
      </c>
      <c r="F153" s="171">
        <v>130597.25</v>
      </c>
      <c r="G153" s="216">
        <f t="shared" si="29"/>
        <v>130597.25</v>
      </c>
      <c r="H153" s="217">
        <v>131000.34</v>
      </c>
      <c r="I153" s="217">
        <v>0</v>
      </c>
      <c r="J153" s="217">
        <v>0</v>
      </c>
      <c r="K153" s="217">
        <v>0</v>
      </c>
      <c r="L153" s="217">
        <f t="shared" si="30"/>
        <v>0</v>
      </c>
      <c r="M153" s="217">
        <v>0</v>
      </c>
      <c r="N153" s="217">
        <v>0</v>
      </c>
      <c r="O153" s="217">
        <v>0</v>
      </c>
      <c r="P153" s="217">
        <f t="shared" si="31"/>
        <v>0</v>
      </c>
      <c r="Q153" s="216">
        <v>0</v>
      </c>
      <c r="R153" s="216">
        <v>0</v>
      </c>
      <c r="S153" s="216">
        <v>0</v>
      </c>
      <c r="T153" s="216">
        <v>0</v>
      </c>
      <c r="U153" s="216">
        <f t="shared" si="32"/>
        <v>0</v>
      </c>
      <c r="V153" s="216">
        <f t="shared" si="33"/>
        <v>261597.59</v>
      </c>
      <c r="W153" s="171">
        <v>0</v>
      </c>
      <c r="X153" s="171">
        <f t="shared" si="34"/>
        <v>261597.59</v>
      </c>
      <c r="Y153" s="172">
        <v>2849.16</v>
      </c>
      <c r="Z153" s="171">
        <f t="shared" si="35"/>
        <v>264446.75</v>
      </c>
    </row>
    <row r="154" spans="1:26" ht="12.75" hidden="1" outlineLevel="1">
      <c r="A154" s="171" t="s">
        <v>1903</v>
      </c>
      <c r="C154" s="172" t="s">
        <v>1904</v>
      </c>
      <c r="D154" s="172" t="s">
        <v>1905</v>
      </c>
      <c r="E154" s="171">
        <v>0</v>
      </c>
      <c r="F154" s="171">
        <v>18891.06</v>
      </c>
      <c r="G154" s="216">
        <f t="shared" si="29"/>
        <v>18891.06</v>
      </c>
      <c r="H154" s="217">
        <v>7698.39</v>
      </c>
      <c r="I154" s="217">
        <v>0</v>
      </c>
      <c r="J154" s="217">
        <v>0</v>
      </c>
      <c r="K154" s="217">
        <v>0</v>
      </c>
      <c r="L154" s="217">
        <f t="shared" si="30"/>
        <v>0</v>
      </c>
      <c r="M154" s="217">
        <v>0</v>
      </c>
      <c r="N154" s="217">
        <v>0</v>
      </c>
      <c r="O154" s="217">
        <v>0</v>
      </c>
      <c r="P154" s="217">
        <f t="shared" si="31"/>
        <v>0</v>
      </c>
      <c r="Q154" s="216">
        <v>0</v>
      </c>
      <c r="R154" s="216">
        <v>0</v>
      </c>
      <c r="S154" s="216">
        <v>0</v>
      </c>
      <c r="T154" s="216">
        <v>0</v>
      </c>
      <c r="U154" s="216">
        <f t="shared" si="32"/>
        <v>0</v>
      </c>
      <c r="V154" s="216">
        <f t="shared" si="33"/>
        <v>26589.45</v>
      </c>
      <c r="W154" s="171">
        <v>0</v>
      </c>
      <c r="X154" s="171">
        <f t="shared" si="34"/>
        <v>26589.45</v>
      </c>
      <c r="Y154" s="172">
        <v>0</v>
      </c>
      <c r="Z154" s="171">
        <f t="shared" si="35"/>
        <v>26589.45</v>
      </c>
    </row>
    <row r="155" spans="1:26" ht="12.75" hidden="1" outlineLevel="1">
      <c r="A155" s="171" t="s">
        <v>1906</v>
      </c>
      <c r="C155" s="172" t="s">
        <v>1907</v>
      </c>
      <c r="D155" s="172" t="s">
        <v>1908</v>
      </c>
      <c r="E155" s="171">
        <v>0</v>
      </c>
      <c r="F155" s="171">
        <v>206685.94</v>
      </c>
      <c r="G155" s="216">
        <f t="shared" si="29"/>
        <v>206685.94</v>
      </c>
      <c r="H155" s="217">
        <v>12429.89</v>
      </c>
      <c r="I155" s="217">
        <v>0</v>
      </c>
      <c r="J155" s="217">
        <v>0</v>
      </c>
      <c r="K155" s="217">
        <v>0</v>
      </c>
      <c r="L155" s="217">
        <f t="shared" si="30"/>
        <v>0</v>
      </c>
      <c r="M155" s="217">
        <v>0</v>
      </c>
      <c r="N155" s="217">
        <v>0</v>
      </c>
      <c r="O155" s="217">
        <v>0</v>
      </c>
      <c r="P155" s="217">
        <f t="shared" si="31"/>
        <v>0</v>
      </c>
      <c r="Q155" s="216">
        <v>0</v>
      </c>
      <c r="R155" s="216">
        <v>0</v>
      </c>
      <c r="S155" s="216">
        <v>0</v>
      </c>
      <c r="T155" s="216">
        <v>0</v>
      </c>
      <c r="U155" s="216">
        <f t="shared" si="32"/>
        <v>0</v>
      </c>
      <c r="V155" s="216">
        <f t="shared" si="33"/>
        <v>219115.83000000002</v>
      </c>
      <c r="W155" s="171">
        <v>0</v>
      </c>
      <c r="X155" s="171">
        <f t="shared" si="34"/>
        <v>219115.83000000002</v>
      </c>
      <c r="Y155" s="172">
        <v>1089.12</v>
      </c>
      <c r="Z155" s="171">
        <f t="shared" si="35"/>
        <v>220204.95</v>
      </c>
    </row>
    <row r="156" spans="1:26" ht="12.75" hidden="1" outlineLevel="1">
      <c r="A156" s="171" t="s">
        <v>1909</v>
      </c>
      <c r="C156" s="172" t="s">
        <v>1910</v>
      </c>
      <c r="D156" s="172" t="s">
        <v>1911</v>
      </c>
      <c r="E156" s="171">
        <v>0</v>
      </c>
      <c r="F156" s="171">
        <v>98549.84</v>
      </c>
      <c r="G156" s="216">
        <f t="shared" si="29"/>
        <v>98549.84</v>
      </c>
      <c r="H156" s="217">
        <v>5462.78</v>
      </c>
      <c r="I156" s="217">
        <v>0</v>
      </c>
      <c r="J156" s="217">
        <v>0</v>
      </c>
      <c r="K156" s="217">
        <v>0</v>
      </c>
      <c r="L156" s="217">
        <f t="shared" si="30"/>
        <v>0</v>
      </c>
      <c r="M156" s="217">
        <v>0</v>
      </c>
      <c r="N156" s="217">
        <v>0</v>
      </c>
      <c r="O156" s="217">
        <v>0</v>
      </c>
      <c r="P156" s="217">
        <f t="shared" si="31"/>
        <v>0</v>
      </c>
      <c r="Q156" s="216">
        <v>0</v>
      </c>
      <c r="R156" s="216">
        <v>0</v>
      </c>
      <c r="S156" s="216">
        <v>0</v>
      </c>
      <c r="T156" s="216">
        <v>0</v>
      </c>
      <c r="U156" s="216">
        <f t="shared" si="32"/>
        <v>0</v>
      </c>
      <c r="V156" s="216">
        <f t="shared" si="33"/>
        <v>104012.62</v>
      </c>
      <c r="W156" s="171">
        <v>0</v>
      </c>
      <c r="X156" s="171">
        <f t="shared" si="34"/>
        <v>104012.62</v>
      </c>
      <c r="Y156" s="172">
        <v>0</v>
      </c>
      <c r="Z156" s="171">
        <f t="shared" si="35"/>
        <v>104012.62</v>
      </c>
    </row>
    <row r="157" spans="1:26" ht="12.75" hidden="1" outlineLevel="1">
      <c r="A157" s="171" t="s">
        <v>1912</v>
      </c>
      <c r="C157" s="172" t="s">
        <v>1913</v>
      </c>
      <c r="D157" s="172" t="s">
        <v>1914</v>
      </c>
      <c r="E157" s="171">
        <v>0</v>
      </c>
      <c r="F157" s="171">
        <v>7345.48</v>
      </c>
      <c r="G157" s="216">
        <f t="shared" si="29"/>
        <v>7345.48</v>
      </c>
      <c r="H157" s="217">
        <v>5935.7</v>
      </c>
      <c r="I157" s="217">
        <v>0</v>
      </c>
      <c r="J157" s="217">
        <v>0</v>
      </c>
      <c r="K157" s="217">
        <v>0</v>
      </c>
      <c r="L157" s="217">
        <f t="shared" si="30"/>
        <v>0</v>
      </c>
      <c r="M157" s="217">
        <v>0</v>
      </c>
      <c r="N157" s="217">
        <v>0</v>
      </c>
      <c r="O157" s="217">
        <v>0</v>
      </c>
      <c r="P157" s="217">
        <f t="shared" si="31"/>
        <v>0</v>
      </c>
      <c r="Q157" s="216">
        <v>0</v>
      </c>
      <c r="R157" s="216">
        <v>0</v>
      </c>
      <c r="S157" s="216">
        <v>0</v>
      </c>
      <c r="T157" s="216">
        <v>0</v>
      </c>
      <c r="U157" s="216">
        <f t="shared" si="32"/>
        <v>0</v>
      </c>
      <c r="V157" s="216">
        <f t="shared" si="33"/>
        <v>13281.18</v>
      </c>
      <c r="W157" s="171">
        <v>0</v>
      </c>
      <c r="X157" s="171">
        <f t="shared" si="34"/>
        <v>13281.18</v>
      </c>
      <c r="Y157" s="172">
        <v>0</v>
      </c>
      <c r="Z157" s="171">
        <f t="shared" si="35"/>
        <v>13281.18</v>
      </c>
    </row>
    <row r="158" spans="1:26" ht="12.75" hidden="1" outlineLevel="1">
      <c r="A158" s="171" t="s">
        <v>1915</v>
      </c>
      <c r="C158" s="172" t="s">
        <v>1916</v>
      </c>
      <c r="D158" s="172" t="s">
        <v>1917</v>
      </c>
      <c r="E158" s="171">
        <v>0</v>
      </c>
      <c r="F158" s="171">
        <v>19087.1</v>
      </c>
      <c r="G158" s="216">
        <f t="shared" si="29"/>
        <v>19087.1</v>
      </c>
      <c r="H158" s="217">
        <v>1260.55</v>
      </c>
      <c r="I158" s="217">
        <v>0</v>
      </c>
      <c r="J158" s="217">
        <v>0</v>
      </c>
      <c r="K158" s="217">
        <v>0</v>
      </c>
      <c r="L158" s="217">
        <f t="shared" si="30"/>
        <v>0</v>
      </c>
      <c r="M158" s="217">
        <v>0</v>
      </c>
      <c r="N158" s="217">
        <v>0</v>
      </c>
      <c r="O158" s="217">
        <v>0</v>
      </c>
      <c r="P158" s="217">
        <f t="shared" si="31"/>
        <v>0</v>
      </c>
      <c r="Q158" s="216">
        <v>0</v>
      </c>
      <c r="R158" s="216">
        <v>0</v>
      </c>
      <c r="S158" s="216">
        <v>0</v>
      </c>
      <c r="T158" s="216">
        <v>0</v>
      </c>
      <c r="U158" s="216">
        <f t="shared" si="32"/>
        <v>0</v>
      </c>
      <c r="V158" s="216">
        <f t="shared" si="33"/>
        <v>20347.649999999998</v>
      </c>
      <c r="W158" s="171">
        <v>0</v>
      </c>
      <c r="X158" s="171">
        <f t="shared" si="34"/>
        <v>20347.649999999998</v>
      </c>
      <c r="Y158" s="172">
        <v>0</v>
      </c>
      <c r="Z158" s="171">
        <f t="shared" si="35"/>
        <v>20347.649999999998</v>
      </c>
    </row>
    <row r="159" spans="1:26" ht="12.75" hidden="1" outlineLevel="1">
      <c r="A159" s="171" t="s">
        <v>1918</v>
      </c>
      <c r="C159" s="172" t="s">
        <v>1919</v>
      </c>
      <c r="D159" s="172" t="s">
        <v>1920</v>
      </c>
      <c r="E159" s="171">
        <v>0</v>
      </c>
      <c r="F159" s="171">
        <v>20107.3</v>
      </c>
      <c r="G159" s="216">
        <f t="shared" si="29"/>
        <v>20107.3</v>
      </c>
      <c r="H159" s="217">
        <v>2561.63</v>
      </c>
      <c r="I159" s="217">
        <v>0</v>
      </c>
      <c r="J159" s="217">
        <v>0</v>
      </c>
      <c r="K159" s="217">
        <v>0</v>
      </c>
      <c r="L159" s="217">
        <f t="shared" si="30"/>
        <v>0</v>
      </c>
      <c r="M159" s="217">
        <v>0</v>
      </c>
      <c r="N159" s="217">
        <v>0</v>
      </c>
      <c r="O159" s="217">
        <v>0</v>
      </c>
      <c r="P159" s="217">
        <f t="shared" si="31"/>
        <v>0</v>
      </c>
      <c r="Q159" s="216">
        <v>0</v>
      </c>
      <c r="R159" s="216">
        <v>0</v>
      </c>
      <c r="S159" s="216">
        <v>0</v>
      </c>
      <c r="T159" s="216">
        <v>0</v>
      </c>
      <c r="U159" s="216">
        <f t="shared" si="32"/>
        <v>0</v>
      </c>
      <c r="V159" s="216">
        <f t="shared" si="33"/>
        <v>22668.93</v>
      </c>
      <c r="W159" s="171">
        <v>0</v>
      </c>
      <c r="X159" s="171">
        <f t="shared" si="34"/>
        <v>22668.93</v>
      </c>
      <c r="Y159" s="172">
        <v>395</v>
      </c>
      <c r="Z159" s="171">
        <f t="shared" si="35"/>
        <v>23063.93</v>
      </c>
    </row>
    <row r="160" spans="1:26" ht="12.75" hidden="1" outlineLevel="1">
      <c r="A160" s="171" t="s">
        <v>906</v>
      </c>
      <c r="C160" s="172" t="s">
        <v>907</v>
      </c>
      <c r="D160" s="172" t="s">
        <v>908</v>
      </c>
      <c r="E160" s="171">
        <v>0</v>
      </c>
      <c r="F160" s="171">
        <v>0</v>
      </c>
      <c r="G160" s="216">
        <f t="shared" si="29"/>
        <v>0</v>
      </c>
      <c r="H160" s="217">
        <v>15231.23</v>
      </c>
      <c r="I160" s="217">
        <v>0</v>
      </c>
      <c r="J160" s="217">
        <v>0</v>
      </c>
      <c r="K160" s="217">
        <v>0</v>
      </c>
      <c r="L160" s="217">
        <f t="shared" si="30"/>
        <v>0</v>
      </c>
      <c r="M160" s="217">
        <v>0</v>
      </c>
      <c r="N160" s="217">
        <v>0</v>
      </c>
      <c r="O160" s="217">
        <v>0</v>
      </c>
      <c r="P160" s="217">
        <f t="shared" si="31"/>
        <v>0</v>
      </c>
      <c r="Q160" s="216">
        <v>0</v>
      </c>
      <c r="R160" s="216">
        <v>0</v>
      </c>
      <c r="S160" s="216">
        <v>0</v>
      </c>
      <c r="T160" s="216">
        <v>0</v>
      </c>
      <c r="U160" s="216">
        <f t="shared" si="32"/>
        <v>0</v>
      </c>
      <c r="V160" s="216">
        <f t="shared" si="33"/>
        <v>15231.23</v>
      </c>
      <c r="W160" s="171">
        <v>0</v>
      </c>
      <c r="X160" s="171">
        <f t="shared" si="34"/>
        <v>15231.23</v>
      </c>
      <c r="Y160" s="172">
        <v>0</v>
      </c>
      <c r="Z160" s="171">
        <f t="shared" si="35"/>
        <v>15231.23</v>
      </c>
    </row>
    <row r="161" spans="1:26" ht="12.75" hidden="1" outlineLevel="1">
      <c r="A161" s="171" t="s">
        <v>1921</v>
      </c>
      <c r="C161" s="172" t="s">
        <v>1922</v>
      </c>
      <c r="D161" s="172" t="s">
        <v>1923</v>
      </c>
      <c r="E161" s="171">
        <v>0</v>
      </c>
      <c r="F161" s="171">
        <v>1235426.36</v>
      </c>
      <c r="G161" s="216">
        <f t="shared" si="29"/>
        <v>1235426.36</v>
      </c>
      <c r="H161" s="217">
        <v>103114.17</v>
      </c>
      <c r="I161" s="217">
        <v>0</v>
      </c>
      <c r="J161" s="217">
        <v>0</v>
      </c>
      <c r="K161" s="217">
        <v>0.37</v>
      </c>
      <c r="L161" s="217">
        <f t="shared" si="30"/>
        <v>0.37</v>
      </c>
      <c r="M161" s="217">
        <v>0</v>
      </c>
      <c r="N161" s="217">
        <v>0</v>
      </c>
      <c r="O161" s="217">
        <v>0</v>
      </c>
      <c r="P161" s="217">
        <f t="shared" si="31"/>
        <v>0</v>
      </c>
      <c r="Q161" s="216">
        <v>0</v>
      </c>
      <c r="R161" s="216">
        <v>0</v>
      </c>
      <c r="S161" s="216">
        <v>0</v>
      </c>
      <c r="T161" s="216">
        <v>0</v>
      </c>
      <c r="U161" s="216">
        <f t="shared" si="32"/>
        <v>0</v>
      </c>
      <c r="V161" s="216">
        <f t="shared" si="33"/>
        <v>1338540.9000000001</v>
      </c>
      <c r="W161" s="171">
        <v>0</v>
      </c>
      <c r="X161" s="171">
        <f t="shared" si="34"/>
        <v>1338540.9000000001</v>
      </c>
      <c r="Y161" s="172">
        <v>5925.78</v>
      </c>
      <c r="Z161" s="171">
        <f t="shared" si="35"/>
        <v>1344466.6800000002</v>
      </c>
    </row>
    <row r="162" spans="1:26" ht="12.75" hidden="1" outlineLevel="1">
      <c r="A162" s="171" t="s">
        <v>1924</v>
      </c>
      <c r="C162" s="172" t="s">
        <v>1925</v>
      </c>
      <c r="D162" s="172" t="s">
        <v>1926</v>
      </c>
      <c r="E162" s="171">
        <v>0</v>
      </c>
      <c r="F162" s="171">
        <v>68120</v>
      </c>
      <c r="G162" s="216">
        <f t="shared" si="29"/>
        <v>68120</v>
      </c>
      <c r="H162" s="217">
        <v>8025.76</v>
      </c>
      <c r="I162" s="217">
        <v>0</v>
      </c>
      <c r="J162" s="217">
        <v>0</v>
      </c>
      <c r="K162" s="217">
        <v>0</v>
      </c>
      <c r="L162" s="217">
        <f t="shared" si="30"/>
        <v>0</v>
      </c>
      <c r="M162" s="217">
        <v>0</v>
      </c>
      <c r="N162" s="217">
        <v>0</v>
      </c>
      <c r="O162" s="217">
        <v>0</v>
      </c>
      <c r="P162" s="217">
        <f t="shared" si="31"/>
        <v>0</v>
      </c>
      <c r="Q162" s="216">
        <v>0</v>
      </c>
      <c r="R162" s="216">
        <v>0</v>
      </c>
      <c r="S162" s="216">
        <v>0</v>
      </c>
      <c r="T162" s="216">
        <v>0</v>
      </c>
      <c r="U162" s="216">
        <f t="shared" si="32"/>
        <v>0</v>
      </c>
      <c r="V162" s="216">
        <f t="shared" si="33"/>
        <v>76145.76</v>
      </c>
      <c r="W162" s="171">
        <v>0</v>
      </c>
      <c r="X162" s="171">
        <f t="shared" si="34"/>
        <v>76145.76</v>
      </c>
      <c r="Y162" s="172">
        <v>522.82</v>
      </c>
      <c r="Z162" s="171">
        <f t="shared" si="35"/>
        <v>76668.58</v>
      </c>
    </row>
    <row r="163" spans="1:26" ht="12.75" hidden="1" outlineLevel="1">
      <c r="A163" s="171" t="s">
        <v>1927</v>
      </c>
      <c r="C163" s="172" t="s">
        <v>1928</v>
      </c>
      <c r="D163" s="172" t="s">
        <v>1929</v>
      </c>
      <c r="E163" s="171">
        <v>0</v>
      </c>
      <c r="F163" s="171">
        <v>32210.32</v>
      </c>
      <c r="G163" s="216">
        <f t="shared" si="29"/>
        <v>32210.32</v>
      </c>
      <c r="H163" s="217">
        <v>2514.45</v>
      </c>
      <c r="I163" s="217">
        <v>0</v>
      </c>
      <c r="J163" s="217">
        <v>0</v>
      </c>
      <c r="K163" s="217">
        <v>0</v>
      </c>
      <c r="L163" s="217">
        <f t="shared" si="30"/>
        <v>0</v>
      </c>
      <c r="M163" s="217">
        <v>0</v>
      </c>
      <c r="N163" s="217">
        <v>0</v>
      </c>
      <c r="O163" s="217">
        <v>0</v>
      </c>
      <c r="P163" s="217">
        <f t="shared" si="31"/>
        <v>0</v>
      </c>
      <c r="Q163" s="216">
        <v>0</v>
      </c>
      <c r="R163" s="216">
        <v>0</v>
      </c>
      <c r="S163" s="216">
        <v>0</v>
      </c>
      <c r="T163" s="216">
        <v>0</v>
      </c>
      <c r="U163" s="216">
        <f t="shared" si="32"/>
        <v>0</v>
      </c>
      <c r="V163" s="216">
        <f t="shared" si="33"/>
        <v>34724.77</v>
      </c>
      <c r="W163" s="171">
        <v>0</v>
      </c>
      <c r="X163" s="171">
        <f t="shared" si="34"/>
        <v>34724.77</v>
      </c>
      <c r="Y163" s="172">
        <v>0</v>
      </c>
      <c r="Z163" s="171">
        <f t="shared" si="35"/>
        <v>34724.77</v>
      </c>
    </row>
    <row r="164" spans="1:26" ht="12.75" hidden="1" outlineLevel="1">
      <c r="A164" s="171" t="s">
        <v>1930</v>
      </c>
      <c r="C164" s="172" t="s">
        <v>1931</v>
      </c>
      <c r="D164" s="172" t="s">
        <v>1932</v>
      </c>
      <c r="E164" s="171">
        <v>0</v>
      </c>
      <c r="F164" s="171">
        <v>22213.32</v>
      </c>
      <c r="G164" s="216">
        <f t="shared" si="29"/>
        <v>22213.32</v>
      </c>
      <c r="H164" s="217">
        <v>8831.45</v>
      </c>
      <c r="I164" s="217">
        <v>0</v>
      </c>
      <c r="J164" s="217">
        <v>0</v>
      </c>
      <c r="K164" s="217">
        <v>0</v>
      </c>
      <c r="L164" s="217">
        <f t="shared" si="30"/>
        <v>0</v>
      </c>
      <c r="M164" s="217">
        <v>0</v>
      </c>
      <c r="N164" s="217">
        <v>0</v>
      </c>
      <c r="O164" s="217">
        <v>0</v>
      </c>
      <c r="P164" s="217">
        <f t="shared" si="31"/>
        <v>0</v>
      </c>
      <c r="Q164" s="216">
        <v>11.73</v>
      </c>
      <c r="R164" s="216">
        <v>0</v>
      </c>
      <c r="S164" s="216">
        <v>0</v>
      </c>
      <c r="T164" s="216">
        <v>0</v>
      </c>
      <c r="U164" s="216">
        <f t="shared" si="32"/>
        <v>11.73</v>
      </c>
      <c r="V164" s="216">
        <f t="shared" si="33"/>
        <v>31056.5</v>
      </c>
      <c r="W164" s="171">
        <v>0</v>
      </c>
      <c r="X164" s="171">
        <f t="shared" si="34"/>
        <v>31056.5</v>
      </c>
      <c r="Y164" s="172">
        <v>77.19</v>
      </c>
      <c r="Z164" s="171">
        <f t="shared" si="35"/>
        <v>31133.69</v>
      </c>
    </row>
    <row r="165" spans="1:26" ht="12.75" hidden="1" outlineLevel="1">
      <c r="A165" s="171" t="s">
        <v>1933</v>
      </c>
      <c r="C165" s="172" t="s">
        <v>1934</v>
      </c>
      <c r="D165" s="172" t="s">
        <v>1935</v>
      </c>
      <c r="E165" s="171">
        <v>0</v>
      </c>
      <c r="F165" s="171">
        <v>20477.51</v>
      </c>
      <c r="G165" s="216">
        <f t="shared" si="29"/>
        <v>20477.51</v>
      </c>
      <c r="H165" s="217">
        <v>3996.95</v>
      </c>
      <c r="I165" s="217">
        <v>0</v>
      </c>
      <c r="J165" s="217">
        <v>0</v>
      </c>
      <c r="K165" s="217">
        <v>0</v>
      </c>
      <c r="L165" s="217">
        <f t="shared" si="30"/>
        <v>0</v>
      </c>
      <c r="M165" s="217">
        <v>0</v>
      </c>
      <c r="N165" s="217">
        <v>0</v>
      </c>
      <c r="O165" s="217">
        <v>0</v>
      </c>
      <c r="P165" s="217">
        <f t="shared" si="31"/>
        <v>0</v>
      </c>
      <c r="Q165" s="216">
        <v>0</v>
      </c>
      <c r="R165" s="216">
        <v>0</v>
      </c>
      <c r="S165" s="216">
        <v>0</v>
      </c>
      <c r="T165" s="216">
        <v>0</v>
      </c>
      <c r="U165" s="216">
        <f t="shared" si="32"/>
        <v>0</v>
      </c>
      <c r="V165" s="216">
        <f t="shared" si="33"/>
        <v>24474.46</v>
      </c>
      <c r="W165" s="171">
        <v>0</v>
      </c>
      <c r="X165" s="171">
        <f t="shared" si="34"/>
        <v>24474.46</v>
      </c>
      <c r="Y165" s="172">
        <v>0</v>
      </c>
      <c r="Z165" s="171">
        <f t="shared" si="35"/>
        <v>24474.46</v>
      </c>
    </row>
    <row r="166" spans="1:26" ht="12.75" hidden="1" outlineLevel="1">
      <c r="A166" s="171" t="s">
        <v>1936</v>
      </c>
      <c r="C166" s="172" t="s">
        <v>1937</v>
      </c>
      <c r="D166" s="172" t="s">
        <v>1938</v>
      </c>
      <c r="E166" s="171">
        <v>0</v>
      </c>
      <c r="F166" s="171">
        <v>259.54</v>
      </c>
      <c r="G166" s="216">
        <f t="shared" si="29"/>
        <v>259.54</v>
      </c>
      <c r="H166" s="217">
        <v>0</v>
      </c>
      <c r="I166" s="217">
        <v>0</v>
      </c>
      <c r="J166" s="217">
        <v>0</v>
      </c>
      <c r="K166" s="217">
        <v>0</v>
      </c>
      <c r="L166" s="217">
        <f t="shared" si="30"/>
        <v>0</v>
      </c>
      <c r="M166" s="217">
        <v>0</v>
      </c>
      <c r="N166" s="217">
        <v>0</v>
      </c>
      <c r="O166" s="217">
        <v>0</v>
      </c>
      <c r="P166" s="217">
        <f t="shared" si="31"/>
        <v>0</v>
      </c>
      <c r="Q166" s="216">
        <v>0</v>
      </c>
      <c r="R166" s="216">
        <v>0</v>
      </c>
      <c r="S166" s="216">
        <v>0</v>
      </c>
      <c r="T166" s="216">
        <v>0</v>
      </c>
      <c r="U166" s="216">
        <f t="shared" si="32"/>
        <v>0</v>
      </c>
      <c r="V166" s="216">
        <f t="shared" si="33"/>
        <v>259.54</v>
      </c>
      <c r="W166" s="171">
        <v>0</v>
      </c>
      <c r="X166" s="171">
        <f t="shared" si="34"/>
        <v>259.54</v>
      </c>
      <c r="Y166" s="172">
        <v>0</v>
      </c>
      <c r="Z166" s="171">
        <f t="shared" si="35"/>
        <v>259.54</v>
      </c>
    </row>
    <row r="167" spans="1:26" ht="12.75" hidden="1" outlineLevel="1">
      <c r="A167" s="171" t="s">
        <v>1939</v>
      </c>
      <c r="C167" s="172" t="s">
        <v>1940</v>
      </c>
      <c r="D167" s="172" t="s">
        <v>1941</v>
      </c>
      <c r="E167" s="171">
        <v>0</v>
      </c>
      <c r="F167" s="171">
        <v>818711.54</v>
      </c>
      <c r="G167" s="216">
        <f t="shared" si="29"/>
        <v>818711.54</v>
      </c>
      <c r="H167" s="217">
        <v>160859.65</v>
      </c>
      <c r="I167" s="217">
        <v>0</v>
      </c>
      <c r="J167" s="217">
        <v>0</v>
      </c>
      <c r="K167" s="217">
        <v>0</v>
      </c>
      <c r="L167" s="217">
        <f t="shared" si="30"/>
        <v>0</v>
      </c>
      <c r="M167" s="217">
        <v>0</v>
      </c>
      <c r="N167" s="217">
        <v>0</v>
      </c>
      <c r="O167" s="217">
        <v>0</v>
      </c>
      <c r="P167" s="217">
        <f t="shared" si="31"/>
        <v>0</v>
      </c>
      <c r="Q167" s="216">
        <v>1080</v>
      </c>
      <c r="R167" s="216">
        <v>0</v>
      </c>
      <c r="S167" s="216">
        <v>0</v>
      </c>
      <c r="T167" s="216">
        <v>0</v>
      </c>
      <c r="U167" s="216">
        <f t="shared" si="32"/>
        <v>1080</v>
      </c>
      <c r="V167" s="216">
        <f t="shared" si="33"/>
        <v>980651.1900000001</v>
      </c>
      <c r="W167" s="171">
        <v>0</v>
      </c>
      <c r="X167" s="171">
        <f t="shared" si="34"/>
        <v>980651.1900000001</v>
      </c>
      <c r="Y167" s="172">
        <v>-270</v>
      </c>
      <c r="Z167" s="171">
        <f t="shared" si="35"/>
        <v>980381.1900000001</v>
      </c>
    </row>
    <row r="168" spans="1:26" ht="12.75" hidden="1" outlineLevel="1">
      <c r="A168" s="171" t="s">
        <v>1942</v>
      </c>
      <c r="C168" s="172" t="s">
        <v>1943</v>
      </c>
      <c r="D168" s="172" t="s">
        <v>1944</v>
      </c>
      <c r="E168" s="171">
        <v>0</v>
      </c>
      <c r="F168" s="171">
        <v>2702.79</v>
      </c>
      <c r="G168" s="216">
        <f t="shared" si="29"/>
        <v>2702.79</v>
      </c>
      <c r="H168" s="217">
        <v>884.43</v>
      </c>
      <c r="I168" s="217">
        <v>0</v>
      </c>
      <c r="J168" s="217">
        <v>0</v>
      </c>
      <c r="K168" s="217">
        <v>0</v>
      </c>
      <c r="L168" s="217">
        <f t="shared" si="30"/>
        <v>0</v>
      </c>
      <c r="M168" s="217">
        <v>0</v>
      </c>
      <c r="N168" s="217">
        <v>0</v>
      </c>
      <c r="O168" s="217">
        <v>0</v>
      </c>
      <c r="P168" s="217">
        <f t="shared" si="31"/>
        <v>0</v>
      </c>
      <c r="Q168" s="216">
        <v>0</v>
      </c>
      <c r="R168" s="216">
        <v>0</v>
      </c>
      <c r="S168" s="216">
        <v>0</v>
      </c>
      <c r="T168" s="216">
        <v>0</v>
      </c>
      <c r="U168" s="216">
        <f t="shared" si="32"/>
        <v>0</v>
      </c>
      <c r="V168" s="216">
        <f t="shared" si="33"/>
        <v>3587.22</v>
      </c>
      <c r="W168" s="171">
        <v>0</v>
      </c>
      <c r="X168" s="171">
        <f t="shared" si="34"/>
        <v>3587.22</v>
      </c>
      <c r="Y168" s="172">
        <v>0</v>
      </c>
      <c r="Z168" s="171">
        <f t="shared" si="35"/>
        <v>3587.22</v>
      </c>
    </row>
    <row r="169" spans="1:26" ht="12.75" hidden="1" outlineLevel="1">
      <c r="A169" s="171" t="s">
        <v>1945</v>
      </c>
      <c r="C169" s="172" t="s">
        <v>1946</v>
      </c>
      <c r="D169" s="172" t="s">
        <v>1947</v>
      </c>
      <c r="E169" s="171">
        <v>0</v>
      </c>
      <c r="F169" s="171">
        <v>318878.65</v>
      </c>
      <c r="G169" s="216">
        <f t="shared" si="29"/>
        <v>318878.65</v>
      </c>
      <c r="H169" s="217">
        <v>41480.33</v>
      </c>
      <c r="I169" s="217">
        <v>0</v>
      </c>
      <c r="J169" s="217">
        <v>0</v>
      </c>
      <c r="K169" s="217">
        <v>0</v>
      </c>
      <c r="L169" s="217">
        <f t="shared" si="30"/>
        <v>0</v>
      </c>
      <c r="M169" s="217">
        <v>0</v>
      </c>
      <c r="N169" s="217">
        <v>0</v>
      </c>
      <c r="O169" s="217">
        <v>0</v>
      </c>
      <c r="P169" s="217">
        <f t="shared" si="31"/>
        <v>0</v>
      </c>
      <c r="Q169" s="216">
        <v>6700</v>
      </c>
      <c r="R169" s="216">
        <v>98419.66</v>
      </c>
      <c r="S169" s="216">
        <v>0</v>
      </c>
      <c r="T169" s="216">
        <v>0</v>
      </c>
      <c r="U169" s="216">
        <f t="shared" si="32"/>
        <v>105119.66</v>
      </c>
      <c r="V169" s="216">
        <f t="shared" si="33"/>
        <v>465478.64</v>
      </c>
      <c r="W169" s="171">
        <v>0</v>
      </c>
      <c r="X169" s="171">
        <f t="shared" si="34"/>
        <v>465478.64</v>
      </c>
      <c r="Y169" s="172">
        <v>0</v>
      </c>
      <c r="Z169" s="171">
        <f t="shared" si="35"/>
        <v>465478.64</v>
      </c>
    </row>
    <row r="170" spans="1:26" ht="12.75" hidden="1" outlineLevel="1">
      <c r="A170" s="171" t="s">
        <v>1948</v>
      </c>
      <c r="C170" s="172" t="s">
        <v>1949</v>
      </c>
      <c r="D170" s="172" t="s">
        <v>1950</v>
      </c>
      <c r="E170" s="171">
        <v>0</v>
      </c>
      <c r="F170" s="171">
        <v>299.45</v>
      </c>
      <c r="G170" s="216">
        <f t="shared" si="29"/>
        <v>299.45</v>
      </c>
      <c r="H170" s="217">
        <v>13506.09</v>
      </c>
      <c r="I170" s="217">
        <v>0</v>
      </c>
      <c r="J170" s="217">
        <v>0</v>
      </c>
      <c r="K170" s="217">
        <v>0</v>
      </c>
      <c r="L170" s="217">
        <f t="shared" si="30"/>
        <v>0</v>
      </c>
      <c r="M170" s="217">
        <v>0</v>
      </c>
      <c r="N170" s="217">
        <v>0</v>
      </c>
      <c r="O170" s="217">
        <v>0</v>
      </c>
      <c r="P170" s="217">
        <f t="shared" si="31"/>
        <v>0</v>
      </c>
      <c r="Q170" s="216">
        <v>0</v>
      </c>
      <c r="R170" s="216">
        <v>0</v>
      </c>
      <c r="S170" s="216">
        <v>0</v>
      </c>
      <c r="T170" s="216">
        <v>0</v>
      </c>
      <c r="U170" s="216">
        <f t="shared" si="32"/>
        <v>0</v>
      </c>
      <c r="V170" s="216">
        <f t="shared" si="33"/>
        <v>13805.54</v>
      </c>
      <c r="W170" s="171">
        <v>0</v>
      </c>
      <c r="X170" s="171">
        <f t="shared" si="34"/>
        <v>13805.54</v>
      </c>
      <c r="Y170" s="172">
        <v>0</v>
      </c>
      <c r="Z170" s="171">
        <f t="shared" si="35"/>
        <v>13805.54</v>
      </c>
    </row>
    <row r="171" spans="1:26" ht="12.75" hidden="1" outlineLevel="1">
      <c r="A171" s="171" t="s">
        <v>1951</v>
      </c>
      <c r="C171" s="172" t="s">
        <v>1952</v>
      </c>
      <c r="D171" s="172" t="s">
        <v>1953</v>
      </c>
      <c r="E171" s="171">
        <v>0</v>
      </c>
      <c r="F171" s="171">
        <v>170561.81</v>
      </c>
      <c r="G171" s="216">
        <f t="shared" si="29"/>
        <v>170561.81</v>
      </c>
      <c r="H171" s="217">
        <v>20953.08</v>
      </c>
      <c r="I171" s="217">
        <v>0</v>
      </c>
      <c r="J171" s="217">
        <v>0</v>
      </c>
      <c r="K171" s="217">
        <v>0</v>
      </c>
      <c r="L171" s="217">
        <f t="shared" si="30"/>
        <v>0</v>
      </c>
      <c r="M171" s="217">
        <v>0</v>
      </c>
      <c r="N171" s="217">
        <v>0</v>
      </c>
      <c r="O171" s="217">
        <v>0</v>
      </c>
      <c r="P171" s="217">
        <f t="shared" si="31"/>
        <v>0</v>
      </c>
      <c r="Q171" s="216">
        <v>0</v>
      </c>
      <c r="R171" s="216">
        <v>0</v>
      </c>
      <c r="S171" s="216">
        <v>0</v>
      </c>
      <c r="T171" s="216">
        <v>0</v>
      </c>
      <c r="U171" s="216">
        <f t="shared" si="32"/>
        <v>0</v>
      </c>
      <c r="V171" s="216">
        <f t="shared" si="33"/>
        <v>191514.89</v>
      </c>
      <c r="W171" s="171">
        <v>0</v>
      </c>
      <c r="X171" s="171">
        <f t="shared" si="34"/>
        <v>191514.89</v>
      </c>
      <c r="Y171" s="172">
        <v>0</v>
      </c>
      <c r="Z171" s="171">
        <f t="shared" si="35"/>
        <v>191514.89</v>
      </c>
    </row>
    <row r="172" spans="1:26" ht="12.75" hidden="1" outlineLevel="1">
      <c r="A172" s="171" t="s">
        <v>1954</v>
      </c>
      <c r="C172" s="172" t="s">
        <v>1955</v>
      </c>
      <c r="D172" s="172" t="s">
        <v>1956</v>
      </c>
      <c r="E172" s="171">
        <v>0</v>
      </c>
      <c r="F172" s="171">
        <v>82954.35</v>
      </c>
      <c r="G172" s="216">
        <f t="shared" si="29"/>
        <v>82954.35</v>
      </c>
      <c r="H172" s="217">
        <v>1849</v>
      </c>
      <c r="I172" s="217">
        <v>0</v>
      </c>
      <c r="J172" s="217">
        <v>0</v>
      </c>
      <c r="K172" s="217">
        <v>0</v>
      </c>
      <c r="L172" s="217">
        <f t="shared" si="30"/>
        <v>0</v>
      </c>
      <c r="M172" s="217">
        <v>0</v>
      </c>
      <c r="N172" s="217">
        <v>0</v>
      </c>
      <c r="O172" s="217">
        <v>0</v>
      </c>
      <c r="P172" s="217">
        <f t="shared" si="31"/>
        <v>0</v>
      </c>
      <c r="Q172" s="216">
        <v>0</v>
      </c>
      <c r="R172" s="216">
        <v>0</v>
      </c>
      <c r="S172" s="216">
        <v>0</v>
      </c>
      <c r="T172" s="216">
        <v>0</v>
      </c>
      <c r="U172" s="216">
        <f t="shared" si="32"/>
        <v>0</v>
      </c>
      <c r="V172" s="216">
        <f t="shared" si="33"/>
        <v>84803.35</v>
      </c>
      <c r="W172" s="171">
        <v>0</v>
      </c>
      <c r="X172" s="171">
        <f t="shared" si="34"/>
        <v>84803.35</v>
      </c>
      <c r="Y172" s="172">
        <v>0</v>
      </c>
      <c r="Z172" s="171">
        <f t="shared" si="35"/>
        <v>84803.35</v>
      </c>
    </row>
    <row r="173" spans="1:26" ht="12.75" hidden="1" outlineLevel="1">
      <c r="A173" s="171" t="s">
        <v>1957</v>
      </c>
      <c r="C173" s="172" t="s">
        <v>1958</v>
      </c>
      <c r="D173" s="172" t="s">
        <v>1959</v>
      </c>
      <c r="E173" s="171">
        <v>0</v>
      </c>
      <c r="F173" s="171">
        <v>188334.17</v>
      </c>
      <c r="G173" s="216">
        <f t="shared" si="29"/>
        <v>188334.17</v>
      </c>
      <c r="H173" s="217">
        <v>18756.87</v>
      </c>
      <c r="I173" s="217">
        <v>0</v>
      </c>
      <c r="J173" s="217">
        <v>0</v>
      </c>
      <c r="K173" s="217">
        <v>0</v>
      </c>
      <c r="L173" s="217">
        <f t="shared" si="30"/>
        <v>0</v>
      </c>
      <c r="M173" s="217">
        <v>0</v>
      </c>
      <c r="N173" s="217">
        <v>0</v>
      </c>
      <c r="O173" s="217">
        <v>0</v>
      </c>
      <c r="P173" s="217">
        <f t="shared" si="31"/>
        <v>0</v>
      </c>
      <c r="Q173" s="216">
        <v>0</v>
      </c>
      <c r="R173" s="216">
        <v>0</v>
      </c>
      <c r="S173" s="216">
        <v>0</v>
      </c>
      <c r="T173" s="216">
        <v>0</v>
      </c>
      <c r="U173" s="216">
        <f t="shared" si="32"/>
        <v>0</v>
      </c>
      <c r="V173" s="216">
        <f t="shared" si="33"/>
        <v>207091.04</v>
      </c>
      <c r="W173" s="171">
        <v>0</v>
      </c>
      <c r="X173" s="171">
        <f t="shared" si="34"/>
        <v>207091.04</v>
      </c>
      <c r="Y173" s="172">
        <v>0.2</v>
      </c>
      <c r="Z173" s="171">
        <f t="shared" si="35"/>
        <v>207091.24000000002</v>
      </c>
    </row>
    <row r="174" spans="1:26" ht="12.75" hidden="1" outlineLevel="1">
      <c r="A174" s="171" t="s">
        <v>1960</v>
      </c>
      <c r="C174" s="172" t="s">
        <v>1961</v>
      </c>
      <c r="D174" s="172" t="s">
        <v>1962</v>
      </c>
      <c r="E174" s="171">
        <v>0</v>
      </c>
      <c r="F174" s="171">
        <v>236957.79</v>
      </c>
      <c r="G174" s="216">
        <f t="shared" si="29"/>
        <v>236957.79</v>
      </c>
      <c r="H174" s="217">
        <v>49965.93</v>
      </c>
      <c r="I174" s="217">
        <v>0</v>
      </c>
      <c r="J174" s="217">
        <v>0</v>
      </c>
      <c r="K174" s="217">
        <v>0</v>
      </c>
      <c r="L174" s="217">
        <f t="shared" si="30"/>
        <v>0</v>
      </c>
      <c r="M174" s="217">
        <v>0</v>
      </c>
      <c r="N174" s="217">
        <v>0</v>
      </c>
      <c r="O174" s="217">
        <v>0</v>
      </c>
      <c r="P174" s="217">
        <f t="shared" si="31"/>
        <v>0</v>
      </c>
      <c r="Q174" s="216">
        <v>0</v>
      </c>
      <c r="R174" s="216">
        <v>0</v>
      </c>
      <c r="S174" s="216">
        <v>0</v>
      </c>
      <c r="T174" s="216">
        <v>0</v>
      </c>
      <c r="U174" s="216">
        <f t="shared" si="32"/>
        <v>0</v>
      </c>
      <c r="V174" s="216">
        <f t="shared" si="33"/>
        <v>286923.72000000003</v>
      </c>
      <c r="W174" s="171">
        <v>0</v>
      </c>
      <c r="X174" s="171">
        <f t="shared" si="34"/>
        <v>286923.72000000003</v>
      </c>
      <c r="Y174" s="172">
        <v>315</v>
      </c>
      <c r="Z174" s="171">
        <f t="shared" si="35"/>
        <v>287238.72000000003</v>
      </c>
    </row>
    <row r="175" spans="1:26" ht="12.75" hidden="1" outlineLevel="1">
      <c r="A175" s="171" t="s">
        <v>1963</v>
      </c>
      <c r="C175" s="172" t="s">
        <v>1964</v>
      </c>
      <c r="D175" s="172" t="s">
        <v>1965</v>
      </c>
      <c r="E175" s="171">
        <v>0</v>
      </c>
      <c r="F175" s="171">
        <v>141676.12</v>
      </c>
      <c r="G175" s="216">
        <f t="shared" si="29"/>
        <v>141676.12</v>
      </c>
      <c r="H175" s="217">
        <v>25726.9</v>
      </c>
      <c r="I175" s="217">
        <v>0</v>
      </c>
      <c r="J175" s="217">
        <v>0</v>
      </c>
      <c r="K175" s="217">
        <v>0</v>
      </c>
      <c r="L175" s="217">
        <f t="shared" si="30"/>
        <v>0</v>
      </c>
      <c r="M175" s="217">
        <v>0</v>
      </c>
      <c r="N175" s="217">
        <v>0</v>
      </c>
      <c r="O175" s="217">
        <v>0</v>
      </c>
      <c r="P175" s="217">
        <f t="shared" si="31"/>
        <v>0</v>
      </c>
      <c r="Q175" s="216">
        <v>0</v>
      </c>
      <c r="R175" s="216">
        <v>0</v>
      </c>
      <c r="S175" s="216">
        <v>0</v>
      </c>
      <c r="T175" s="216">
        <v>0</v>
      </c>
      <c r="U175" s="216">
        <f t="shared" si="32"/>
        <v>0</v>
      </c>
      <c r="V175" s="216">
        <f t="shared" si="33"/>
        <v>167403.02</v>
      </c>
      <c r="W175" s="171">
        <v>0</v>
      </c>
      <c r="X175" s="171">
        <f t="shared" si="34"/>
        <v>167403.02</v>
      </c>
      <c r="Y175" s="172">
        <v>81.25</v>
      </c>
      <c r="Z175" s="171">
        <f t="shared" si="35"/>
        <v>167484.27</v>
      </c>
    </row>
    <row r="176" spans="1:26" ht="12.75" hidden="1" outlineLevel="1">
      <c r="A176" s="171" t="s">
        <v>1966</v>
      </c>
      <c r="C176" s="172" t="s">
        <v>1967</v>
      </c>
      <c r="D176" s="172" t="s">
        <v>1968</v>
      </c>
      <c r="E176" s="171">
        <v>0</v>
      </c>
      <c r="F176" s="171">
        <v>50625</v>
      </c>
      <c r="G176" s="216">
        <f t="shared" si="29"/>
        <v>50625</v>
      </c>
      <c r="H176" s="217">
        <v>14879.5</v>
      </c>
      <c r="I176" s="217">
        <v>0</v>
      </c>
      <c r="J176" s="217">
        <v>0</v>
      </c>
      <c r="K176" s="217">
        <v>0</v>
      </c>
      <c r="L176" s="217">
        <f t="shared" si="30"/>
        <v>0</v>
      </c>
      <c r="M176" s="217">
        <v>0</v>
      </c>
      <c r="N176" s="217">
        <v>0</v>
      </c>
      <c r="O176" s="217">
        <v>0</v>
      </c>
      <c r="P176" s="217">
        <f t="shared" si="31"/>
        <v>0</v>
      </c>
      <c r="Q176" s="216">
        <v>0</v>
      </c>
      <c r="R176" s="216">
        <v>0</v>
      </c>
      <c r="S176" s="216">
        <v>0</v>
      </c>
      <c r="T176" s="216">
        <v>0</v>
      </c>
      <c r="U176" s="216">
        <f t="shared" si="32"/>
        <v>0</v>
      </c>
      <c r="V176" s="216">
        <f t="shared" si="33"/>
        <v>65504.5</v>
      </c>
      <c r="W176" s="171">
        <v>0</v>
      </c>
      <c r="X176" s="171">
        <f t="shared" si="34"/>
        <v>65504.5</v>
      </c>
      <c r="Y176" s="172">
        <v>0</v>
      </c>
      <c r="Z176" s="171">
        <f t="shared" si="35"/>
        <v>65504.5</v>
      </c>
    </row>
    <row r="177" spans="1:26" ht="12.75" hidden="1" outlineLevel="1">
      <c r="A177" s="171" t="s">
        <v>1969</v>
      </c>
      <c r="C177" s="172" t="s">
        <v>1970</v>
      </c>
      <c r="D177" s="172" t="s">
        <v>1971</v>
      </c>
      <c r="E177" s="171">
        <v>0</v>
      </c>
      <c r="F177" s="171">
        <v>71858.09</v>
      </c>
      <c r="G177" s="216">
        <f t="shared" si="29"/>
        <v>71858.09</v>
      </c>
      <c r="H177" s="217">
        <v>8681.98</v>
      </c>
      <c r="I177" s="217">
        <v>0</v>
      </c>
      <c r="J177" s="217">
        <v>0</v>
      </c>
      <c r="K177" s="217">
        <v>0</v>
      </c>
      <c r="L177" s="217">
        <f t="shared" si="30"/>
        <v>0</v>
      </c>
      <c r="M177" s="217">
        <v>0</v>
      </c>
      <c r="N177" s="217">
        <v>0</v>
      </c>
      <c r="O177" s="217">
        <v>0</v>
      </c>
      <c r="P177" s="217">
        <f t="shared" si="31"/>
        <v>0</v>
      </c>
      <c r="Q177" s="216">
        <v>0</v>
      </c>
      <c r="R177" s="216">
        <v>0</v>
      </c>
      <c r="S177" s="216">
        <v>0</v>
      </c>
      <c r="T177" s="216">
        <v>0</v>
      </c>
      <c r="U177" s="216">
        <f t="shared" si="32"/>
        <v>0</v>
      </c>
      <c r="V177" s="216">
        <f t="shared" si="33"/>
        <v>80540.06999999999</v>
      </c>
      <c r="W177" s="171">
        <v>0</v>
      </c>
      <c r="X177" s="171">
        <f t="shared" si="34"/>
        <v>80540.06999999999</v>
      </c>
      <c r="Y177" s="172">
        <v>0</v>
      </c>
      <c r="Z177" s="171">
        <f t="shared" si="35"/>
        <v>80540.06999999999</v>
      </c>
    </row>
    <row r="178" spans="1:26" ht="12.75" hidden="1" outlineLevel="1">
      <c r="A178" s="171" t="s">
        <v>1972</v>
      </c>
      <c r="C178" s="172" t="s">
        <v>1973</v>
      </c>
      <c r="D178" s="172" t="s">
        <v>1974</v>
      </c>
      <c r="E178" s="171">
        <v>0</v>
      </c>
      <c r="F178" s="171">
        <v>103149.23</v>
      </c>
      <c r="G178" s="216">
        <f t="shared" si="29"/>
        <v>103149.23</v>
      </c>
      <c r="H178" s="217">
        <v>42642.72</v>
      </c>
      <c r="I178" s="217">
        <v>0</v>
      </c>
      <c r="J178" s="217">
        <v>0</v>
      </c>
      <c r="K178" s="217">
        <v>0</v>
      </c>
      <c r="L178" s="217">
        <f t="shared" si="30"/>
        <v>0</v>
      </c>
      <c r="M178" s="217">
        <v>0</v>
      </c>
      <c r="N178" s="217">
        <v>0</v>
      </c>
      <c r="O178" s="217">
        <v>0</v>
      </c>
      <c r="P178" s="217">
        <f t="shared" si="31"/>
        <v>0</v>
      </c>
      <c r="Q178" s="216">
        <v>0</v>
      </c>
      <c r="R178" s="216">
        <v>0</v>
      </c>
      <c r="S178" s="216">
        <v>0</v>
      </c>
      <c r="T178" s="216">
        <v>0</v>
      </c>
      <c r="U178" s="216">
        <f t="shared" si="32"/>
        <v>0</v>
      </c>
      <c r="V178" s="216">
        <f t="shared" si="33"/>
        <v>145791.95</v>
      </c>
      <c r="W178" s="171">
        <v>0</v>
      </c>
      <c r="X178" s="171">
        <f t="shared" si="34"/>
        <v>145791.95</v>
      </c>
      <c r="Y178" s="172">
        <v>0</v>
      </c>
      <c r="Z178" s="171">
        <f t="shared" si="35"/>
        <v>145791.95</v>
      </c>
    </row>
    <row r="179" spans="1:26" ht="12.75" hidden="1" outlineLevel="1">
      <c r="A179" s="171" t="s">
        <v>1975</v>
      </c>
      <c r="C179" s="172" t="s">
        <v>1976</v>
      </c>
      <c r="D179" s="172" t="s">
        <v>1977</v>
      </c>
      <c r="E179" s="171">
        <v>0</v>
      </c>
      <c r="F179" s="171">
        <v>18784.76</v>
      </c>
      <c r="G179" s="216">
        <f t="shared" si="29"/>
        <v>18784.76</v>
      </c>
      <c r="H179" s="217">
        <v>1247.58</v>
      </c>
      <c r="I179" s="217">
        <v>0</v>
      </c>
      <c r="J179" s="217">
        <v>0</v>
      </c>
      <c r="K179" s="217">
        <v>0</v>
      </c>
      <c r="L179" s="217">
        <f t="shared" si="30"/>
        <v>0</v>
      </c>
      <c r="M179" s="217">
        <v>0</v>
      </c>
      <c r="N179" s="217">
        <v>0</v>
      </c>
      <c r="O179" s="217">
        <v>0</v>
      </c>
      <c r="P179" s="217">
        <f t="shared" si="31"/>
        <v>0</v>
      </c>
      <c r="Q179" s="216">
        <v>0</v>
      </c>
      <c r="R179" s="216">
        <v>0</v>
      </c>
      <c r="S179" s="216">
        <v>0</v>
      </c>
      <c r="T179" s="216">
        <v>0</v>
      </c>
      <c r="U179" s="216">
        <f t="shared" si="32"/>
        <v>0</v>
      </c>
      <c r="V179" s="216">
        <f t="shared" si="33"/>
        <v>20032.339999999997</v>
      </c>
      <c r="W179" s="171">
        <v>0</v>
      </c>
      <c r="X179" s="171">
        <f t="shared" si="34"/>
        <v>20032.339999999997</v>
      </c>
      <c r="Y179" s="172">
        <v>0</v>
      </c>
      <c r="Z179" s="171">
        <f t="shared" si="35"/>
        <v>20032.339999999997</v>
      </c>
    </row>
    <row r="180" spans="1:26" ht="12.75" hidden="1" outlineLevel="1">
      <c r="A180" s="171" t="s">
        <v>1978</v>
      </c>
      <c r="C180" s="172" t="s">
        <v>1979</v>
      </c>
      <c r="D180" s="172" t="s">
        <v>1980</v>
      </c>
      <c r="E180" s="171">
        <v>0</v>
      </c>
      <c r="F180" s="171">
        <v>1265658.1</v>
      </c>
      <c r="G180" s="216">
        <f t="shared" si="29"/>
        <v>1265658.1</v>
      </c>
      <c r="H180" s="217">
        <v>13327</v>
      </c>
      <c r="I180" s="217">
        <v>0</v>
      </c>
      <c r="J180" s="217">
        <v>0</v>
      </c>
      <c r="K180" s="217">
        <v>0</v>
      </c>
      <c r="L180" s="217">
        <f t="shared" si="30"/>
        <v>0</v>
      </c>
      <c r="M180" s="217">
        <v>0</v>
      </c>
      <c r="N180" s="217">
        <v>0</v>
      </c>
      <c r="O180" s="217">
        <v>0</v>
      </c>
      <c r="P180" s="217">
        <f t="shared" si="31"/>
        <v>0</v>
      </c>
      <c r="Q180" s="216">
        <v>0</v>
      </c>
      <c r="R180" s="216">
        <v>0</v>
      </c>
      <c r="S180" s="216">
        <v>0</v>
      </c>
      <c r="T180" s="216">
        <v>0</v>
      </c>
      <c r="U180" s="216">
        <f t="shared" si="32"/>
        <v>0</v>
      </c>
      <c r="V180" s="216">
        <f t="shared" si="33"/>
        <v>1278985.1</v>
      </c>
      <c r="W180" s="171">
        <v>0</v>
      </c>
      <c r="X180" s="171">
        <f t="shared" si="34"/>
        <v>1278985.1</v>
      </c>
      <c r="Y180" s="172">
        <v>0</v>
      </c>
      <c r="Z180" s="171">
        <f t="shared" si="35"/>
        <v>1278985.1</v>
      </c>
    </row>
    <row r="181" spans="1:26" ht="12.75" hidden="1" outlineLevel="1">
      <c r="A181" s="171" t="s">
        <v>1981</v>
      </c>
      <c r="C181" s="172" t="s">
        <v>1982</v>
      </c>
      <c r="D181" s="172" t="s">
        <v>1983</v>
      </c>
      <c r="E181" s="171">
        <v>0</v>
      </c>
      <c r="F181" s="171">
        <v>197029.49</v>
      </c>
      <c r="G181" s="216">
        <f t="shared" si="29"/>
        <v>197029.49</v>
      </c>
      <c r="H181" s="217">
        <v>34879.66</v>
      </c>
      <c r="I181" s="217">
        <v>0</v>
      </c>
      <c r="J181" s="217">
        <v>0</v>
      </c>
      <c r="K181" s="217">
        <v>0</v>
      </c>
      <c r="L181" s="217">
        <f t="shared" si="30"/>
        <v>0</v>
      </c>
      <c r="M181" s="217">
        <v>0</v>
      </c>
      <c r="N181" s="217">
        <v>0</v>
      </c>
      <c r="O181" s="217">
        <v>0</v>
      </c>
      <c r="P181" s="217">
        <f t="shared" si="31"/>
        <v>0</v>
      </c>
      <c r="Q181" s="216">
        <v>0</v>
      </c>
      <c r="R181" s="216">
        <v>0</v>
      </c>
      <c r="S181" s="216">
        <v>0</v>
      </c>
      <c r="T181" s="216">
        <v>0</v>
      </c>
      <c r="U181" s="216">
        <f t="shared" si="32"/>
        <v>0</v>
      </c>
      <c r="V181" s="216">
        <f t="shared" si="33"/>
        <v>231909.15</v>
      </c>
      <c r="W181" s="171">
        <v>0</v>
      </c>
      <c r="X181" s="171">
        <f t="shared" si="34"/>
        <v>231909.15</v>
      </c>
      <c r="Y181" s="172">
        <v>4402.25</v>
      </c>
      <c r="Z181" s="171">
        <f t="shared" si="35"/>
        <v>236311.4</v>
      </c>
    </row>
    <row r="182" spans="1:26" ht="12.75" hidden="1" outlineLevel="1">
      <c r="A182" s="171" t="s">
        <v>1984</v>
      </c>
      <c r="C182" s="172" t="s">
        <v>1985</v>
      </c>
      <c r="D182" s="172" t="s">
        <v>1986</v>
      </c>
      <c r="E182" s="171">
        <v>0</v>
      </c>
      <c r="F182" s="171">
        <v>712865.2</v>
      </c>
      <c r="G182" s="216">
        <f t="shared" si="29"/>
        <v>712865.2</v>
      </c>
      <c r="H182" s="217">
        <v>133212.67</v>
      </c>
      <c r="I182" s="217">
        <v>0</v>
      </c>
      <c r="J182" s="217">
        <v>0</v>
      </c>
      <c r="K182" s="217">
        <v>0</v>
      </c>
      <c r="L182" s="217">
        <f t="shared" si="30"/>
        <v>0</v>
      </c>
      <c r="M182" s="217">
        <v>0</v>
      </c>
      <c r="N182" s="217">
        <v>0</v>
      </c>
      <c r="O182" s="217">
        <v>0</v>
      </c>
      <c r="P182" s="217">
        <f t="shared" si="31"/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f t="shared" si="32"/>
        <v>0</v>
      </c>
      <c r="V182" s="216">
        <f t="shared" si="33"/>
        <v>846077.87</v>
      </c>
      <c r="W182" s="171">
        <v>0</v>
      </c>
      <c r="X182" s="171">
        <f t="shared" si="34"/>
        <v>846077.87</v>
      </c>
      <c r="Y182" s="172">
        <v>35705.52</v>
      </c>
      <c r="Z182" s="171">
        <f t="shared" si="35"/>
        <v>881783.39</v>
      </c>
    </row>
    <row r="183" spans="1:26" ht="12.75" hidden="1" outlineLevel="1">
      <c r="A183" s="171" t="s">
        <v>1987</v>
      </c>
      <c r="C183" s="172" t="s">
        <v>1988</v>
      </c>
      <c r="D183" s="172" t="s">
        <v>1989</v>
      </c>
      <c r="E183" s="171">
        <v>0</v>
      </c>
      <c r="F183" s="171">
        <v>521253.67</v>
      </c>
      <c r="G183" s="216">
        <f t="shared" si="29"/>
        <v>521253.67</v>
      </c>
      <c r="H183" s="217">
        <v>186174.05</v>
      </c>
      <c r="I183" s="217">
        <v>0</v>
      </c>
      <c r="J183" s="217">
        <v>0</v>
      </c>
      <c r="K183" s="217">
        <v>324.4</v>
      </c>
      <c r="L183" s="217">
        <f t="shared" si="30"/>
        <v>324.4</v>
      </c>
      <c r="M183" s="217">
        <v>0</v>
      </c>
      <c r="N183" s="217">
        <v>-140</v>
      </c>
      <c r="O183" s="217">
        <v>0</v>
      </c>
      <c r="P183" s="217">
        <f t="shared" si="31"/>
        <v>-140</v>
      </c>
      <c r="Q183" s="216">
        <v>0</v>
      </c>
      <c r="R183" s="216">
        <v>0</v>
      </c>
      <c r="S183" s="216">
        <v>0</v>
      </c>
      <c r="T183" s="216">
        <v>0</v>
      </c>
      <c r="U183" s="216">
        <f t="shared" si="32"/>
        <v>0</v>
      </c>
      <c r="V183" s="216">
        <f t="shared" si="33"/>
        <v>707612.12</v>
      </c>
      <c r="W183" s="171">
        <v>0</v>
      </c>
      <c r="X183" s="171">
        <f t="shared" si="34"/>
        <v>707612.12</v>
      </c>
      <c r="Y183" s="172">
        <v>5677.89</v>
      </c>
      <c r="Z183" s="171">
        <f t="shared" si="35"/>
        <v>713290.01</v>
      </c>
    </row>
    <row r="184" spans="1:26" ht="12.75" hidden="1" outlineLevel="1">
      <c r="A184" s="171" t="s">
        <v>1990</v>
      </c>
      <c r="C184" s="172" t="s">
        <v>1991</v>
      </c>
      <c r="D184" s="172" t="s">
        <v>1992</v>
      </c>
      <c r="E184" s="171">
        <v>0</v>
      </c>
      <c r="F184" s="171">
        <v>158531.15</v>
      </c>
      <c r="G184" s="216">
        <f t="shared" si="29"/>
        <v>158531.15</v>
      </c>
      <c r="H184" s="217">
        <v>3018.25</v>
      </c>
      <c r="I184" s="217">
        <v>0</v>
      </c>
      <c r="J184" s="217">
        <v>0</v>
      </c>
      <c r="K184" s="217">
        <v>0</v>
      </c>
      <c r="L184" s="217">
        <f t="shared" si="30"/>
        <v>0</v>
      </c>
      <c r="M184" s="217">
        <v>0</v>
      </c>
      <c r="N184" s="217">
        <v>0</v>
      </c>
      <c r="O184" s="217">
        <v>0</v>
      </c>
      <c r="P184" s="217">
        <f t="shared" si="31"/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f t="shared" si="32"/>
        <v>0</v>
      </c>
      <c r="V184" s="216">
        <f t="shared" si="33"/>
        <v>161549.4</v>
      </c>
      <c r="W184" s="171">
        <v>0</v>
      </c>
      <c r="X184" s="171">
        <f t="shared" si="34"/>
        <v>161549.4</v>
      </c>
      <c r="Y184" s="172">
        <v>0</v>
      </c>
      <c r="Z184" s="171">
        <f t="shared" si="35"/>
        <v>161549.4</v>
      </c>
    </row>
    <row r="185" spans="1:26" ht="12.75" hidden="1" outlineLevel="1">
      <c r="A185" s="171" t="s">
        <v>1993</v>
      </c>
      <c r="C185" s="172" t="s">
        <v>1994</v>
      </c>
      <c r="D185" s="172" t="s">
        <v>1995</v>
      </c>
      <c r="E185" s="171">
        <v>0</v>
      </c>
      <c r="F185" s="171">
        <v>5535151.74</v>
      </c>
      <c r="G185" s="216">
        <f t="shared" si="29"/>
        <v>5535151.74</v>
      </c>
      <c r="H185" s="217">
        <v>1771043.16</v>
      </c>
      <c r="I185" s="217">
        <v>0</v>
      </c>
      <c r="J185" s="217">
        <v>0</v>
      </c>
      <c r="K185" s="217">
        <v>0</v>
      </c>
      <c r="L185" s="217">
        <f t="shared" si="30"/>
        <v>0</v>
      </c>
      <c r="M185" s="217">
        <v>0</v>
      </c>
      <c r="N185" s="217">
        <v>120.53</v>
      </c>
      <c r="O185" s="217">
        <v>0</v>
      </c>
      <c r="P185" s="217">
        <f t="shared" si="31"/>
        <v>120.53</v>
      </c>
      <c r="Q185" s="216">
        <v>18321.97</v>
      </c>
      <c r="R185" s="216">
        <v>3294</v>
      </c>
      <c r="S185" s="216">
        <v>0</v>
      </c>
      <c r="T185" s="216">
        <v>0</v>
      </c>
      <c r="U185" s="216">
        <f t="shared" si="32"/>
        <v>21615.97</v>
      </c>
      <c r="V185" s="216">
        <f t="shared" si="33"/>
        <v>7327931.4</v>
      </c>
      <c r="W185" s="171">
        <v>0</v>
      </c>
      <c r="X185" s="171">
        <f t="shared" si="34"/>
        <v>7327931.4</v>
      </c>
      <c r="Y185" s="172">
        <v>51677.41</v>
      </c>
      <c r="Z185" s="171">
        <f t="shared" si="35"/>
        <v>7379608.8100000005</v>
      </c>
    </row>
    <row r="186" spans="1:26" ht="12.75" hidden="1" outlineLevel="1">
      <c r="A186" s="171" t="s">
        <v>1996</v>
      </c>
      <c r="C186" s="172" t="s">
        <v>1997</v>
      </c>
      <c r="D186" s="172" t="s">
        <v>1998</v>
      </c>
      <c r="E186" s="171">
        <v>0</v>
      </c>
      <c r="F186" s="171">
        <v>510840.3</v>
      </c>
      <c r="G186" s="216">
        <f t="shared" si="29"/>
        <v>510840.3</v>
      </c>
      <c r="H186" s="217">
        <v>170030.92</v>
      </c>
      <c r="I186" s="217">
        <v>0</v>
      </c>
      <c r="J186" s="217">
        <v>0</v>
      </c>
      <c r="K186" s="217">
        <v>0</v>
      </c>
      <c r="L186" s="217">
        <f t="shared" si="30"/>
        <v>0</v>
      </c>
      <c r="M186" s="217">
        <v>0</v>
      </c>
      <c r="N186" s="217">
        <v>274</v>
      </c>
      <c r="O186" s="217">
        <v>0</v>
      </c>
      <c r="P186" s="217">
        <f t="shared" si="31"/>
        <v>274</v>
      </c>
      <c r="Q186" s="216">
        <v>0</v>
      </c>
      <c r="R186" s="216">
        <v>0</v>
      </c>
      <c r="S186" s="216">
        <v>0</v>
      </c>
      <c r="T186" s="216">
        <v>0</v>
      </c>
      <c r="U186" s="216">
        <f t="shared" si="32"/>
        <v>0</v>
      </c>
      <c r="V186" s="216">
        <f t="shared" si="33"/>
        <v>681145.22</v>
      </c>
      <c r="W186" s="171">
        <v>0</v>
      </c>
      <c r="X186" s="171">
        <f t="shared" si="34"/>
        <v>681145.22</v>
      </c>
      <c r="Y186" s="172">
        <v>1007.9</v>
      </c>
      <c r="Z186" s="171">
        <f t="shared" si="35"/>
        <v>682153.12</v>
      </c>
    </row>
    <row r="187" spans="1:26" ht="12.75" hidden="1" outlineLevel="1">
      <c r="A187" s="171" t="s">
        <v>1999</v>
      </c>
      <c r="C187" s="172" t="s">
        <v>2000</v>
      </c>
      <c r="D187" s="172" t="s">
        <v>2001</v>
      </c>
      <c r="E187" s="171">
        <v>0</v>
      </c>
      <c r="F187" s="171">
        <v>117914.96</v>
      </c>
      <c r="G187" s="216">
        <f t="shared" si="29"/>
        <v>117914.96</v>
      </c>
      <c r="H187" s="217">
        <v>0</v>
      </c>
      <c r="I187" s="217">
        <v>0</v>
      </c>
      <c r="J187" s="217">
        <v>0</v>
      </c>
      <c r="K187" s="217">
        <v>0</v>
      </c>
      <c r="L187" s="217">
        <f t="shared" si="30"/>
        <v>0</v>
      </c>
      <c r="M187" s="217">
        <v>0</v>
      </c>
      <c r="N187" s="217">
        <v>0</v>
      </c>
      <c r="O187" s="217">
        <v>0</v>
      </c>
      <c r="P187" s="217">
        <f t="shared" si="31"/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f t="shared" si="32"/>
        <v>0</v>
      </c>
      <c r="V187" s="216">
        <f t="shared" si="33"/>
        <v>117914.96</v>
      </c>
      <c r="W187" s="171">
        <v>0</v>
      </c>
      <c r="X187" s="171">
        <f t="shared" si="34"/>
        <v>117914.96</v>
      </c>
      <c r="Y187" s="172">
        <v>0</v>
      </c>
      <c r="Z187" s="171">
        <f t="shared" si="35"/>
        <v>117914.96</v>
      </c>
    </row>
    <row r="188" spans="1:26" ht="12.75" hidden="1" outlineLevel="1">
      <c r="A188" s="171" t="s">
        <v>2002</v>
      </c>
      <c r="C188" s="172" t="s">
        <v>2003</v>
      </c>
      <c r="D188" s="172" t="s">
        <v>2004</v>
      </c>
      <c r="E188" s="171">
        <v>0</v>
      </c>
      <c r="F188" s="171">
        <v>3930.17</v>
      </c>
      <c r="G188" s="216">
        <f t="shared" si="29"/>
        <v>3930.17</v>
      </c>
      <c r="H188" s="217">
        <v>0</v>
      </c>
      <c r="I188" s="217">
        <v>0</v>
      </c>
      <c r="J188" s="217">
        <v>0</v>
      </c>
      <c r="K188" s="217">
        <v>0</v>
      </c>
      <c r="L188" s="217">
        <f t="shared" si="30"/>
        <v>0</v>
      </c>
      <c r="M188" s="217">
        <v>0</v>
      </c>
      <c r="N188" s="217">
        <v>0</v>
      </c>
      <c r="O188" s="217">
        <v>0</v>
      </c>
      <c r="P188" s="217">
        <f t="shared" si="31"/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f t="shared" si="32"/>
        <v>0</v>
      </c>
      <c r="V188" s="216">
        <f t="shared" si="33"/>
        <v>3930.17</v>
      </c>
      <c r="W188" s="171">
        <v>0</v>
      </c>
      <c r="X188" s="171">
        <f t="shared" si="34"/>
        <v>3930.17</v>
      </c>
      <c r="Y188" s="172">
        <v>0</v>
      </c>
      <c r="Z188" s="171">
        <f t="shared" si="35"/>
        <v>3930.17</v>
      </c>
    </row>
    <row r="189" spans="1:26" ht="12.75" hidden="1" outlineLevel="1">
      <c r="A189" s="171" t="s">
        <v>2005</v>
      </c>
      <c r="C189" s="172" t="s">
        <v>2006</v>
      </c>
      <c r="D189" s="172" t="s">
        <v>2007</v>
      </c>
      <c r="E189" s="171">
        <v>0</v>
      </c>
      <c r="F189" s="171">
        <v>1298.54</v>
      </c>
      <c r="G189" s="216">
        <f t="shared" si="29"/>
        <v>1298.54</v>
      </c>
      <c r="H189" s="217">
        <v>0</v>
      </c>
      <c r="I189" s="217">
        <v>0</v>
      </c>
      <c r="J189" s="217">
        <v>0</v>
      </c>
      <c r="K189" s="217">
        <v>0</v>
      </c>
      <c r="L189" s="217">
        <f t="shared" si="30"/>
        <v>0</v>
      </c>
      <c r="M189" s="217">
        <v>0</v>
      </c>
      <c r="N189" s="217">
        <v>0</v>
      </c>
      <c r="O189" s="217">
        <v>0</v>
      </c>
      <c r="P189" s="217">
        <f t="shared" si="31"/>
        <v>0</v>
      </c>
      <c r="Q189" s="216">
        <v>0</v>
      </c>
      <c r="R189" s="216">
        <v>0</v>
      </c>
      <c r="S189" s="216">
        <v>0</v>
      </c>
      <c r="T189" s="216">
        <v>0</v>
      </c>
      <c r="U189" s="216">
        <f t="shared" si="32"/>
        <v>0</v>
      </c>
      <c r="V189" s="216">
        <f t="shared" si="33"/>
        <v>1298.54</v>
      </c>
      <c r="W189" s="171">
        <v>0</v>
      </c>
      <c r="X189" s="171">
        <f t="shared" si="34"/>
        <v>1298.54</v>
      </c>
      <c r="Y189" s="172">
        <v>0</v>
      </c>
      <c r="Z189" s="171">
        <f t="shared" si="35"/>
        <v>1298.54</v>
      </c>
    </row>
    <row r="190" spans="1:26" ht="12.75" hidden="1" outlineLevel="1">
      <c r="A190" s="171" t="s">
        <v>2008</v>
      </c>
      <c r="C190" s="172" t="s">
        <v>2009</v>
      </c>
      <c r="D190" s="172" t="s">
        <v>2010</v>
      </c>
      <c r="E190" s="171">
        <v>0</v>
      </c>
      <c r="F190" s="171">
        <v>366417.83</v>
      </c>
      <c r="G190" s="216">
        <f t="shared" si="29"/>
        <v>366417.83</v>
      </c>
      <c r="H190" s="217">
        <v>564580.81</v>
      </c>
      <c r="I190" s="217">
        <v>0</v>
      </c>
      <c r="J190" s="217">
        <v>0</v>
      </c>
      <c r="K190" s="217">
        <v>0</v>
      </c>
      <c r="L190" s="217">
        <f t="shared" si="30"/>
        <v>0</v>
      </c>
      <c r="M190" s="217">
        <v>0</v>
      </c>
      <c r="N190" s="217">
        <v>0</v>
      </c>
      <c r="O190" s="217">
        <v>0</v>
      </c>
      <c r="P190" s="217">
        <f t="shared" si="31"/>
        <v>0</v>
      </c>
      <c r="Q190" s="216">
        <v>0</v>
      </c>
      <c r="R190" s="216">
        <v>0</v>
      </c>
      <c r="S190" s="216">
        <v>0</v>
      </c>
      <c r="T190" s="216">
        <v>0</v>
      </c>
      <c r="U190" s="216">
        <f t="shared" si="32"/>
        <v>0</v>
      </c>
      <c r="V190" s="216">
        <f t="shared" si="33"/>
        <v>930998.6400000001</v>
      </c>
      <c r="W190" s="171">
        <v>0</v>
      </c>
      <c r="X190" s="171">
        <f t="shared" si="34"/>
        <v>930998.6400000001</v>
      </c>
      <c r="Y190" s="172">
        <v>0</v>
      </c>
      <c r="Z190" s="171">
        <f t="shared" si="35"/>
        <v>930998.6400000001</v>
      </c>
    </row>
    <row r="191" spans="1:26" ht="12.75" hidden="1" outlineLevel="1">
      <c r="A191" s="171" t="s">
        <v>2011</v>
      </c>
      <c r="C191" s="172" t="s">
        <v>2012</v>
      </c>
      <c r="D191" s="172" t="s">
        <v>2013</v>
      </c>
      <c r="E191" s="171">
        <v>0</v>
      </c>
      <c r="F191" s="171">
        <v>87137.5</v>
      </c>
      <c r="G191" s="216">
        <f t="shared" si="29"/>
        <v>87137.5</v>
      </c>
      <c r="H191" s="217">
        <v>22677.95</v>
      </c>
      <c r="I191" s="217">
        <v>0</v>
      </c>
      <c r="J191" s="217">
        <v>0</v>
      </c>
      <c r="K191" s="217">
        <v>0</v>
      </c>
      <c r="L191" s="217">
        <f t="shared" si="30"/>
        <v>0</v>
      </c>
      <c r="M191" s="217">
        <v>0</v>
      </c>
      <c r="N191" s="217">
        <v>0</v>
      </c>
      <c r="O191" s="217">
        <v>0</v>
      </c>
      <c r="P191" s="217">
        <f t="shared" si="31"/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f t="shared" si="32"/>
        <v>0</v>
      </c>
      <c r="V191" s="216">
        <f t="shared" si="33"/>
        <v>109815.45</v>
      </c>
      <c r="W191" s="171">
        <v>0</v>
      </c>
      <c r="X191" s="171">
        <f t="shared" si="34"/>
        <v>109815.45</v>
      </c>
      <c r="Y191" s="172">
        <v>0</v>
      </c>
      <c r="Z191" s="171">
        <f t="shared" si="35"/>
        <v>109815.45</v>
      </c>
    </row>
    <row r="192" spans="1:26" ht="12.75" hidden="1" outlineLevel="1">
      <c r="A192" s="171" t="s">
        <v>2014</v>
      </c>
      <c r="C192" s="172" t="s">
        <v>2015</v>
      </c>
      <c r="D192" s="172" t="s">
        <v>2016</v>
      </c>
      <c r="E192" s="171">
        <v>0</v>
      </c>
      <c r="F192" s="171">
        <v>164270.44</v>
      </c>
      <c r="G192" s="216">
        <f t="shared" si="29"/>
        <v>164270.44</v>
      </c>
      <c r="H192" s="217">
        <v>3106.12</v>
      </c>
      <c r="I192" s="217">
        <v>0</v>
      </c>
      <c r="J192" s="217">
        <v>0</v>
      </c>
      <c r="K192" s="217">
        <v>0</v>
      </c>
      <c r="L192" s="217">
        <f t="shared" si="30"/>
        <v>0</v>
      </c>
      <c r="M192" s="217">
        <v>0</v>
      </c>
      <c r="N192" s="217">
        <v>0</v>
      </c>
      <c r="O192" s="217">
        <v>0</v>
      </c>
      <c r="P192" s="217">
        <f t="shared" si="31"/>
        <v>0</v>
      </c>
      <c r="Q192" s="216">
        <v>0</v>
      </c>
      <c r="R192" s="216">
        <v>0</v>
      </c>
      <c r="S192" s="216">
        <v>0</v>
      </c>
      <c r="T192" s="216">
        <v>0</v>
      </c>
      <c r="U192" s="216">
        <f t="shared" si="32"/>
        <v>0</v>
      </c>
      <c r="V192" s="216">
        <f t="shared" si="33"/>
        <v>167376.56</v>
      </c>
      <c r="W192" s="171">
        <v>0</v>
      </c>
      <c r="X192" s="171">
        <f t="shared" si="34"/>
        <v>167376.56</v>
      </c>
      <c r="Y192" s="172">
        <v>34294.15</v>
      </c>
      <c r="Z192" s="171">
        <f t="shared" si="35"/>
        <v>201670.71</v>
      </c>
    </row>
    <row r="193" spans="1:26" ht="12.75" hidden="1" outlineLevel="1">
      <c r="A193" s="171" t="s">
        <v>2017</v>
      </c>
      <c r="C193" s="172" t="s">
        <v>2018</v>
      </c>
      <c r="D193" s="172" t="s">
        <v>2019</v>
      </c>
      <c r="E193" s="171">
        <v>0</v>
      </c>
      <c r="F193" s="171">
        <v>10365.22</v>
      </c>
      <c r="G193" s="216">
        <f t="shared" si="29"/>
        <v>10365.22</v>
      </c>
      <c r="H193" s="217">
        <v>0</v>
      </c>
      <c r="I193" s="217">
        <v>0</v>
      </c>
      <c r="J193" s="217">
        <v>0</v>
      </c>
      <c r="K193" s="217">
        <v>0</v>
      </c>
      <c r="L193" s="217">
        <f t="shared" si="30"/>
        <v>0</v>
      </c>
      <c r="M193" s="217">
        <v>0</v>
      </c>
      <c r="N193" s="217">
        <v>0</v>
      </c>
      <c r="O193" s="217">
        <v>0</v>
      </c>
      <c r="P193" s="217">
        <f t="shared" si="31"/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f t="shared" si="32"/>
        <v>0</v>
      </c>
      <c r="V193" s="216">
        <f t="shared" si="33"/>
        <v>10365.22</v>
      </c>
      <c r="W193" s="171">
        <v>0</v>
      </c>
      <c r="X193" s="171">
        <f t="shared" si="34"/>
        <v>10365.22</v>
      </c>
      <c r="Y193" s="172">
        <v>0</v>
      </c>
      <c r="Z193" s="171">
        <f t="shared" si="35"/>
        <v>10365.22</v>
      </c>
    </row>
    <row r="194" spans="1:26" ht="12.75" hidden="1" outlineLevel="1">
      <c r="A194" s="171" t="s">
        <v>2020</v>
      </c>
      <c r="C194" s="172" t="s">
        <v>2021</v>
      </c>
      <c r="D194" s="172" t="s">
        <v>2022</v>
      </c>
      <c r="E194" s="171">
        <v>0</v>
      </c>
      <c r="F194" s="171">
        <v>450029.29</v>
      </c>
      <c r="G194" s="216">
        <f t="shared" si="29"/>
        <v>450029.29</v>
      </c>
      <c r="H194" s="217">
        <v>827061.7</v>
      </c>
      <c r="I194" s="217">
        <v>0</v>
      </c>
      <c r="J194" s="217">
        <v>0</v>
      </c>
      <c r="K194" s="217">
        <v>0</v>
      </c>
      <c r="L194" s="217">
        <f t="shared" si="30"/>
        <v>0</v>
      </c>
      <c r="M194" s="217">
        <v>0</v>
      </c>
      <c r="N194" s="217">
        <v>26.98</v>
      </c>
      <c r="O194" s="217">
        <v>0</v>
      </c>
      <c r="P194" s="217">
        <f t="shared" si="31"/>
        <v>26.98</v>
      </c>
      <c r="Q194" s="216">
        <v>0</v>
      </c>
      <c r="R194" s="216">
        <v>0</v>
      </c>
      <c r="S194" s="216">
        <v>0</v>
      </c>
      <c r="T194" s="216">
        <v>0</v>
      </c>
      <c r="U194" s="216">
        <f t="shared" si="32"/>
        <v>0</v>
      </c>
      <c r="V194" s="216">
        <f t="shared" si="33"/>
        <v>1277117.97</v>
      </c>
      <c r="W194" s="171">
        <v>0</v>
      </c>
      <c r="X194" s="171">
        <f t="shared" si="34"/>
        <v>1277117.97</v>
      </c>
      <c r="Y194" s="172">
        <v>0</v>
      </c>
      <c r="Z194" s="171">
        <f t="shared" si="35"/>
        <v>1277117.97</v>
      </c>
    </row>
    <row r="195" spans="1:26" ht="12.75" hidden="1" outlineLevel="1">
      <c r="A195" s="171" t="s">
        <v>2023</v>
      </c>
      <c r="C195" s="172" t="s">
        <v>2024</v>
      </c>
      <c r="D195" s="172" t="s">
        <v>2025</v>
      </c>
      <c r="E195" s="171">
        <v>0</v>
      </c>
      <c r="F195" s="171">
        <v>60535.39</v>
      </c>
      <c r="G195" s="216">
        <f t="shared" si="29"/>
        <v>60535.39</v>
      </c>
      <c r="H195" s="217">
        <v>32928.5</v>
      </c>
      <c r="I195" s="217">
        <v>0</v>
      </c>
      <c r="J195" s="217">
        <v>0</v>
      </c>
      <c r="K195" s="217">
        <v>0</v>
      </c>
      <c r="L195" s="217">
        <f t="shared" si="30"/>
        <v>0</v>
      </c>
      <c r="M195" s="217">
        <v>0</v>
      </c>
      <c r="N195" s="217">
        <v>0</v>
      </c>
      <c r="O195" s="217">
        <v>0</v>
      </c>
      <c r="P195" s="217">
        <f t="shared" si="31"/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f t="shared" si="32"/>
        <v>0</v>
      </c>
      <c r="V195" s="216">
        <f t="shared" si="33"/>
        <v>93463.89</v>
      </c>
      <c r="W195" s="171">
        <v>0</v>
      </c>
      <c r="X195" s="171">
        <f t="shared" si="34"/>
        <v>93463.89</v>
      </c>
      <c r="Y195" s="172">
        <v>0</v>
      </c>
      <c r="Z195" s="171">
        <f t="shared" si="35"/>
        <v>93463.89</v>
      </c>
    </row>
    <row r="196" spans="1:26" ht="12.75" hidden="1" outlineLevel="1">
      <c r="A196" s="171" t="s">
        <v>2026</v>
      </c>
      <c r="C196" s="172" t="s">
        <v>2027</v>
      </c>
      <c r="D196" s="172" t="s">
        <v>2028</v>
      </c>
      <c r="E196" s="171">
        <v>0</v>
      </c>
      <c r="F196" s="171">
        <v>11550.25</v>
      </c>
      <c r="G196" s="216">
        <f t="shared" si="29"/>
        <v>11550.25</v>
      </c>
      <c r="H196" s="217">
        <v>12521.61</v>
      </c>
      <c r="I196" s="217">
        <v>0</v>
      </c>
      <c r="J196" s="217">
        <v>0</v>
      </c>
      <c r="K196" s="217">
        <v>0</v>
      </c>
      <c r="L196" s="217">
        <f t="shared" si="30"/>
        <v>0</v>
      </c>
      <c r="M196" s="217">
        <v>0</v>
      </c>
      <c r="N196" s="217">
        <v>0</v>
      </c>
      <c r="O196" s="217">
        <v>0</v>
      </c>
      <c r="P196" s="217">
        <f t="shared" si="31"/>
        <v>0</v>
      </c>
      <c r="Q196" s="216">
        <v>0</v>
      </c>
      <c r="R196" s="216">
        <v>0</v>
      </c>
      <c r="S196" s="216">
        <v>0</v>
      </c>
      <c r="T196" s="216">
        <v>0</v>
      </c>
      <c r="U196" s="216">
        <f t="shared" si="32"/>
        <v>0</v>
      </c>
      <c r="V196" s="216">
        <f t="shared" si="33"/>
        <v>24071.86</v>
      </c>
      <c r="W196" s="171">
        <v>0</v>
      </c>
      <c r="X196" s="171">
        <f t="shared" si="34"/>
        <v>24071.86</v>
      </c>
      <c r="Y196" s="172">
        <v>0</v>
      </c>
      <c r="Z196" s="171">
        <f t="shared" si="35"/>
        <v>24071.86</v>
      </c>
    </row>
    <row r="197" spans="1:26" ht="12.75" hidden="1" outlineLevel="1">
      <c r="A197" s="171" t="s">
        <v>2029</v>
      </c>
      <c r="C197" s="172" t="s">
        <v>2030</v>
      </c>
      <c r="D197" s="172" t="s">
        <v>2031</v>
      </c>
      <c r="E197" s="171">
        <v>0</v>
      </c>
      <c r="F197" s="171">
        <v>65526.35</v>
      </c>
      <c r="G197" s="216">
        <f t="shared" si="29"/>
        <v>65526.35</v>
      </c>
      <c r="H197" s="217">
        <v>1771.64</v>
      </c>
      <c r="I197" s="217">
        <v>0</v>
      </c>
      <c r="J197" s="217">
        <v>0</v>
      </c>
      <c r="K197" s="217">
        <v>0</v>
      </c>
      <c r="L197" s="217">
        <f t="shared" si="30"/>
        <v>0</v>
      </c>
      <c r="M197" s="217">
        <v>0</v>
      </c>
      <c r="N197" s="217">
        <v>0</v>
      </c>
      <c r="O197" s="217">
        <v>0</v>
      </c>
      <c r="P197" s="217">
        <f t="shared" si="31"/>
        <v>0</v>
      </c>
      <c r="Q197" s="216">
        <v>0</v>
      </c>
      <c r="R197" s="216">
        <v>0</v>
      </c>
      <c r="S197" s="216">
        <v>0</v>
      </c>
      <c r="T197" s="216">
        <v>0</v>
      </c>
      <c r="U197" s="216">
        <f t="shared" si="32"/>
        <v>0</v>
      </c>
      <c r="V197" s="216">
        <f t="shared" si="33"/>
        <v>67297.99</v>
      </c>
      <c r="W197" s="171">
        <v>0</v>
      </c>
      <c r="X197" s="171">
        <f t="shared" si="34"/>
        <v>67297.99</v>
      </c>
      <c r="Y197" s="172">
        <v>0</v>
      </c>
      <c r="Z197" s="171">
        <f t="shared" si="35"/>
        <v>67297.99</v>
      </c>
    </row>
    <row r="198" spans="1:26" ht="12.75" hidden="1" outlineLevel="1">
      <c r="A198" s="171" t="s">
        <v>2032</v>
      </c>
      <c r="C198" s="172" t="s">
        <v>2033</v>
      </c>
      <c r="D198" s="172" t="s">
        <v>2034</v>
      </c>
      <c r="E198" s="171">
        <v>0</v>
      </c>
      <c r="F198" s="171">
        <v>93093.05</v>
      </c>
      <c r="G198" s="216">
        <f t="shared" si="29"/>
        <v>93093.05</v>
      </c>
      <c r="H198" s="217">
        <v>56.36</v>
      </c>
      <c r="I198" s="217">
        <v>0</v>
      </c>
      <c r="J198" s="217">
        <v>0</v>
      </c>
      <c r="K198" s="217">
        <v>0</v>
      </c>
      <c r="L198" s="217">
        <f t="shared" si="30"/>
        <v>0</v>
      </c>
      <c r="M198" s="217">
        <v>0</v>
      </c>
      <c r="N198" s="217">
        <v>0</v>
      </c>
      <c r="O198" s="217">
        <v>0</v>
      </c>
      <c r="P198" s="217">
        <f t="shared" si="31"/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f t="shared" si="32"/>
        <v>0</v>
      </c>
      <c r="V198" s="216">
        <f t="shared" si="33"/>
        <v>93149.41</v>
      </c>
      <c r="W198" s="171">
        <v>0</v>
      </c>
      <c r="X198" s="171">
        <f t="shared" si="34"/>
        <v>93149.41</v>
      </c>
      <c r="Y198" s="172">
        <v>0</v>
      </c>
      <c r="Z198" s="171">
        <f t="shared" si="35"/>
        <v>93149.41</v>
      </c>
    </row>
    <row r="199" spans="1:26" ht="12.75" hidden="1" outlineLevel="1">
      <c r="A199" s="171" t="s">
        <v>2035</v>
      </c>
      <c r="C199" s="172" t="s">
        <v>2036</v>
      </c>
      <c r="D199" s="172" t="s">
        <v>2037</v>
      </c>
      <c r="E199" s="171">
        <v>0</v>
      </c>
      <c r="F199" s="171">
        <v>3100.73</v>
      </c>
      <c r="G199" s="216">
        <f t="shared" si="29"/>
        <v>3100.73</v>
      </c>
      <c r="H199" s="217">
        <v>0</v>
      </c>
      <c r="I199" s="217">
        <v>0</v>
      </c>
      <c r="J199" s="217">
        <v>0</v>
      </c>
      <c r="K199" s="217">
        <v>0</v>
      </c>
      <c r="L199" s="217">
        <f t="shared" si="30"/>
        <v>0</v>
      </c>
      <c r="M199" s="217">
        <v>0</v>
      </c>
      <c r="N199" s="217">
        <v>0</v>
      </c>
      <c r="O199" s="217">
        <v>0</v>
      </c>
      <c r="P199" s="217">
        <f t="shared" si="31"/>
        <v>0</v>
      </c>
      <c r="Q199" s="216">
        <v>0</v>
      </c>
      <c r="R199" s="216">
        <v>0</v>
      </c>
      <c r="S199" s="216">
        <v>0</v>
      </c>
      <c r="T199" s="216">
        <v>0</v>
      </c>
      <c r="U199" s="216">
        <f t="shared" si="32"/>
        <v>0</v>
      </c>
      <c r="V199" s="216">
        <f t="shared" si="33"/>
        <v>3100.73</v>
      </c>
      <c r="W199" s="171">
        <v>0</v>
      </c>
      <c r="X199" s="171">
        <f t="shared" si="34"/>
        <v>3100.73</v>
      </c>
      <c r="Y199" s="172">
        <v>0</v>
      </c>
      <c r="Z199" s="171">
        <f t="shared" si="35"/>
        <v>3100.73</v>
      </c>
    </row>
    <row r="200" spans="1:26" ht="12.75" hidden="1" outlineLevel="1">
      <c r="A200" s="171" t="s">
        <v>2038</v>
      </c>
      <c r="C200" s="172" t="s">
        <v>2039</v>
      </c>
      <c r="D200" s="172" t="s">
        <v>2040</v>
      </c>
      <c r="E200" s="171">
        <v>0</v>
      </c>
      <c r="F200" s="171">
        <v>1864.33</v>
      </c>
      <c r="G200" s="216">
        <f t="shared" si="29"/>
        <v>1864.33</v>
      </c>
      <c r="H200" s="217">
        <v>0</v>
      </c>
      <c r="I200" s="217">
        <v>0</v>
      </c>
      <c r="J200" s="217">
        <v>0</v>
      </c>
      <c r="K200" s="217">
        <v>0</v>
      </c>
      <c r="L200" s="217">
        <f t="shared" si="30"/>
        <v>0</v>
      </c>
      <c r="M200" s="217">
        <v>0</v>
      </c>
      <c r="N200" s="217">
        <v>0</v>
      </c>
      <c r="O200" s="217">
        <v>0</v>
      </c>
      <c r="P200" s="217">
        <f t="shared" si="31"/>
        <v>0</v>
      </c>
      <c r="Q200" s="216">
        <v>0</v>
      </c>
      <c r="R200" s="216">
        <v>0</v>
      </c>
      <c r="S200" s="216">
        <v>0</v>
      </c>
      <c r="T200" s="216">
        <v>0</v>
      </c>
      <c r="U200" s="216">
        <f t="shared" si="32"/>
        <v>0</v>
      </c>
      <c r="V200" s="216">
        <f t="shared" si="33"/>
        <v>1864.33</v>
      </c>
      <c r="W200" s="171">
        <v>0</v>
      </c>
      <c r="X200" s="171">
        <f t="shared" si="34"/>
        <v>1864.33</v>
      </c>
      <c r="Y200" s="172">
        <v>0</v>
      </c>
      <c r="Z200" s="171">
        <f t="shared" si="35"/>
        <v>1864.33</v>
      </c>
    </row>
    <row r="201" spans="1:26" ht="12.75" hidden="1" outlineLevel="1">
      <c r="A201" s="171" t="s">
        <v>2041</v>
      </c>
      <c r="C201" s="172" t="s">
        <v>2042</v>
      </c>
      <c r="D201" s="172" t="s">
        <v>2043</v>
      </c>
      <c r="E201" s="171">
        <v>0</v>
      </c>
      <c r="F201" s="171">
        <v>42213.19</v>
      </c>
      <c r="G201" s="216">
        <f t="shared" si="29"/>
        <v>42213.19</v>
      </c>
      <c r="H201" s="217">
        <v>3706.65</v>
      </c>
      <c r="I201" s="217">
        <v>0</v>
      </c>
      <c r="J201" s="217">
        <v>0</v>
      </c>
      <c r="K201" s="217">
        <v>0</v>
      </c>
      <c r="L201" s="217">
        <f t="shared" si="30"/>
        <v>0</v>
      </c>
      <c r="M201" s="217">
        <v>0</v>
      </c>
      <c r="N201" s="217">
        <v>0</v>
      </c>
      <c r="O201" s="217">
        <v>0</v>
      </c>
      <c r="P201" s="217">
        <f t="shared" si="31"/>
        <v>0</v>
      </c>
      <c r="Q201" s="216">
        <v>0</v>
      </c>
      <c r="R201" s="216">
        <v>0</v>
      </c>
      <c r="S201" s="216">
        <v>0</v>
      </c>
      <c r="T201" s="216">
        <v>0</v>
      </c>
      <c r="U201" s="216">
        <f t="shared" si="32"/>
        <v>0</v>
      </c>
      <c r="V201" s="216">
        <f t="shared" si="33"/>
        <v>45919.840000000004</v>
      </c>
      <c r="W201" s="171">
        <v>0</v>
      </c>
      <c r="X201" s="171">
        <f t="shared" si="34"/>
        <v>45919.840000000004</v>
      </c>
      <c r="Y201" s="172">
        <v>1150.64</v>
      </c>
      <c r="Z201" s="171">
        <f t="shared" si="35"/>
        <v>47070.48</v>
      </c>
    </row>
    <row r="202" spans="1:26" ht="12.75" hidden="1" outlineLevel="1">
      <c r="A202" s="171" t="s">
        <v>2044</v>
      </c>
      <c r="C202" s="172" t="s">
        <v>2045</v>
      </c>
      <c r="D202" s="172" t="s">
        <v>2046</v>
      </c>
      <c r="E202" s="171">
        <v>0</v>
      </c>
      <c r="F202" s="171">
        <v>32352.14</v>
      </c>
      <c r="G202" s="216">
        <f t="shared" si="29"/>
        <v>32352.14</v>
      </c>
      <c r="H202" s="217">
        <v>0</v>
      </c>
      <c r="I202" s="217">
        <v>0</v>
      </c>
      <c r="J202" s="217">
        <v>0</v>
      </c>
      <c r="K202" s="217">
        <v>0</v>
      </c>
      <c r="L202" s="217">
        <f t="shared" si="30"/>
        <v>0</v>
      </c>
      <c r="M202" s="217">
        <v>0</v>
      </c>
      <c r="N202" s="217">
        <v>0</v>
      </c>
      <c r="O202" s="217">
        <v>0</v>
      </c>
      <c r="P202" s="217">
        <f t="shared" si="31"/>
        <v>0</v>
      </c>
      <c r="Q202" s="216">
        <v>0</v>
      </c>
      <c r="R202" s="216">
        <v>0</v>
      </c>
      <c r="S202" s="216">
        <v>0</v>
      </c>
      <c r="T202" s="216">
        <v>0</v>
      </c>
      <c r="U202" s="216">
        <f t="shared" si="32"/>
        <v>0</v>
      </c>
      <c r="V202" s="216">
        <f t="shared" si="33"/>
        <v>32352.14</v>
      </c>
      <c r="W202" s="171">
        <v>0</v>
      </c>
      <c r="X202" s="171">
        <f t="shared" si="34"/>
        <v>32352.14</v>
      </c>
      <c r="Y202" s="172">
        <v>0</v>
      </c>
      <c r="Z202" s="171">
        <f t="shared" si="35"/>
        <v>32352.14</v>
      </c>
    </row>
    <row r="203" spans="1:26" ht="12.75" hidden="1" outlineLevel="1">
      <c r="A203" s="171" t="s">
        <v>2047</v>
      </c>
      <c r="C203" s="172" t="s">
        <v>2048</v>
      </c>
      <c r="D203" s="172" t="s">
        <v>2049</v>
      </c>
      <c r="E203" s="171">
        <v>0</v>
      </c>
      <c r="F203" s="171">
        <v>3560.67</v>
      </c>
      <c r="G203" s="216">
        <f t="shared" si="29"/>
        <v>3560.67</v>
      </c>
      <c r="H203" s="217">
        <v>0</v>
      </c>
      <c r="I203" s="217">
        <v>0</v>
      </c>
      <c r="J203" s="217">
        <v>0</v>
      </c>
      <c r="K203" s="217">
        <v>0</v>
      </c>
      <c r="L203" s="217">
        <f t="shared" si="30"/>
        <v>0</v>
      </c>
      <c r="M203" s="217">
        <v>0</v>
      </c>
      <c r="N203" s="217">
        <v>0</v>
      </c>
      <c r="O203" s="217">
        <v>0</v>
      </c>
      <c r="P203" s="217">
        <f t="shared" si="31"/>
        <v>0</v>
      </c>
      <c r="Q203" s="216">
        <v>0</v>
      </c>
      <c r="R203" s="216">
        <v>0</v>
      </c>
      <c r="S203" s="216">
        <v>0</v>
      </c>
      <c r="T203" s="216">
        <v>0</v>
      </c>
      <c r="U203" s="216">
        <f t="shared" si="32"/>
        <v>0</v>
      </c>
      <c r="V203" s="216">
        <f t="shared" si="33"/>
        <v>3560.67</v>
      </c>
      <c r="W203" s="171">
        <v>0</v>
      </c>
      <c r="X203" s="171">
        <f t="shared" si="34"/>
        <v>3560.67</v>
      </c>
      <c r="Y203" s="172">
        <v>0</v>
      </c>
      <c r="Z203" s="171">
        <f t="shared" si="35"/>
        <v>3560.67</v>
      </c>
    </row>
    <row r="204" spans="1:26" ht="12.75" hidden="1" outlineLevel="1">
      <c r="A204" s="171" t="s">
        <v>2050</v>
      </c>
      <c r="C204" s="172" t="s">
        <v>2051</v>
      </c>
      <c r="D204" s="172" t="s">
        <v>2052</v>
      </c>
      <c r="E204" s="171">
        <v>0</v>
      </c>
      <c r="F204" s="171">
        <v>2570.76</v>
      </c>
      <c r="G204" s="216">
        <f t="shared" si="29"/>
        <v>2570.76</v>
      </c>
      <c r="H204" s="217">
        <v>0</v>
      </c>
      <c r="I204" s="217">
        <v>0</v>
      </c>
      <c r="J204" s="217">
        <v>0</v>
      </c>
      <c r="K204" s="217">
        <v>0</v>
      </c>
      <c r="L204" s="217">
        <f t="shared" si="30"/>
        <v>0</v>
      </c>
      <c r="M204" s="217">
        <v>0</v>
      </c>
      <c r="N204" s="217">
        <v>0</v>
      </c>
      <c r="O204" s="217">
        <v>0</v>
      </c>
      <c r="P204" s="217">
        <f t="shared" si="31"/>
        <v>0</v>
      </c>
      <c r="Q204" s="216">
        <v>0</v>
      </c>
      <c r="R204" s="216">
        <v>0</v>
      </c>
      <c r="S204" s="216">
        <v>0</v>
      </c>
      <c r="T204" s="216">
        <v>0</v>
      </c>
      <c r="U204" s="216">
        <f t="shared" si="32"/>
        <v>0</v>
      </c>
      <c r="V204" s="216">
        <f t="shared" si="33"/>
        <v>2570.76</v>
      </c>
      <c r="W204" s="171">
        <v>0</v>
      </c>
      <c r="X204" s="171">
        <f t="shared" si="34"/>
        <v>2570.76</v>
      </c>
      <c r="Y204" s="172">
        <v>0</v>
      </c>
      <c r="Z204" s="171">
        <f t="shared" si="35"/>
        <v>2570.76</v>
      </c>
    </row>
    <row r="205" spans="1:26" ht="12.75" hidden="1" outlineLevel="1">
      <c r="A205" s="171" t="s">
        <v>2053</v>
      </c>
      <c r="C205" s="172" t="s">
        <v>2054</v>
      </c>
      <c r="D205" s="172" t="s">
        <v>2055</v>
      </c>
      <c r="E205" s="171">
        <v>0</v>
      </c>
      <c r="F205" s="171">
        <v>74006.76</v>
      </c>
      <c r="G205" s="216">
        <f t="shared" si="29"/>
        <v>74006.76</v>
      </c>
      <c r="H205" s="217">
        <v>0</v>
      </c>
      <c r="I205" s="217">
        <v>0</v>
      </c>
      <c r="J205" s="217">
        <v>0</v>
      </c>
      <c r="K205" s="217">
        <v>0</v>
      </c>
      <c r="L205" s="217">
        <f t="shared" si="30"/>
        <v>0</v>
      </c>
      <c r="M205" s="217">
        <v>0</v>
      </c>
      <c r="N205" s="217">
        <v>0</v>
      </c>
      <c r="O205" s="217">
        <v>0</v>
      </c>
      <c r="P205" s="217">
        <f t="shared" si="31"/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f t="shared" si="32"/>
        <v>0</v>
      </c>
      <c r="V205" s="216">
        <f t="shared" si="33"/>
        <v>74006.76</v>
      </c>
      <c r="W205" s="171">
        <v>0</v>
      </c>
      <c r="X205" s="171">
        <f t="shared" si="34"/>
        <v>74006.76</v>
      </c>
      <c r="Y205" s="172">
        <v>0</v>
      </c>
      <c r="Z205" s="171">
        <f t="shared" si="35"/>
        <v>74006.76</v>
      </c>
    </row>
    <row r="206" spans="1:26" ht="12.75" hidden="1" outlineLevel="1">
      <c r="A206" s="171" t="s">
        <v>2056</v>
      </c>
      <c r="C206" s="172" t="s">
        <v>2057</v>
      </c>
      <c r="D206" s="172" t="s">
        <v>2058</v>
      </c>
      <c r="E206" s="171">
        <v>0</v>
      </c>
      <c r="F206" s="171">
        <v>112655.31</v>
      </c>
      <c r="G206" s="216">
        <f aca="true" t="shared" si="36" ref="G206:G269">E206+F206</f>
        <v>112655.31</v>
      </c>
      <c r="H206" s="217">
        <v>192670.87</v>
      </c>
      <c r="I206" s="217">
        <v>0</v>
      </c>
      <c r="J206" s="217">
        <v>0</v>
      </c>
      <c r="K206" s="217">
        <v>0</v>
      </c>
      <c r="L206" s="217">
        <f aca="true" t="shared" si="37" ref="L206:L269">J206+I206+K206</f>
        <v>0</v>
      </c>
      <c r="M206" s="217">
        <v>0</v>
      </c>
      <c r="N206" s="217">
        <v>0</v>
      </c>
      <c r="O206" s="217">
        <v>0</v>
      </c>
      <c r="P206" s="217">
        <f aca="true" t="shared" si="38" ref="P206:P269">M206+N206+O206</f>
        <v>0</v>
      </c>
      <c r="Q206" s="216">
        <v>0</v>
      </c>
      <c r="R206" s="216">
        <v>0</v>
      </c>
      <c r="S206" s="216">
        <v>0</v>
      </c>
      <c r="T206" s="216">
        <v>0</v>
      </c>
      <c r="U206" s="216">
        <f aca="true" t="shared" si="39" ref="U206:U269">Q206+R206+S206+T206</f>
        <v>0</v>
      </c>
      <c r="V206" s="216">
        <f aca="true" t="shared" si="40" ref="V206:V269">G206+H206+L206+P206+U206</f>
        <v>305326.18</v>
      </c>
      <c r="W206" s="171">
        <v>0</v>
      </c>
      <c r="X206" s="171">
        <f aca="true" t="shared" si="41" ref="X206:X269">V206+W206</f>
        <v>305326.18</v>
      </c>
      <c r="Y206" s="172">
        <v>0</v>
      </c>
      <c r="Z206" s="171">
        <f aca="true" t="shared" si="42" ref="Z206:Z269">X206+Y206</f>
        <v>305326.18</v>
      </c>
    </row>
    <row r="207" spans="1:26" ht="12.75" hidden="1" outlineLevel="1">
      <c r="A207" s="171" t="s">
        <v>2059</v>
      </c>
      <c r="C207" s="172" t="s">
        <v>2060</v>
      </c>
      <c r="D207" s="172" t="s">
        <v>2061</v>
      </c>
      <c r="E207" s="171">
        <v>0</v>
      </c>
      <c r="F207" s="171">
        <v>20556.35</v>
      </c>
      <c r="G207" s="216">
        <f t="shared" si="36"/>
        <v>20556.35</v>
      </c>
      <c r="H207" s="217">
        <v>0</v>
      </c>
      <c r="I207" s="217">
        <v>0</v>
      </c>
      <c r="J207" s="217">
        <v>0</v>
      </c>
      <c r="K207" s="217">
        <v>0</v>
      </c>
      <c r="L207" s="217">
        <f t="shared" si="37"/>
        <v>0</v>
      </c>
      <c r="M207" s="217">
        <v>0</v>
      </c>
      <c r="N207" s="217">
        <v>0</v>
      </c>
      <c r="O207" s="217">
        <v>0</v>
      </c>
      <c r="P207" s="217">
        <f t="shared" si="38"/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f t="shared" si="39"/>
        <v>0</v>
      </c>
      <c r="V207" s="216">
        <f t="shared" si="40"/>
        <v>20556.35</v>
      </c>
      <c r="W207" s="171">
        <v>0</v>
      </c>
      <c r="X207" s="171">
        <f t="shared" si="41"/>
        <v>20556.35</v>
      </c>
      <c r="Y207" s="172">
        <v>0</v>
      </c>
      <c r="Z207" s="171">
        <f t="shared" si="42"/>
        <v>20556.35</v>
      </c>
    </row>
    <row r="208" spans="1:26" ht="12.75" hidden="1" outlineLevel="1">
      <c r="A208" s="171" t="s">
        <v>2062</v>
      </c>
      <c r="C208" s="172" t="s">
        <v>2063</v>
      </c>
      <c r="D208" s="172" t="s">
        <v>2064</v>
      </c>
      <c r="E208" s="171">
        <v>0</v>
      </c>
      <c r="F208" s="171">
        <v>2213.5</v>
      </c>
      <c r="G208" s="216">
        <f t="shared" si="36"/>
        <v>2213.5</v>
      </c>
      <c r="H208" s="217">
        <v>0</v>
      </c>
      <c r="I208" s="217">
        <v>0</v>
      </c>
      <c r="J208" s="217">
        <v>0</v>
      </c>
      <c r="K208" s="217">
        <v>0</v>
      </c>
      <c r="L208" s="217">
        <f t="shared" si="37"/>
        <v>0</v>
      </c>
      <c r="M208" s="217">
        <v>0</v>
      </c>
      <c r="N208" s="217">
        <v>0</v>
      </c>
      <c r="O208" s="217">
        <v>0</v>
      </c>
      <c r="P208" s="217">
        <f t="shared" si="38"/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f t="shared" si="39"/>
        <v>0</v>
      </c>
      <c r="V208" s="216">
        <f t="shared" si="40"/>
        <v>2213.5</v>
      </c>
      <c r="W208" s="171">
        <v>0</v>
      </c>
      <c r="X208" s="171">
        <f t="shared" si="41"/>
        <v>2213.5</v>
      </c>
      <c r="Y208" s="172">
        <v>0</v>
      </c>
      <c r="Z208" s="171">
        <f t="shared" si="42"/>
        <v>2213.5</v>
      </c>
    </row>
    <row r="209" spans="1:26" ht="12.75" hidden="1" outlineLevel="1">
      <c r="A209" s="171" t="s">
        <v>2065</v>
      </c>
      <c r="C209" s="172" t="s">
        <v>2066</v>
      </c>
      <c r="D209" s="172" t="s">
        <v>2067</v>
      </c>
      <c r="E209" s="171">
        <v>0</v>
      </c>
      <c r="F209" s="171">
        <v>2737.17</v>
      </c>
      <c r="G209" s="216">
        <f t="shared" si="36"/>
        <v>2737.17</v>
      </c>
      <c r="H209" s="217">
        <v>0</v>
      </c>
      <c r="I209" s="217">
        <v>0</v>
      </c>
      <c r="J209" s="217">
        <v>0</v>
      </c>
      <c r="K209" s="217">
        <v>0</v>
      </c>
      <c r="L209" s="217">
        <f t="shared" si="37"/>
        <v>0</v>
      </c>
      <c r="M209" s="217">
        <v>0</v>
      </c>
      <c r="N209" s="217">
        <v>0</v>
      </c>
      <c r="O209" s="217">
        <v>0</v>
      </c>
      <c r="P209" s="217">
        <f t="shared" si="38"/>
        <v>0</v>
      </c>
      <c r="Q209" s="216">
        <v>0</v>
      </c>
      <c r="R209" s="216">
        <v>0</v>
      </c>
      <c r="S209" s="216">
        <v>0</v>
      </c>
      <c r="T209" s="216">
        <v>0</v>
      </c>
      <c r="U209" s="216">
        <f t="shared" si="39"/>
        <v>0</v>
      </c>
      <c r="V209" s="216">
        <f t="shared" si="40"/>
        <v>2737.17</v>
      </c>
      <c r="W209" s="171">
        <v>0</v>
      </c>
      <c r="X209" s="171">
        <f t="shared" si="41"/>
        <v>2737.17</v>
      </c>
      <c r="Y209" s="172">
        <v>0</v>
      </c>
      <c r="Z209" s="171">
        <f t="shared" si="42"/>
        <v>2737.17</v>
      </c>
    </row>
    <row r="210" spans="1:26" ht="12.75" hidden="1" outlineLevel="1">
      <c r="A210" s="171" t="s">
        <v>2068</v>
      </c>
      <c r="C210" s="172" t="s">
        <v>2069</v>
      </c>
      <c r="D210" s="172" t="s">
        <v>2070</v>
      </c>
      <c r="E210" s="171">
        <v>0</v>
      </c>
      <c r="F210" s="171">
        <v>14704.79</v>
      </c>
      <c r="G210" s="216">
        <f t="shared" si="36"/>
        <v>14704.79</v>
      </c>
      <c r="H210" s="217">
        <v>0</v>
      </c>
      <c r="I210" s="217">
        <v>0</v>
      </c>
      <c r="J210" s="217">
        <v>0</v>
      </c>
      <c r="K210" s="217">
        <v>0</v>
      </c>
      <c r="L210" s="217">
        <f t="shared" si="37"/>
        <v>0</v>
      </c>
      <c r="M210" s="217">
        <v>0</v>
      </c>
      <c r="N210" s="217">
        <v>0</v>
      </c>
      <c r="O210" s="217">
        <v>0</v>
      </c>
      <c r="P210" s="217">
        <f t="shared" si="38"/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f t="shared" si="39"/>
        <v>0</v>
      </c>
      <c r="V210" s="216">
        <f t="shared" si="40"/>
        <v>14704.79</v>
      </c>
      <c r="W210" s="171">
        <v>0</v>
      </c>
      <c r="X210" s="171">
        <f t="shared" si="41"/>
        <v>14704.79</v>
      </c>
      <c r="Y210" s="172">
        <v>0</v>
      </c>
      <c r="Z210" s="171">
        <f t="shared" si="42"/>
        <v>14704.79</v>
      </c>
    </row>
    <row r="211" spans="1:26" ht="12.75" hidden="1" outlineLevel="1">
      <c r="A211" s="171" t="s">
        <v>909</v>
      </c>
      <c r="C211" s="172" t="s">
        <v>910</v>
      </c>
      <c r="D211" s="172" t="s">
        <v>911</v>
      </c>
      <c r="E211" s="171">
        <v>0</v>
      </c>
      <c r="F211" s="171">
        <v>862.69</v>
      </c>
      <c r="G211" s="216">
        <f t="shared" si="36"/>
        <v>862.69</v>
      </c>
      <c r="H211" s="217">
        <v>0</v>
      </c>
      <c r="I211" s="217">
        <v>0</v>
      </c>
      <c r="J211" s="217">
        <v>0</v>
      </c>
      <c r="K211" s="217">
        <v>0</v>
      </c>
      <c r="L211" s="217">
        <f t="shared" si="37"/>
        <v>0</v>
      </c>
      <c r="M211" s="217">
        <v>0</v>
      </c>
      <c r="N211" s="217">
        <v>0</v>
      </c>
      <c r="O211" s="217">
        <v>0</v>
      </c>
      <c r="P211" s="217">
        <f t="shared" si="38"/>
        <v>0</v>
      </c>
      <c r="Q211" s="216">
        <v>0</v>
      </c>
      <c r="R211" s="216">
        <v>0</v>
      </c>
      <c r="S211" s="216">
        <v>0</v>
      </c>
      <c r="T211" s="216">
        <v>0</v>
      </c>
      <c r="U211" s="216">
        <f t="shared" si="39"/>
        <v>0</v>
      </c>
      <c r="V211" s="216">
        <f t="shared" si="40"/>
        <v>862.69</v>
      </c>
      <c r="W211" s="171">
        <v>0</v>
      </c>
      <c r="X211" s="171">
        <f t="shared" si="41"/>
        <v>862.69</v>
      </c>
      <c r="Y211" s="172">
        <v>0</v>
      </c>
      <c r="Z211" s="171">
        <f t="shared" si="42"/>
        <v>862.69</v>
      </c>
    </row>
    <row r="212" spans="1:26" ht="12.75" hidden="1" outlineLevel="1">
      <c r="A212" s="171" t="s">
        <v>2071</v>
      </c>
      <c r="C212" s="172" t="s">
        <v>2072</v>
      </c>
      <c r="D212" s="172" t="s">
        <v>2073</v>
      </c>
      <c r="E212" s="171">
        <v>0</v>
      </c>
      <c r="F212" s="171">
        <v>6596.93</v>
      </c>
      <c r="G212" s="216">
        <f t="shared" si="36"/>
        <v>6596.93</v>
      </c>
      <c r="H212" s="217">
        <v>164.8</v>
      </c>
      <c r="I212" s="217">
        <v>0</v>
      </c>
      <c r="J212" s="217">
        <v>0</v>
      </c>
      <c r="K212" s="217">
        <v>0</v>
      </c>
      <c r="L212" s="217">
        <f t="shared" si="37"/>
        <v>0</v>
      </c>
      <c r="M212" s="217">
        <v>0</v>
      </c>
      <c r="N212" s="217">
        <v>0</v>
      </c>
      <c r="O212" s="217">
        <v>0</v>
      </c>
      <c r="P212" s="217">
        <f t="shared" si="38"/>
        <v>0</v>
      </c>
      <c r="Q212" s="216">
        <v>0</v>
      </c>
      <c r="R212" s="216">
        <v>0</v>
      </c>
      <c r="S212" s="216">
        <v>0</v>
      </c>
      <c r="T212" s="216">
        <v>0</v>
      </c>
      <c r="U212" s="216">
        <f t="shared" si="39"/>
        <v>0</v>
      </c>
      <c r="V212" s="216">
        <f t="shared" si="40"/>
        <v>6761.7300000000005</v>
      </c>
      <c r="W212" s="171">
        <v>0</v>
      </c>
      <c r="X212" s="171">
        <f t="shared" si="41"/>
        <v>6761.7300000000005</v>
      </c>
      <c r="Y212" s="172">
        <v>0</v>
      </c>
      <c r="Z212" s="171">
        <f t="shared" si="42"/>
        <v>6761.7300000000005</v>
      </c>
    </row>
    <row r="213" spans="1:26" ht="12.75" hidden="1" outlineLevel="1">
      <c r="A213" s="171" t="s">
        <v>2074</v>
      </c>
      <c r="C213" s="172" t="s">
        <v>2075</v>
      </c>
      <c r="D213" s="172" t="s">
        <v>2076</v>
      </c>
      <c r="E213" s="171">
        <v>0</v>
      </c>
      <c r="F213" s="171">
        <v>491.9</v>
      </c>
      <c r="G213" s="216">
        <f t="shared" si="36"/>
        <v>491.9</v>
      </c>
      <c r="H213" s="217">
        <v>60</v>
      </c>
      <c r="I213" s="217">
        <v>0</v>
      </c>
      <c r="J213" s="217">
        <v>0</v>
      </c>
      <c r="K213" s="217">
        <v>0</v>
      </c>
      <c r="L213" s="217">
        <f t="shared" si="37"/>
        <v>0</v>
      </c>
      <c r="M213" s="217">
        <v>0</v>
      </c>
      <c r="N213" s="217">
        <v>0</v>
      </c>
      <c r="O213" s="217">
        <v>0</v>
      </c>
      <c r="P213" s="217">
        <f t="shared" si="38"/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f t="shared" si="39"/>
        <v>0</v>
      </c>
      <c r="V213" s="216">
        <f t="shared" si="40"/>
        <v>551.9</v>
      </c>
      <c r="W213" s="171">
        <v>0</v>
      </c>
      <c r="X213" s="171">
        <f t="shared" si="41"/>
        <v>551.9</v>
      </c>
      <c r="Y213" s="172">
        <v>0</v>
      </c>
      <c r="Z213" s="171">
        <f t="shared" si="42"/>
        <v>551.9</v>
      </c>
    </row>
    <row r="214" spans="1:26" ht="12.75" hidden="1" outlineLevel="1">
      <c r="A214" s="171" t="s">
        <v>2077</v>
      </c>
      <c r="C214" s="172" t="s">
        <v>2078</v>
      </c>
      <c r="D214" s="172" t="s">
        <v>2079</v>
      </c>
      <c r="E214" s="171">
        <v>0</v>
      </c>
      <c r="F214" s="171">
        <v>0</v>
      </c>
      <c r="G214" s="216">
        <f t="shared" si="36"/>
        <v>0</v>
      </c>
      <c r="H214" s="217">
        <v>495.46</v>
      </c>
      <c r="I214" s="217">
        <v>0</v>
      </c>
      <c r="J214" s="217">
        <v>0</v>
      </c>
      <c r="K214" s="217">
        <v>0</v>
      </c>
      <c r="L214" s="217">
        <f t="shared" si="37"/>
        <v>0</v>
      </c>
      <c r="M214" s="217">
        <v>0</v>
      </c>
      <c r="N214" s="217">
        <v>0</v>
      </c>
      <c r="O214" s="217">
        <v>0</v>
      </c>
      <c r="P214" s="217">
        <f t="shared" si="38"/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f t="shared" si="39"/>
        <v>0</v>
      </c>
      <c r="V214" s="216">
        <f t="shared" si="40"/>
        <v>495.46</v>
      </c>
      <c r="W214" s="171">
        <v>0</v>
      </c>
      <c r="X214" s="171">
        <f t="shared" si="41"/>
        <v>495.46</v>
      </c>
      <c r="Y214" s="172">
        <v>0</v>
      </c>
      <c r="Z214" s="171">
        <f t="shared" si="42"/>
        <v>495.46</v>
      </c>
    </row>
    <row r="215" spans="1:26" ht="12.75" hidden="1" outlineLevel="1">
      <c r="A215" s="171" t="s">
        <v>2080</v>
      </c>
      <c r="C215" s="172" t="s">
        <v>2081</v>
      </c>
      <c r="D215" s="172" t="s">
        <v>2082</v>
      </c>
      <c r="E215" s="171">
        <v>0</v>
      </c>
      <c r="F215" s="171">
        <v>27515.54</v>
      </c>
      <c r="G215" s="216">
        <f t="shared" si="36"/>
        <v>27515.54</v>
      </c>
      <c r="H215" s="217">
        <v>0</v>
      </c>
      <c r="I215" s="217">
        <v>0</v>
      </c>
      <c r="J215" s="217">
        <v>0</v>
      </c>
      <c r="K215" s="217">
        <v>0</v>
      </c>
      <c r="L215" s="217">
        <f t="shared" si="37"/>
        <v>0</v>
      </c>
      <c r="M215" s="217">
        <v>0</v>
      </c>
      <c r="N215" s="217">
        <v>0</v>
      </c>
      <c r="O215" s="217">
        <v>0</v>
      </c>
      <c r="P215" s="217">
        <f t="shared" si="38"/>
        <v>0</v>
      </c>
      <c r="Q215" s="216">
        <v>0</v>
      </c>
      <c r="R215" s="216">
        <v>0</v>
      </c>
      <c r="S215" s="216">
        <v>0</v>
      </c>
      <c r="T215" s="216">
        <v>0</v>
      </c>
      <c r="U215" s="216">
        <f t="shared" si="39"/>
        <v>0</v>
      </c>
      <c r="V215" s="216">
        <f t="shared" si="40"/>
        <v>27515.54</v>
      </c>
      <c r="W215" s="171">
        <v>0</v>
      </c>
      <c r="X215" s="171">
        <f t="shared" si="41"/>
        <v>27515.54</v>
      </c>
      <c r="Y215" s="172">
        <v>0</v>
      </c>
      <c r="Z215" s="171">
        <f t="shared" si="42"/>
        <v>27515.54</v>
      </c>
    </row>
    <row r="216" spans="1:26" ht="12.75" hidden="1" outlineLevel="1">
      <c r="A216" s="171" t="s">
        <v>2083</v>
      </c>
      <c r="C216" s="172" t="s">
        <v>2084</v>
      </c>
      <c r="D216" s="172" t="s">
        <v>2085</v>
      </c>
      <c r="E216" s="171">
        <v>0</v>
      </c>
      <c r="F216" s="171">
        <v>2375.74</v>
      </c>
      <c r="G216" s="216">
        <f t="shared" si="36"/>
        <v>2375.74</v>
      </c>
      <c r="H216" s="217">
        <v>1268.89</v>
      </c>
      <c r="I216" s="217">
        <v>0</v>
      </c>
      <c r="J216" s="217">
        <v>0</v>
      </c>
      <c r="K216" s="217">
        <v>0</v>
      </c>
      <c r="L216" s="217">
        <f t="shared" si="37"/>
        <v>0</v>
      </c>
      <c r="M216" s="217">
        <v>0</v>
      </c>
      <c r="N216" s="217">
        <v>0</v>
      </c>
      <c r="O216" s="217">
        <v>0</v>
      </c>
      <c r="P216" s="217">
        <f t="shared" si="38"/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f t="shared" si="39"/>
        <v>0</v>
      </c>
      <c r="V216" s="216">
        <f t="shared" si="40"/>
        <v>3644.63</v>
      </c>
      <c r="W216" s="171">
        <v>0</v>
      </c>
      <c r="X216" s="171">
        <f t="shared" si="41"/>
        <v>3644.63</v>
      </c>
      <c r="Y216" s="172">
        <v>0</v>
      </c>
      <c r="Z216" s="171">
        <f t="shared" si="42"/>
        <v>3644.63</v>
      </c>
    </row>
    <row r="217" spans="1:26" ht="12.75" hidden="1" outlineLevel="1">
      <c r="A217" s="171" t="s">
        <v>2086</v>
      </c>
      <c r="C217" s="172" t="s">
        <v>2087</v>
      </c>
      <c r="D217" s="172" t="s">
        <v>2088</v>
      </c>
      <c r="E217" s="171">
        <v>0</v>
      </c>
      <c r="F217" s="171">
        <v>1159.4</v>
      </c>
      <c r="G217" s="216">
        <f t="shared" si="36"/>
        <v>1159.4</v>
      </c>
      <c r="H217" s="217">
        <v>31.43</v>
      </c>
      <c r="I217" s="217">
        <v>0</v>
      </c>
      <c r="J217" s="217">
        <v>0</v>
      </c>
      <c r="K217" s="217">
        <v>0</v>
      </c>
      <c r="L217" s="217">
        <f t="shared" si="37"/>
        <v>0</v>
      </c>
      <c r="M217" s="217">
        <v>0</v>
      </c>
      <c r="N217" s="217">
        <v>0</v>
      </c>
      <c r="O217" s="217">
        <v>0</v>
      </c>
      <c r="P217" s="217">
        <f t="shared" si="38"/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f t="shared" si="39"/>
        <v>0</v>
      </c>
      <c r="V217" s="216">
        <f t="shared" si="40"/>
        <v>1190.8300000000002</v>
      </c>
      <c r="W217" s="171">
        <v>0</v>
      </c>
      <c r="X217" s="171">
        <f t="shared" si="41"/>
        <v>1190.8300000000002</v>
      </c>
      <c r="Y217" s="172">
        <v>0</v>
      </c>
      <c r="Z217" s="171">
        <f t="shared" si="42"/>
        <v>1190.8300000000002</v>
      </c>
    </row>
    <row r="218" spans="1:26" ht="12.75" hidden="1" outlineLevel="1">
      <c r="A218" s="171" t="s">
        <v>912</v>
      </c>
      <c r="C218" s="172" t="s">
        <v>913</v>
      </c>
      <c r="D218" s="172" t="s">
        <v>914</v>
      </c>
      <c r="E218" s="171">
        <v>0</v>
      </c>
      <c r="F218" s="171">
        <v>75.76</v>
      </c>
      <c r="G218" s="216">
        <f t="shared" si="36"/>
        <v>75.76</v>
      </c>
      <c r="H218" s="217">
        <v>0</v>
      </c>
      <c r="I218" s="217">
        <v>0</v>
      </c>
      <c r="J218" s="217">
        <v>0</v>
      </c>
      <c r="K218" s="217">
        <v>0</v>
      </c>
      <c r="L218" s="217">
        <f t="shared" si="37"/>
        <v>0</v>
      </c>
      <c r="M218" s="217">
        <v>0</v>
      </c>
      <c r="N218" s="217">
        <v>0</v>
      </c>
      <c r="O218" s="217">
        <v>0</v>
      </c>
      <c r="P218" s="217">
        <f t="shared" si="38"/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f t="shared" si="39"/>
        <v>0</v>
      </c>
      <c r="V218" s="216">
        <f t="shared" si="40"/>
        <v>75.76</v>
      </c>
      <c r="W218" s="171">
        <v>0</v>
      </c>
      <c r="X218" s="171">
        <f t="shared" si="41"/>
        <v>75.76</v>
      </c>
      <c r="Y218" s="172">
        <v>0</v>
      </c>
      <c r="Z218" s="171">
        <f t="shared" si="42"/>
        <v>75.76</v>
      </c>
    </row>
    <row r="219" spans="1:26" ht="12.75" hidden="1" outlineLevel="1">
      <c r="A219" s="171" t="s">
        <v>2089</v>
      </c>
      <c r="C219" s="172" t="s">
        <v>2090</v>
      </c>
      <c r="D219" s="172" t="s">
        <v>2091</v>
      </c>
      <c r="E219" s="171">
        <v>0</v>
      </c>
      <c r="F219" s="171">
        <v>764.32</v>
      </c>
      <c r="G219" s="216">
        <f t="shared" si="36"/>
        <v>764.32</v>
      </c>
      <c r="H219" s="217">
        <v>0</v>
      </c>
      <c r="I219" s="217">
        <v>0</v>
      </c>
      <c r="J219" s="217">
        <v>0</v>
      </c>
      <c r="K219" s="217">
        <v>0</v>
      </c>
      <c r="L219" s="217">
        <f t="shared" si="37"/>
        <v>0</v>
      </c>
      <c r="M219" s="217">
        <v>0</v>
      </c>
      <c r="N219" s="217">
        <v>0</v>
      </c>
      <c r="O219" s="217">
        <v>0</v>
      </c>
      <c r="P219" s="217">
        <f t="shared" si="38"/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f t="shared" si="39"/>
        <v>0</v>
      </c>
      <c r="V219" s="216">
        <f t="shared" si="40"/>
        <v>764.32</v>
      </c>
      <c r="W219" s="171">
        <v>0</v>
      </c>
      <c r="X219" s="171">
        <f t="shared" si="41"/>
        <v>764.32</v>
      </c>
      <c r="Y219" s="172">
        <v>0</v>
      </c>
      <c r="Z219" s="171">
        <f t="shared" si="42"/>
        <v>764.32</v>
      </c>
    </row>
    <row r="220" spans="1:26" ht="12.75" hidden="1" outlineLevel="1">
      <c r="A220" s="171" t="s">
        <v>2092</v>
      </c>
      <c r="C220" s="172" t="s">
        <v>2093</v>
      </c>
      <c r="D220" s="172" t="s">
        <v>2094</v>
      </c>
      <c r="E220" s="171">
        <v>0</v>
      </c>
      <c r="F220" s="171">
        <v>24609.36</v>
      </c>
      <c r="G220" s="216">
        <f t="shared" si="36"/>
        <v>24609.36</v>
      </c>
      <c r="H220" s="217">
        <v>0</v>
      </c>
      <c r="I220" s="217">
        <v>0</v>
      </c>
      <c r="J220" s="217">
        <v>0</v>
      </c>
      <c r="K220" s="217">
        <v>0</v>
      </c>
      <c r="L220" s="217">
        <f t="shared" si="37"/>
        <v>0</v>
      </c>
      <c r="M220" s="217">
        <v>0</v>
      </c>
      <c r="N220" s="217">
        <v>0</v>
      </c>
      <c r="O220" s="217">
        <v>0</v>
      </c>
      <c r="P220" s="217">
        <f t="shared" si="38"/>
        <v>0</v>
      </c>
      <c r="Q220" s="216">
        <v>0</v>
      </c>
      <c r="R220" s="216">
        <v>0</v>
      </c>
      <c r="S220" s="216">
        <v>0</v>
      </c>
      <c r="T220" s="216">
        <v>0</v>
      </c>
      <c r="U220" s="216">
        <f t="shared" si="39"/>
        <v>0</v>
      </c>
      <c r="V220" s="216">
        <f t="shared" si="40"/>
        <v>24609.36</v>
      </c>
      <c r="W220" s="171">
        <v>0</v>
      </c>
      <c r="X220" s="171">
        <f t="shared" si="41"/>
        <v>24609.36</v>
      </c>
      <c r="Y220" s="172">
        <v>0</v>
      </c>
      <c r="Z220" s="171">
        <f t="shared" si="42"/>
        <v>24609.36</v>
      </c>
    </row>
    <row r="221" spans="1:26" ht="12.75" hidden="1" outlineLevel="1">
      <c r="A221" s="171" t="s">
        <v>2095</v>
      </c>
      <c r="C221" s="172" t="s">
        <v>2096</v>
      </c>
      <c r="D221" s="172" t="s">
        <v>2097</v>
      </c>
      <c r="E221" s="171">
        <v>0</v>
      </c>
      <c r="F221" s="171">
        <v>480.73</v>
      </c>
      <c r="G221" s="216">
        <f t="shared" si="36"/>
        <v>480.73</v>
      </c>
      <c r="H221" s="217">
        <v>0</v>
      </c>
      <c r="I221" s="217">
        <v>0</v>
      </c>
      <c r="J221" s="217">
        <v>0</v>
      </c>
      <c r="K221" s="217">
        <v>0</v>
      </c>
      <c r="L221" s="217">
        <f t="shared" si="37"/>
        <v>0</v>
      </c>
      <c r="M221" s="217">
        <v>0</v>
      </c>
      <c r="N221" s="217">
        <v>0</v>
      </c>
      <c r="O221" s="217">
        <v>0</v>
      </c>
      <c r="P221" s="217">
        <f t="shared" si="38"/>
        <v>0</v>
      </c>
      <c r="Q221" s="216">
        <v>0</v>
      </c>
      <c r="R221" s="216">
        <v>0</v>
      </c>
      <c r="S221" s="216">
        <v>0</v>
      </c>
      <c r="T221" s="216">
        <v>0</v>
      </c>
      <c r="U221" s="216">
        <f t="shared" si="39"/>
        <v>0</v>
      </c>
      <c r="V221" s="216">
        <f t="shared" si="40"/>
        <v>480.73</v>
      </c>
      <c r="W221" s="171">
        <v>0</v>
      </c>
      <c r="X221" s="171">
        <f t="shared" si="41"/>
        <v>480.73</v>
      </c>
      <c r="Y221" s="172">
        <v>0</v>
      </c>
      <c r="Z221" s="171">
        <f t="shared" si="42"/>
        <v>480.73</v>
      </c>
    </row>
    <row r="222" spans="1:26" ht="12.75" hidden="1" outlineLevel="1">
      <c r="A222" s="171" t="s">
        <v>2098</v>
      </c>
      <c r="C222" s="172" t="s">
        <v>2099</v>
      </c>
      <c r="D222" s="172" t="s">
        <v>2100</v>
      </c>
      <c r="E222" s="171">
        <v>0</v>
      </c>
      <c r="F222" s="171">
        <v>8623.89</v>
      </c>
      <c r="G222" s="216">
        <f t="shared" si="36"/>
        <v>8623.89</v>
      </c>
      <c r="H222" s="217">
        <v>2119.2</v>
      </c>
      <c r="I222" s="217">
        <v>0</v>
      </c>
      <c r="J222" s="217">
        <v>0</v>
      </c>
      <c r="K222" s="217">
        <v>0</v>
      </c>
      <c r="L222" s="217">
        <f t="shared" si="37"/>
        <v>0</v>
      </c>
      <c r="M222" s="217">
        <v>0</v>
      </c>
      <c r="N222" s="217">
        <v>0</v>
      </c>
      <c r="O222" s="217">
        <v>0</v>
      </c>
      <c r="P222" s="217">
        <f t="shared" si="38"/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f t="shared" si="39"/>
        <v>0</v>
      </c>
      <c r="V222" s="216">
        <f t="shared" si="40"/>
        <v>10743.09</v>
      </c>
      <c r="W222" s="171">
        <v>0</v>
      </c>
      <c r="X222" s="171">
        <f t="shared" si="41"/>
        <v>10743.09</v>
      </c>
      <c r="Y222" s="172">
        <v>1520.16</v>
      </c>
      <c r="Z222" s="171">
        <f t="shared" si="42"/>
        <v>12263.25</v>
      </c>
    </row>
    <row r="223" spans="1:26" ht="12.75" hidden="1" outlineLevel="1">
      <c r="A223" s="171" t="s">
        <v>2101</v>
      </c>
      <c r="C223" s="172" t="s">
        <v>2102</v>
      </c>
      <c r="D223" s="172" t="s">
        <v>2103</v>
      </c>
      <c r="E223" s="171">
        <v>0</v>
      </c>
      <c r="F223" s="171">
        <v>370420.23</v>
      </c>
      <c r="G223" s="216">
        <f t="shared" si="36"/>
        <v>370420.23</v>
      </c>
      <c r="H223" s="217">
        <v>75521.05</v>
      </c>
      <c r="I223" s="217">
        <v>0</v>
      </c>
      <c r="J223" s="217">
        <v>0</v>
      </c>
      <c r="K223" s="217">
        <v>0</v>
      </c>
      <c r="L223" s="217">
        <f t="shared" si="37"/>
        <v>0</v>
      </c>
      <c r="M223" s="217">
        <v>0</v>
      </c>
      <c r="N223" s="217">
        <v>0</v>
      </c>
      <c r="O223" s="217">
        <v>0</v>
      </c>
      <c r="P223" s="217">
        <f t="shared" si="38"/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f t="shared" si="39"/>
        <v>0</v>
      </c>
      <c r="V223" s="216">
        <f t="shared" si="40"/>
        <v>445941.27999999997</v>
      </c>
      <c r="W223" s="171">
        <v>0</v>
      </c>
      <c r="X223" s="171">
        <f t="shared" si="41"/>
        <v>445941.27999999997</v>
      </c>
      <c r="Y223" s="172">
        <v>35</v>
      </c>
      <c r="Z223" s="171">
        <f t="shared" si="42"/>
        <v>445976.27999999997</v>
      </c>
    </row>
    <row r="224" spans="1:26" ht="12.75" hidden="1" outlineLevel="1">
      <c r="A224" s="171" t="s">
        <v>2104</v>
      </c>
      <c r="C224" s="172" t="s">
        <v>2105</v>
      </c>
      <c r="D224" s="172" t="s">
        <v>2106</v>
      </c>
      <c r="E224" s="171">
        <v>0</v>
      </c>
      <c r="F224" s="171">
        <v>61981.08</v>
      </c>
      <c r="G224" s="216">
        <f t="shared" si="36"/>
        <v>61981.08</v>
      </c>
      <c r="H224" s="217">
        <v>8756.14</v>
      </c>
      <c r="I224" s="217">
        <v>0</v>
      </c>
      <c r="J224" s="217">
        <v>0</v>
      </c>
      <c r="K224" s="217">
        <v>0</v>
      </c>
      <c r="L224" s="217">
        <f t="shared" si="37"/>
        <v>0</v>
      </c>
      <c r="M224" s="217">
        <v>0</v>
      </c>
      <c r="N224" s="217">
        <v>0</v>
      </c>
      <c r="O224" s="217">
        <v>0</v>
      </c>
      <c r="P224" s="217">
        <f t="shared" si="38"/>
        <v>0</v>
      </c>
      <c r="Q224" s="216">
        <v>0</v>
      </c>
      <c r="R224" s="216">
        <v>0</v>
      </c>
      <c r="S224" s="216">
        <v>0</v>
      </c>
      <c r="T224" s="216">
        <v>0</v>
      </c>
      <c r="U224" s="216">
        <f t="shared" si="39"/>
        <v>0</v>
      </c>
      <c r="V224" s="216">
        <f t="shared" si="40"/>
        <v>70737.22</v>
      </c>
      <c r="W224" s="171">
        <v>0</v>
      </c>
      <c r="X224" s="171">
        <f t="shared" si="41"/>
        <v>70737.22</v>
      </c>
      <c r="Y224" s="172">
        <v>250</v>
      </c>
      <c r="Z224" s="171">
        <f t="shared" si="42"/>
        <v>70987.22</v>
      </c>
    </row>
    <row r="225" spans="1:26" ht="12.75" hidden="1" outlineLevel="1">
      <c r="A225" s="171" t="s">
        <v>2107</v>
      </c>
      <c r="C225" s="172" t="s">
        <v>2108</v>
      </c>
      <c r="D225" s="172" t="s">
        <v>2109</v>
      </c>
      <c r="E225" s="171">
        <v>0</v>
      </c>
      <c r="F225" s="171">
        <v>8744</v>
      </c>
      <c r="G225" s="216">
        <f t="shared" si="36"/>
        <v>8744</v>
      </c>
      <c r="H225" s="217">
        <v>1400</v>
      </c>
      <c r="I225" s="217">
        <v>0</v>
      </c>
      <c r="J225" s="217">
        <v>0</v>
      </c>
      <c r="K225" s="217">
        <v>0</v>
      </c>
      <c r="L225" s="217">
        <f t="shared" si="37"/>
        <v>0</v>
      </c>
      <c r="M225" s="217">
        <v>0</v>
      </c>
      <c r="N225" s="217">
        <v>0</v>
      </c>
      <c r="O225" s="217">
        <v>0</v>
      </c>
      <c r="P225" s="217">
        <f t="shared" si="38"/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f t="shared" si="39"/>
        <v>0</v>
      </c>
      <c r="V225" s="216">
        <f t="shared" si="40"/>
        <v>10144</v>
      </c>
      <c r="W225" s="171">
        <v>0</v>
      </c>
      <c r="X225" s="171">
        <f t="shared" si="41"/>
        <v>10144</v>
      </c>
      <c r="Y225" s="172">
        <v>0</v>
      </c>
      <c r="Z225" s="171">
        <f t="shared" si="42"/>
        <v>10144</v>
      </c>
    </row>
    <row r="226" spans="1:26" ht="12.75" hidden="1" outlineLevel="1">
      <c r="A226" s="171" t="s">
        <v>2110</v>
      </c>
      <c r="C226" s="172" t="s">
        <v>2111</v>
      </c>
      <c r="D226" s="172" t="s">
        <v>2112</v>
      </c>
      <c r="E226" s="171">
        <v>0</v>
      </c>
      <c r="F226" s="171">
        <v>211097.48</v>
      </c>
      <c r="G226" s="216">
        <f t="shared" si="36"/>
        <v>211097.48</v>
      </c>
      <c r="H226" s="217">
        <v>115</v>
      </c>
      <c r="I226" s="217">
        <v>0</v>
      </c>
      <c r="J226" s="217">
        <v>0</v>
      </c>
      <c r="K226" s="217">
        <v>0</v>
      </c>
      <c r="L226" s="217">
        <f t="shared" si="37"/>
        <v>0</v>
      </c>
      <c r="M226" s="217">
        <v>0</v>
      </c>
      <c r="N226" s="217">
        <v>0</v>
      </c>
      <c r="O226" s="217">
        <v>0</v>
      </c>
      <c r="P226" s="217">
        <f t="shared" si="38"/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f t="shared" si="39"/>
        <v>0</v>
      </c>
      <c r="V226" s="216">
        <f t="shared" si="40"/>
        <v>211212.48</v>
      </c>
      <c r="W226" s="171">
        <v>0</v>
      </c>
      <c r="X226" s="171">
        <f t="shared" si="41"/>
        <v>211212.48</v>
      </c>
      <c r="Y226" s="172">
        <v>0</v>
      </c>
      <c r="Z226" s="171">
        <f t="shared" si="42"/>
        <v>211212.48</v>
      </c>
    </row>
    <row r="227" spans="1:26" ht="12.75" hidden="1" outlineLevel="1">
      <c r="A227" s="171" t="s">
        <v>2113</v>
      </c>
      <c r="C227" s="172" t="s">
        <v>2114</v>
      </c>
      <c r="D227" s="172" t="s">
        <v>2115</v>
      </c>
      <c r="E227" s="171">
        <v>0</v>
      </c>
      <c r="F227" s="171">
        <v>587861.32</v>
      </c>
      <c r="G227" s="216">
        <f t="shared" si="36"/>
        <v>587861.32</v>
      </c>
      <c r="H227" s="217">
        <v>168608.17</v>
      </c>
      <c r="I227" s="217">
        <v>0</v>
      </c>
      <c r="J227" s="217">
        <v>0</v>
      </c>
      <c r="K227" s="217">
        <v>0</v>
      </c>
      <c r="L227" s="217">
        <f t="shared" si="37"/>
        <v>0</v>
      </c>
      <c r="M227" s="217">
        <v>0</v>
      </c>
      <c r="N227" s="217">
        <v>0</v>
      </c>
      <c r="O227" s="217">
        <v>0</v>
      </c>
      <c r="P227" s="217">
        <f t="shared" si="38"/>
        <v>0</v>
      </c>
      <c r="Q227" s="216">
        <v>0</v>
      </c>
      <c r="R227" s="216">
        <v>0</v>
      </c>
      <c r="S227" s="216">
        <v>0</v>
      </c>
      <c r="T227" s="216">
        <v>0</v>
      </c>
      <c r="U227" s="216">
        <f t="shared" si="39"/>
        <v>0</v>
      </c>
      <c r="V227" s="216">
        <f t="shared" si="40"/>
        <v>756469.49</v>
      </c>
      <c r="W227" s="171">
        <v>0</v>
      </c>
      <c r="X227" s="171">
        <f t="shared" si="41"/>
        <v>756469.49</v>
      </c>
      <c r="Y227" s="172">
        <v>95</v>
      </c>
      <c r="Z227" s="171">
        <f t="shared" si="42"/>
        <v>756564.49</v>
      </c>
    </row>
    <row r="228" spans="1:26" ht="12.75" hidden="1" outlineLevel="1">
      <c r="A228" s="171" t="s">
        <v>2116</v>
      </c>
      <c r="C228" s="172" t="s">
        <v>2117</v>
      </c>
      <c r="D228" s="172" t="s">
        <v>2118</v>
      </c>
      <c r="E228" s="171">
        <v>0</v>
      </c>
      <c r="F228" s="171">
        <v>95236.9</v>
      </c>
      <c r="G228" s="216">
        <f t="shared" si="36"/>
        <v>95236.9</v>
      </c>
      <c r="H228" s="217">
        <v>68470.6</v>
      </c>
      <c r="I228" s="217">
        <v>0</v>
      </c>
      <c r="J228" s="217">
        <v>0</v>
      </c>
      <c r="K228" s="217">
        <v>0</v>
      </c>
      <c r="L228" s="217">
        <f t="shared" si="37"/>
        <v>0</v>
      </c>
      <c r="M228" s="217">
        <v>0</v>
      </c>
      <c r="N228" s="217">
        <v>0</v>
      </c>
      <c r="O228" s="217">
        <v>0</v>
      </c>
      <c r="P228" s="217">
        <f t="shared" si="38"/>
        <v>0</v>
      </c>
      <c r="Q228" s="216">
        <v>0</v>
      </c>
      <c r="R228" s="216">
        <v>0</v>
      </c>
      <c r="S228" s="216">
        <v>0</v>
      </c>
      <c r="T228" s="216">
        <v>0</v>
      </c>
      <c r="U228" s="216">
        <f t="shared" si="39"/>
        <v>0</v>
      </c>
      <c r="V228" s="216">
        <f t="shared" si="40"/>
        <v>163707.5</v>
      </c>
      <c r="W228" s="171">
        <v>0</v>
      </c>
      <c r="X228" s="171">
        <f t="shared" si="41"/>
        <v>163707.5</v>
      </c>
      <c r="Y228" s="172">
        <v>0</v>
      </c>
      <c r="Z228" s="171">
        <f t="shared" si="42"/>
        <v>163707.5</v>
      </c>
    </row>
    <row r="229" spans="1:26" ht="12.75" hidden="1" outlineLevel="1">
      <c r="A229" s="171" t="s">
        <v>2119</v>
      </c>
      <c r="C229" s="172" t="s">
        <v>2120</v>
      </c>
      <c r="D229" s="172" t="s">
        <v>2121</v>
      </c>
      <c r="E229" s="171">
        <v>0</v>
      </c>
      <c r="F229" s="171">
        <v>527198.67</v>
      </c>
      <c r="G229" s="216">
        <f t="shared" si="36"/>
        <v>527198.67</v>
      </c>
      <c r="H229" s="217">
        <v>22916.72</v>
      </c>
      <c r="I229" s="217">
        <v>0</v>
      </c>
      <c r="J229" s="217">
        <v>0</v>
      </c>
      <c r="K229" s="217">
        <v>0</v>
      </c>
      <c r="L229" s="217">
        <f t="shared" si="37"/>
        <v>0</v>
      </c>
      <c r="M229" s="217">
        <v>0</v>
      </c>
      <c r="N229" s="217">
        <v>0</v>
      </c>
      <c r="O229" s="217">
        <v>0</v>
      </c>
      <c r="P229" s="217">
        <f t="shared" si="38"/>
        <v>0</v>
      </c>
      <c r="Q229" s="216">
        <v>50.7</v>
      </c>
      <c r="R229" s="216">
        <v>0</v>
      </c>
      <c r="S229" s="216">
        <v>0</v>
      </c>
      <c r="T229" s="216">
        <v>0</v>
      </c>
      <c r="U229" s="216">
        <f t="shared" si="39"/>
        <v>50.7</v>
      </c>
      <c r="V229" s="216">
        <f t="shared" si="40"/>
        <v>550166.09</v>
      </c>
      <c r="W229" s="171">
        <v>0</v>
      </c>
      <c r="X229" s="171">
        <f t="shared" si="41"/>
        <v>550166.09</v>
      </c>
      <c r="Y229" s="172">
        <v>0</v>
      </c>
      <c r="Z229" s="171">
        <f t="shared" si="42"/>
        <v>550166.09</v>
      </c>
    </row>
    <row r="230" spans="1:26" ht="12.75" hidden="1" outlineLevel="1">
      <c r="A230" s="171" t="s">
        <v>2122</v>
      </c>
      <c r="C230" s="172" t="s">
        <v>2123</v>
      </c>
      <c r="D230" s="172" t="s">
        <v>2124</v>
      </c>
      <c r="E230" s="171">
        <v>0</v>
      </c>
      <c r="F230" s="171">
        <v>556727.5</v>
      </c>
      <c r="G230" s="216">
        <f t="shared" si="36"/>
        <v>556727.5</v>
      </c>
      <c r="H230" s="217">
        <v>16561.86</v>
      </c>
      <c r="I230" s="217">
        <v>0</v>
      </c>
      <c r="J230" s="217">
        <v>0</v>
      </c>
      <c r="K230" s="217">
        <v>0</v>
      </c>
      <c r="L230" s="217">
        <f t="shared" si="37"/>
        <v>0</v>
      </c>
      <c r="M230" s="217">
        <v>0</v>
      </c>
      <c r="N230" s="217">
        <v>0</v>
      </c>
      <c r="O230" s="217">
        <v>0</v>
      </c>
      <c r="P230" s="217">
        <f t="shared" si="38"/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f t="shared" si="39"/>
        <v>0</v>
      </c>
      <c r="V230" s="216">
        <f t="shared" si="40"/>
        <v>573289.36</v>
      </c>
      <c r="W230" s="171">
        <v>0</v>
      </c>
      <c r="X230" s="171">
        <f t="shared" si="41"/>
        <v>573289.36</v>
      </c>
      <c r="Y230" s="172">
        <v>0</v>
      </c>
      <c r="Z230" s="171">
        <f t="shared" si="42"/>
        <v>573289.36</v>
      </c>
    </row>
    <row r="231" spans="1:26" ht="12.75" hidden="1" outlineLevel="1">
      <c r="A231" s="171" t="s">
        <v>2125</v>
      </c>
      <c r="C231" s="172" t="s">
        <v>2126</v>
      </c>
      <c r="D231" s="172" t="s">
        <v>2127</v>
      </c>
      <c r="E231" s="171">
        <v>0</v>
      </c>
      <c r="F231" s="171">
        <v>17388.53</v>
      </c>
      <c r="G231" s="216">
        <f t="shared" si="36"/>
        <v>17388.53</v>
      </c>
      <c r="H231" s="217">
        <v>479.34</v>
      </c>
      <c r="I231" s="217">
        <v>0</v>
      </c>
      <c r="J231" s="217">
        <v>0</v>
      </c>
      <c r="K231" s="217">
        <v>0</v>
      </c>
      <c r="L231" s="217">
        <f t="shared" si="37"/>
        <v>0</v>
      </c>
      <c r="M231" s="217">
        <v>0</v>
      </c>
      <c r="N231" s="217">
        <v>0</v>
      </c>
      <c r="O231" s="217">
        <v>0</v>
      </c>
      <c r="P231" s="217">
        <f t="shared" si="38"/>
        <v>0</v>
      </c>
      <c r="Q231" s="216">
        <v>0</v>
      </c>
      <c r="R231" s="216">
        <v>0</v>
      </c>
      <c r="S231" s="216">
        <v>0</v>
      </c>
      <c r="T231" s="216">
        <v>0</v>
      </c>
      <c r="U231" s="216">
        <f t="shared" si="39"/>
        <v>0</v>
      </c>
      <c r="V231" s="216">
        <f t="shared" si="40"/>
        <v>17867.87</v>
      </c>
      <c r="W231" s="171">
        <v>0</v>
      </c>
      <c r="X231" s="171">
        <f t="shared" si="41"/>
        <v>17867.87</v>
      </c>
      <c r="Y231" s="172">
        <v>0</v>
      </c>
      <c r="Z231" s="171">
        <f t="shared" si="42"/>
        <v>17867.87</v>
      </c>
    </row>
    <row r="232" spans="1:26" ht="12.75" hidden="1" outlineLevel="1">
      <c r="A232" s="171" t="s">
        <v>915</v>
      </c>
      <c r="C232" s="172" t="s">
        <v>916</v>
      </c>
      <c r="D232" s="172" t="s">
        <v>917</v>
      </c>
      <c r="E232" s="171">
        <v>0</v>
      </c>
      <c r="F232" s="171">
        <v>168.35</v>
      </c>
      <c r="G232" s="216">
        <f t="shared" si="36"/>
        <v>168.35</v>
      </c>
      <c r="H232" s="217">
        <v>0</v>
      </c>
      <c r="I232" s="217">
        <v>0</v>
      </c>
      <c r="J232" s="217">
        <v>0</v>
      </c>
      <c r="K232" s="217">
        <v>0</v>
      </c>
      <c r="L232" s="217">
        <f t="shared" si="37"/>
        <v>0</v>
      </c>
      <c r="M232" s="217">
        <v>0</v>
      </c>
      <c r="N232" s="217">
        <v>0</v>
      </c>
      <c r="O232" s="217">
        <v>0</v>
      </c>
      <c r="P232" s="217">
        <f t="shared" si="38"/>
        <v>0</v>
      </c>
      <c r="Q232" s="216">
        <v>0</v>
      </c>
      <c r="R232" s="216">
        <v>0</v>
      </c>
      <c r="S232" s="216">
        <v>0</v>
      </c>
      <c r="T232" s="216">
        <v>0</v>
      </c>
      <c r="U232" s="216">
        <f t="shared" si="39"/>
        <v>0</v>
      </c>
      <c r="V232" s="216">
        <f t="shared" si="40"/>
        <v>168.35</v>
      </c>
      <c r="W232" s="171">
        <v>0</v>
      </c>
      <c r="X232" s="171">
        <f t="shared" si="41"/>
        <v>168.35</v>
      </c>
      <c r="Y232" s="172">
        <v>0</v>
      </c>
      <c r="Z232" s="171">
        <f t="shared" si="42"/>
        <v>168.35</v>
      </c>
    </row>
    <row r="233" spans="1:26" ht="12.75" hidden="1" outlineLevel="1">
      <c r="A233" s="171" t="s">
        <v>2128</v>
      </c>
      <c r="C233" s="172" t="s">
        <v>2129</v>
      </c>
      <c r="D233" s="172" t="s">
        <v>2130</v>
      </c>
      <c r="E233" s="171">
        <v>0</v>
      </c>
      <c r="F233" s="171">
        <v>28085.67</v>
      </c>
      <c r="G233" s="216">
        <f t="shared" si="36"/>
        <v>28085.67</v>
      </c>
      <c r="H233" s="217">
        <v>0</v>
      </c>
      <c r="I233" s="217">
        <v>0</v>
      </c>
      <c r="J233" s="217">
        <v>0</v>
      </c>
      <c r="K233" s="217">
        <v>0</v>
      </c>
      <c r="L233" s="217">
        <f t="shared" si="37"/>
        <v>0</v>
      </c>
      <c r="M233" s="217">
        <v>0</v>
      </c>
      <c r="N233" s="217">
        <v>0</v>
      </c>
      <c r="O233" s="217">
        <v>0</v>
      </c>
      <c r="P233" s="217">
        <f t="shared" si="38"/>
        <v>0</v>
      </c>
      <c r="Q233" s="216">
        <v>0</v>
      </c>
      <c r="R233" s="216">
        <v>0</v>
      </c>
      <c r="S233" s="216">
        <v>0</v>
      </c>
      <c r="T233" s="216">
        <v>0</v>
      </c>
      <c r="U233" s="216">
        <f t="shared" si="39"/>
        <v>0</v>
      </c>
      <c r="V233" s="216">
        <f t="shared" si="40"/>
        <v>28085.67</v>
      </c>
      <c r="W233" s="171">
        <v>0</v>
      </c>
      <c r="X233" s="171">
        <f t="shared" si="41"/>
        <v>28085.67</v>
      </c>
      <c r="Y233" s="172">
        <v>0</v>
      </c>
      <c r="Z233" s="171">
        <f t="shared" si="42"/>
        <v>28085.67</v>
      </c>
    </row>
    <row r="234" spans="1:26" ht="12.75" hidden="1" outlineLevel="1">
      <c r="A234" s="171" t="s">
        <v>2131</v>
      </c>
      <c r="C234" s="172" t="s">
        <v>2132</v>
      </c>
      <c r="D234" s="172" t="s">
        <v>2133</v>
      </c>
      <c r="E234" s="171">
        <v>0</v>
      </c>
      <c r="F234" s="171">
        <v>229050.98</v>
      </c>
      <c r="G234" s="216">
        <f t="shared" si="36"/>
        <v>229050.98</v>
      </c>
      <c r="H234" s="217">
        <v>7231.77</v>
      </c>
      <c r="I234" s="217">
        <v>0</v>
      </c>
      <c r="J234" s="217">
        <v>0</v>
      </c>
      <c r="K234" s="217">
        <v>0</v>
      </c>
      <c r="L234" s="217">
        <f t="shared" si="37"/>
        <v>0</v>
      </c>
      <c r="M234" s="217">
        <v>0</v>
      </c>
      <c r="N234" s="217">
        <v>0</v>
      </c>
      <c r="O234" s="217">
        <v>0</v>
      </c>
      <c r="P234" s="217">
        <f t="shared" si="38"/>
        <v>0</v>
      </c>
      <c r="Q234" s="216">
        <v>0</v>
      </c>
      <c r="R234" s="216">
        <v>0</v>
      </c>
      <c r="S234" s="216">
        <v>0</v>
      </c>
      <c r="T234" s="216">
        <v>0</v>
      </c>
      <c r="U234" s="216">
        <f t="shared" si="39"/>
        <v>0</v>
      </c>
      <c r="V234" s="216">
        <f t="shared" si="40"/>
        <v>236282.75</v>
      </c>
      <c r="W234" s="171">
        <v>0</v>
      </c>
      <c r="X234" s="171">
        <f t="shared" si="41"/>
        <v>236282.75</v>
      </c>
      <c r="Y234" s="172">
        <v>0</v>
      </c>
      <c r="Z234" s="171">
        <f t="shared" si="42"/>
        <v>236282.75</v>
      </c>
    </row>
    <row r="235" spans="1:26" ht="12.75" hidden="1" outlineLevel="1">
      <c r="A235" s="171" t="s">
        <v>2134</v>
      </c>
      <c r="C235" s="172" t="s">
        <v>2135</v>
      </c>
      <c r="D235" s="172" t="s">
        <v>2136</v>
      </c>
      <c r="E235" s="171">
        <v>0</v>
      </c>
      <c r="F235" s="171">
        <v>576023.33</v>
      </c>
      <c r="G235" s="216">
        <f t="shared" si="36"/>
        <v>576023.33</v>
      </c>
      <c r="H235" s="217">
        <v>93006.11</v>
      </c>
      <c r="I235" s="217">
        <v>0</v>
      </c>
      <c r="J235" s="217">
        <v>0</v>
      </c>
      <c r="K235" s="217">
        <v>0</v>
      </c>
      <c r="L235" s="217">
        <f t="shared" si="37"/>
        <v>0</v>
      </c>
      <c r="M235" s="217">
        <v>0</v>
      </c>
      <c r="N235" s="217">
        <v>0</v>
      </c>
      <c r="O235" s="217">
        <v>0</v>
      </c>
      <c r="P235" s="217">
        <f t="shared" si="38"/>
        <v>0</v>
      </c>
      <c r="Q235" s="216">
        <v>1126581.41</v>
      </c>
      <c r="R235" s="216">
        <v>1200</v>
      </c>
      <c r="S235" s="216">
        <v>0</v>
      </c>
      <c r="T235" s="216">
        <v>0</v>
      </c>
      <c r="U235" s="216">
        <f t="shared" si="39"/>
        <v>1127781.41</v>
      </c>
      <c r="V235" s="216">
        <f t="shared" si="40"/>
        <v>1796810.8499999999</v>
      </c>
      <c r="W235" s="171">
        <v>0</v>
      </c>
      <c r="X235" s="171">
        <f t="shared" si="41"/>
        <v>1796810.8499999999</v>
      </c>
      <c r="Y235" s="172">
        <v>0</v>
      </c>
      <c r="Z235" s="171">
        <f t="shared" si="42"/>
        <v>1796810.8499999999</v>
      </c>
    </row>
    <row r="236" spans="1:26" ht="12.75" hidden="1" outlineLevel="1">
      <c r="A236" s="171" t="s">
        <v>2137</v>
      </c>
      <c r="C236" s="172" t="s">
        <v>2138</v>
      </c>
      <c r="D236" s="172" t="s">
        <v>2139</v>
      </c>
      <c r="E236" s="171">
        <v>0</v>
      </c>
      <c r="F236" s="171">
        <v>1716258.28</v>
      </c>
      <c r="G236" s="216">
        <f t="shared" si="36"/>
        <v>1716258.28</v>
      </c>
      <c r="H236" s="217">
        <v>121281.36</v>
      </c>
      <c r="I236" s="217">
        <v>0</v>
      </c>
      <c r="J236" s="217">
        <v>0</v>
      </c>
      <c r="K236" s="217">
        <v>0</v>
      </c>
      <c r="L236" s="217">
        <f t="shared" si="37"/>
        <v>0</v>
      </c>
      <c r="M236" s="217">
        <v>0</v>
      </c>
      <c r="N236" s="217">
        <v>0</v>
      </c>
      <c r="O236" s="217">
        <v>0</v>
      </c>
      <c r="P236" s="217">
        <f t="shared" si="38"/>
        <v>0</v>
      </c>
      <c r="Q236" s="216">
        <v>15540.97</v>
      </c>
      <c r="R236" s="216">
        <v>0</v>
      </c>
      <c r="S236" s="216">
        <v>0</v>
      </c>
      <c r="T236" s="216">
        <v>0</v>
      </c>
      <c r="U236" s="216">
        <f t="shared" si="39"/>
        <v>15540.97</v>
      </c>
      <c r="V236" s="216">
        <f t="shared" si="40"/>
        <v>1853080.61</v>
      </c>
      <c r="W236" s="171">
        <v>0</v>
      </c>
      <c r="X236" s="171">
        <f t="shared" si="41"/>
        <v>1853080.61</v>
      </c>
      <c r="Y236" s="172">
        <v>0</v>
      </c>
      <c r="Z236" s="171">
        <f t="shared" si="42"/>
        <v>1853080.61</v>
      </c>
    </row>
    <row r="237" spans="1:26" ht="12.75" hidden="1" outlineLevel="1">
      <c r="A237" s="171" t="s">
        <v>2140</v>
      </c>
      <c r="C237" s="172" t="s">
        <v>2141</v>
      </c>
      <c r="D237" s="172" t="s">
        <v>2142</v>
      </c>
      <c r="E237" s="171">
        <v>0</v>
      </c>
      <c r="F237" s="171">
        <v>33764.02</v>
      </c>
      <c r="G237" s="216">
        <f t="shared" si="36"/>
        <v>33764.02</v>
      </c>
      <c r="H237" s="217">
        <v>2512.87</v>
      </c>
      <c r="I237" s="217">
        <v>0</v>
      </c>
      <c r="J237" s="217">
        <v>0</v>
      </c>
      <c r="K237" s="217">
        <v>0</v>
      </c>
      <c r="L237" s="217">
        <f t="shared" si="37"/>
        <v>0</v>
      </c>
      <c r="M237" s="217">
        <v>0</v>
      </c>
      <c r="N237" s="217">
        <v>0</v>
      </c>
      <c r="O237" s="217">
        <v>199</v>
      </c>
      <c r="P237" s="217">
        <f t="shared" si="38"/>
        <v>199</v>
      </c>
      <c r="Q237" s="216">
        <v>0</v>
      </c>
      <c r="R237" s="216">
        <v>0</v>
      </c>
      <c r="S237" s="216">
        <v>0</v>
      </c>
      <c r="T237" s="216">
        <v>0</v>
      </c>
      <c r="U237" s="216">
        <f t="shared" si="39"/>
        <v>0</v>
      </c>
      <c r="V237" s="216">
        <f t="shared" si="40"/>
        <v>36475.89</v>
      </c>
      <c r="W237" s="171">
        <v>0</v>
      </c>
      <c r="X237" s="171">
        <f t="shared" si="41"/>
        <v>36475.89</v>
      </c>
      <c r="Y237" s="172">
        <v>0</v>
      </c>
      <c r="Z237" s="171">
        <f t="shared" si="42"/>
        <v>36475.89</v>
      </c>
    </row>
    <row r="238" spans="1:26" ht="12.75" hidden="1" outlineLevel="1">
      <c r="A238" s="171" t="s">
        <v>2143</v>
      </c>
      <c r="C238" s="172" t="s">
        <v>2144</v>
      </c>
      <c r="D238" s="172" t="s">
        <v>2145</v>
      </c>
      <c r="E238" s="171">
        <v>0</v>
      </c>
      <c r="F238" s="171">
        <v>504227.18</v>
      </c>
      <c r="G238" s="216">
        <f t="shared" si="36"/>
        <v>504227.18</v>
      </c>
      <c r="H238" s="217">
        <v>9642.86</v>
      </c>
      <c r="I238" s="217">
        <v>0</v>
      </c>
      <c r="J238" s="217">
        <v>0</v>
      </c>
      <c r="K238" s="217">
        <v>0</v>
      </c>
      <c r="L238" s="217">
        <f t="shared" si="37"/>
        <v>0</v>
      </c>
      <c r="M238" s="217">
        <v>0</v>
      </c>
      <c r="N238" s="217">
        <v>0</v>
      </c>
      <c r="O238" s="217">
        <v>0</v>
      </c>
      <c r="P238" s="217">
        <f t="shared" si="38"/>
        <v>0</v>
      </c>
      <c r="Q238" s="216">
        <v>0</v>
      </c>
      <c r="R238" s="216">
        <v>0</v>
      </c>
      <c r="S238" s="216">
        <v>0</v>
      </c>
      <c r="T238" s="216">
        <v>0</v>
      </c>
      <c r="U238" s="216">
        <f t="shared" si="39"/>
        <v>0</v>
      </c>
      <c r="V238" s="216">
        <f t="shared" si="40"/>
        <v>513870.04</v>
      </c>
      <c r="W238" s="171">
        <v>0</v>
      </c>
      <c r="X238" s="171">
        <f t="shared" si="41"/>
        <v>513870.04</v>
      </c>
      <c r="Y238" s="172">
        <v>0</v>
      </c>
      <c r="Z238" s="171">
        <f t="shared" si="42"/>
        <v>513870.04</v>
      </c>
    </row>
    <row r="239" spans="1:26" ht="12.75" hidden="1" outlineLevel="1">
      <c r="A239" s="171" t="s">
        <v>2146</v>
      </c>
      <c r="C239" s="172" t="s">
        <v>2147</v>
      </c>
      <c r="D239" s="172" t="s">
        <v>2148</v>
      </c>
      <c r="E239" s="171">
        <v>0</v>
      </c>
      <c r="F239" s="171">
        <v>41863.46</v>
      </c>
      <c r="G239" s="216">
        <f t="shared" si="36"/>
        <v>41863.46</v>
      </c>
      <c r="H239" s="217">
        <v>2902.91</v>
      </c>
      <c r="I239" s="217">
        <v>0</v>
      </c>
      <c r="J239" s="217">
        <v>0</v>
      </c>
      <c r="K239" s="217">
        <v>0</v>
      </c>
      <c r="L239" s="217">
        <f t="shared" si="37"/>
        <v>0</v>
      </c>
      <c r="M239" s="217">
        <v>0</v>
      </c>
      <c r="N239" s="217">
        <v>0</v>
      </c>
      <c r="O239" s="217">
        <v>0</v>
      </c>
      <c r="P239" s="217">
        <f t="shared" si="38"/>
        <v>0</v>
      </c>
      <c r="Q239" s="216">
        <v>0</v>
      </c>
      <c r="R239" s="216">
        <v>0</v>
      </c>
      <c r="S239" s="216">
        <v>0</v>
      </c>
      <c r="T239" s="216">
        <v>0</v>
      </c>
      <c r="U239" s="216">
        <f t="shared" si="39"/>
        <v>0</v>
      </c>
      <c r="V239" s="216">
        <f t="shared" si="40"/>
        <v>44766.369999999995</v>
      </c>
      <c r="W239" s="171">
        <v>0</v>
      </c>
      <c r="X239" s="171">
        <f t="shared" si="41"/>
        <v>44766.369999999995</v>
      </c>
      <c r="Y239" s="172">
        <v>0</v>
      </c>
      <c r="Z239" s="171">
        <f t="shared" si="42"/>
        <v>44766.369999999995</v>
      </c>
    </row>
    <row r="240" spans="1:26" ht="12.75" hidden="1" outlineLevel="1">
      <c r="A240" s="171" t="s">
        <v>2149</v>
      </c>
      <c r="C240" s="172" t="s">
        <v>2150</v>
      </c>
      <c r="D240" s="172" t="s">
        <v>2151</v>
      </c>
      <c r="E240" s="171">
        <v>0</v>
      </c>
      <c r="F240" s="171">
        <v>53716.54</v>
      </c>
      <c r="G240" s="216">
        <f t="shared" si="36"/>
        <v>53716.54</v>
      </c>
      <c r="H240" s="217">
        <v>19777.22</v>
      </c>
      <c r="I240" s="217">
        <v>0</v>
      </c>
      <c r="J240" s="217">
        <v>0</v>
      </c>
      <c r="K240" s="217">
        <v>0</v>
      </c>
      <c r="L240" s="217">
        <f t="shared" si="37"/>
        <v>0</v>
      </c>
      <c r="M240" s="217">
        <v>0</v>
      </c>
      <c r="N240" s="217">
        <v>0</v>
      </c>
      <c r="O240" s="217">
        <v>0</v>
      </c>
      <c r="P240" s="217">
        <f t="shared" si="38"/>
        <v>0</v>
      </c>
      <c r="Q240" s="216">
        <v>0</v>
      </c>
      <c r="R240" s="216">
        <v>0</v>
      </c>
      <c r="S240" s="216">
        <v>0</v>
      </c>
      <c r="T240" s="216">
        <v>0</v>
      </c>
      <c r="U240" s="216">
        <f t="shared" si="39"/>
        <v>0</v>
      </c>
      <c r="V240" s="216">
        <f t="shared" si="40"/>
        <v>73493.76000000001</v>
      </c>
      <c r="W240" s="171">
        <v>0</v>
      </c>
      <c r="X240" s="171">
        <f t="shared" si="41"/>
        <v>73493.76000000001</v>
      </c>
      <c r="Y240" s="172">
        <v>0</v>
      </c>
      <c r="Z240" s="171">
        <f t="shared" si="42"/>
        <v>73493.76000000001</v>
      </c>
    </row>
    <row r="241" spans="1:26" ht="12.75" hidden="1" outlineLevel="1">
      <c r="A241" s="171" t="s">
        <v>2152</v>
      </c>
      <c r="C241" s="172" t="s">
        <v>2153</v>
      </c>
      <c r="D241" s="172" t="s">
        <v>2154</v>
      </c>
      <c r="E241" s="171">
        <v>0</v>
      </c>
      <c r="F241" s="171">
        <v>181062.68</v>
      </c>
      <c r="G241" s="216">
        <f t="shared" si="36"/>
        <v>181062.68</v>
      </c>
      <c r="H241" s="217">
        <v>43929.19</v>
      </c>
      <c r="I241" s="217">
        <v>0</v>
      </c>
      <c r="J241" s="217">
        <v>0</v>
      </c>
      <c r="K241" s="217">
        <v>0</v>
      </c>
      <c r="L241" s="217">
        <f t="shared" si="37"/>
        <v>0</v>
      </c>
      <c r="M241" s="217">
        <v>0</v>
      </c>
      <c r="N241" s="217">
        <v>0</v>
      </c>
      <c r="O241" s="217">
        <v>0</v>
      </c>
      <c r="P241" s="217">
        <f t="shared" si="38"/>
        <v>0</v>
      </c>
      <c r="Q241" s="216">
        <v>44640</v>
      </c>
      <c r="R241" s="216">
        <v>0</v>
      </c>
      <c r="S241" s="216">
        <v>0</v>
      </c>
      <c r="T241" s="216">
        <v>0</v>
      </c>
      <c r="U241" s="216">
        <f t="shared" si="39"/>
        <v>44640</v>
      </c>
      <c r="V241" s="216">
        <f t="shared" si="40"/>
        <v>269631.87</v>
      </c>
      <c r="W241" s="171">
        <v>0</v>
      </c>
      <c r="X241" s="171">
        <f t="shared" si="41"/>
        <v>269631.87</v>
      </c>
      <c r="Y241" s="172">
        <v>0</v>
      </c>
      <c r="Z241" s="171">
        <f t="shared" si="42"/>
        <v>269631.87</v>
      </c>
    </row>
    <row r="242" spans="1:26" ht="12.75" hidden="1" outlineLevel="1">
      <c r="A242" s="171" t="s">
        <v>918</v>
      </c>
      <c r="C242" s="172" t="s">
        <v>919</v>
      </c>
      <c r="D242" s="172" t="s">
        <v>920</v>
      </c>
      <c r="E242" s="171">
        <v>0</v>
      </c>
      <c r="F242" s="171">
        <v>1050</v>
      </c>
      <c r="G242" s="216">
        <f t="shared" si="36"/>
        <v>1050</v>
      </c>
      <c r="H242" s="217">
        <v>0</v>
      </c>
      <c r="I242" s="217">
        <v>0</v>
      </c>
      <c r="J242" s="217">
        <v>0</v>
      </c>
      <c r="K242" s="217">
        <v>0</v>
      </c>
      <c r="L242" s="217">
        <f t="shared" si="37"/>
        <v>0</v>
      </c>
      <c r="M242" s="217">
        <v>0</v>
      </c>
      <c r="N242" s="217">
        <v>0</v>
      </c>
      <c r="O242" s="217">
        <v>0</v>
      </c>
      <c r="P242" s="217">
        <f t="shared" si="38"/>
        <v>0</v>
      </c>
      <c r="Q242" s="216">
        <v>0</v>
      </c>
      <c r="R242" s="216">
        <v>0</v>
      </c>
      <c r="S242" s="216">
        <v>0</v>
      </c>
      <c r="T242" s="216">
        <v>0</v>
      </c>
      <c r="U242" s="216">
        <f t="shared" si="39"/>
        <v>0</v>
      </c>
      <c r="V242" s="216">
        <f t="shared" si="40"/>
        <v>1050</v>
      </c>
      <c r="W242" s="171">
        <v>0</v>
      </c>
      <c r="X242" s="171">
        <f t="shared" si="41"/>
        <v>1050</v>
      </c>
      <c r="Y242" s="172">
        <v>0</v>
      </c>
      <c r="Z242" s="171">
        <f t="shared" si="42"/>
        <v>1050</v>
      </c>
    </row>
    <row r="243" spans="1:26" ht="12.75" hidden="1" outlineLevel="1">
      <c r="A243" s="171" t="s">
        <v>921</v>
      </c>
      <c r="C243" s="172" t="s">
        <v>922</v>
      </c>
      <c r="D243" s="172" t="s">
        <v>923</v>
      </c>
      <c r="E243" s="171">
        <v>0</v>
      </c>
      <c r="F243" s="171">
        <v>521.74</v>
      </c>
      <c r="G243" s="216">
        <f t="shared" si="36"/>
        <v>521.74</v>
      </c>
      <c r="H243" s="217">
        <v>0</v>
      </c>
      <c r="I243" s="217">
        <v>0</v>
      </c>
      <c r="J243" s="217">
        <v>0</v>
      </c>
      <c r="K243" s="217">
        <v>0</v>
      </c>
      <c r="L243" s="217">
        <f t="shared" si="37"/>
        <v>0</v>
      </c>
      <c r="M243" s="217">
        <v>0</v>
      </c>
      <c r="N243" s="217">
        <v>0</v>
      </c>
      <c r="O243" s="217">
        <v>0</v>
      </c>
      <c r="P243" s="217">
        <f t="shared" si="38"/>
        <v>0</v>
      </c>
      <c r="Q243" s="216">
        <v>0</v>
      </c>
      <c r="R243" s="216">
        <v>0</v>
      </c>
      <c r="S243" s="216">
        <v>0</v>
      </c>
      <c r="T243" s="216">
        <v>0</v>
      </c>
      <c r="U243" s="216">
        <f t="shared" si="39"/>
        <v>0</v>
      </c>
      <c r="V243" s="216">
        <f t="shared" si="40"/>
        <v>521.74</v>
      </c>
      <c r="W243" s="171">
        <v>0</v>
      </c>
      <c r="X243" s="171">
        <f t="shared" si="41"/>
        <v>521.74</v>
      </c>
      <c r="Y243" s="172">
        <v>0</v>
      </c>
      <c r="Z243" s="171">
        <f t="shared" si="42"/>
        <v>521.74</v>
      </c>
    </row>
    <row r="244" spans="1:26" ht="12.75" hidden="1" outlineLevel="1">
      <c r="A244" s="171" t="s">
        <v>924</v>
      </c>
      <c r="C244" s="172" t="s">
        <v>925</v>
      </c>
      <c r="D244" s="172" t="s">
        <v>926</v>
      </c>
      <c r="E244" s="171">
        <v>0</v>
      </c>
      <c r="F244" s="171">
        <v>0</v>
      </c>
      <c r="G244" s="216">
        <f t="shared" si="36"/>
        <v>0</v>
      </c>
      <c r="H244" s="217">
        <v>100</v>
      </c>
      <c r="I244" s="217">
        <v>0</v>
      </c>
      <c r="J244" s="217">
        <v>0</v>
      </c>
      <c r="K244" s="217">
        <v>0</v>
      </c>
      <c r="L244" s="217">
        <f t="shared" si="37"/>
        <v>0</v>
      </c>
      <c r="M244" s="217">
        <v>0</v>
      </c>
      <c r="N244" s="217">
        <v>0</v>
      </c>
      <c r="O244" s="217">
        <v>0</v>
      </c>
      <c r="P244" s="217">
        <f t="shared" si="38"/>
        <v>0</v>
      </c>
      <c r="Q244" s="216">
        <v>0</v>
      </c>
      <c r="R244" s="216">
        <v>0</v>
      </c>
      <c r="S244" s="216">
        <v>0</v>
      </c>
      <c r="T244" s="216">
        <v>0</v>
      </c>
      <c r="U244" s="216">
        <f t="shared" si="39"/>
        <v>0</v>
      </c>
      <c r="V244" s="216">
        <f t="shared" si="40"/>
        <v>100</v>
      </c>
      <c r="W244" s="171">
        <v>0</v>
      </c>
      <c r="X244" s="171">
        <f t="shared" si="41"/>
        <v>100</v>
      </c>
      <c r="Y244" s="172">
        <v>0</v>
      </c>
      <c r="Z244" s="171">
        <f t="shared" si="42"/>
        <v>100</v>
      </c>
    </row>
    <row r="245" spans="1:26" ht="12.75" hidden="1" outlineLevel="1">
      <c r="A245" s="171" t="s">
        <v>2155</v>
      </c>
      <c r="C245" s="172" t="s">
        <v>2156</v>
      </c>
      <c r="D245" s="172" t="s">
        <v>2157</v>
      </c>
      <c r="E245" s="171">
        <v>0</v>
      </c>
      <c r="F245" s="171">
        <v>112.45</v>
      </c>
      <c r="G245" s="216">
        <f t="shared" si="36"/>
        <v>112.45</v>
      </c>
      <c r="H245" s="217">
        <v>0</v>
      </c>
      <c r="I245" s="217">
        <v>0</v>
      </c>
      <c r="J245" s="217">
        <v>0</v>
      </c>
      <c r="K245" s="217">
        <v>0</v>
      </c>
      <c r="L245" s="217">
        <f t="shared" si="37"/>
        <v>0</v>
      </c>
      <c r="M245" s="217">
        <v>0</v>
      </c>
      <c r="N245" s="217">
        <v>0</v>
      </c>
      <c r="O245" s="217">
        <v>0</v>
      </c>
      <c r="P245" s="217">
        <f t="shared" si="38"/>
        <v>0</v>
      </c>
      <c r="Q245" s="216">
        <v>0</v>
      </c>
      <c r="R245" s="216">
        <v>0</v>
      </c>
      <c r="S245" s="216">
        <v>0</v>
      </c>
      <c r="T245" s="216">
        <v>0</v>
      </c>
      <c r="U245" s="216">
        <f t="shared" si="39"/>
        <v>0</v>
      </c>
      <c r="V245" s="216">
        <f t="shared" si="40"/>
        <v>112.45</v>
      </c>
      <c r="W245" s="171">
        <v>0</v>
      </c>
      <c r="X245" s="171">
        <f t="shared" si="41"/>
        <v>112.45</v>
      </c>
      <c r="Y245" s="172">
        <v>757.5</v>
      </c>
      <c r="Z245" s="171">
        <f t="shared" si="42"/>
        <v>869.95</v>
      </c>
    </row>
    <row r="246" spans="1:26" ht="12.75" hidden="1" outlineLevel="1">
      <c r="A246" s="171" t="s">
        <v>2158</v>
      </c>
      <c r="C246" s="172" t="s">
        <v>2159</v>
      </c>
      <c r="D246" s="172" t="s">
        <v>2160</v>
      </c>
      <c r="E246" s="171">
        <v>0</v>
      </c>
      <c r="F246" s="171">
        <v>53943.87</v>
      </c>
      <c r="G246" s="216">
        <f t="shared" si="36"/>
        <v>53943.87</v>
      </c>
      <c r="H246" s="217">
        <v>37442.95</v>
      </c>
      <c r="I246" s="217">
        <v>0</v>
      </c>
      <c r="J246" s="217">
        <v>0</v>
      </c>
      <c r="K246" s="217">
        <v>0</v>
      </c>
      <c r="L246" s="217">
        <f t="shared" si="37"/>
        <v>0</v>
      </c>
      <c r="M246" s="217">
        <v>0</v>
      </c>
      <c r="N246" s="217">
        <v>0</v>
      </c>
      <c r="O246" s="217">
        <v>0</v>
      </c>
      <c r="P246" s="217">
        <f t="shared" si="38"/>
        <v>0</v>
      </c>
      <c r="Q246" s="216">
        <v>0</v>
      </c>
      <c r="R246" s="216">
        <v>0</v>
      </c>
      <c r="S246" s="216">
        <v>0</v>
      </c>
      <c r="T246" s="216">
        <v>0</v>
      </c>
      <c r="U246" s="216">
        <f t="shared" si="39"/>
        <v>0</v>
      </c>
      <c r="V246" s="216">
        <f t="shared" si="40"/>
        <v>91386.82</v>
      </c>
      <c r="W246" s="171">
        <v>0</v>
      </c>
      <c r="X246" s="171">
        <f t="shared" si="41"/>
        <v>91386.82</v>
      </c>
      <c r="Y246" s="172">
        <v>0</v>
      </c>
      <c r="Z246" s="171">
        <f t="shared" si="42"/>
        <v>91386.82</v>
      </c>
    </row>
    <row r="247" spans="1:26" ht="12.75" hidden="1" outlineLevel="1">
      <c r="A247" s="171" t="s">
        <v>2161</v>
      </c>
      <c r="C247" s="172" t="s">
        <v>2162</v>
      </c>
      <c r="D247" s="172" t="s">
        <v>2163</v>
      </c>
      <c r="E247" s="171">
        <v>0</v>
      </c>
      <c r="F247" s="171">
        <v>3879</v>
      </c>
      <c r="G247" s="216">
        <f t="shared" si="36"/>
        <v>3879</v>
      </c>
      <c r="H247" s="217">
        <v>0</v>
      </c>
      <c r="I247" s="217">
        <v>0</v>
      </c>
      <c r="J247" s="217">
        <v>0</v>
      </c>
      <c r="K247" s="217">
        <v>0</v>
      </c>
      <c r="L247" s="217">
        <f t="shared" si="37"/>
        <v>0</v>
      </c>
      <c r="M247" s="217">
        <v>0</v>
      </c>
      <c r="N247" s="217">
        <v>0</v>
      </c>
      <c r="O247" s="217">
        <v>0</v>
      </c>
      <c r="P247" s="217">
        <f t="shared" si="38"/>
        <v>0</v>
      </c>
      <c r="Q247" s="216">
        <v>0</v>
      </c>
      <c r="R247" s="216">
        <v>0</v>
      </c>
      <c r="S247" s="216">
        <v>0</v>
      </c>
      <c r="T247" s="216">
        <v>0</v>
      </c>
      <c r="U247" s="216">
        <f t="shared" si="39"/>
        <v>0</v>
      </c>
      <c r="V247" s="216">
        <f t="shared" si="40"/>
        <v>3879</v>
      </c>
      <c r="W247" s="171">
        <v>0</v>
      </c>
      <c r="X247" s="171">
        <f t="shared" si="41"/>
        <v>3879</v>
      </c>
      <c r="Y247" s="172">
        <v>0</v>
      </c>
      <c r="Z247" s="171">
        <f t="shared" si="42"/>
        <v>3879</v>
      </c>
    </row>
    <row r="248" spans="1:26" ht="12.75" hidden="1" outlineLevel="1">
      <c r="A248" s="171" t="s">
        <v>2164</v>
      </c>
      <c r="C248" s="172" t="s">
        <v>2165</v>
      </c>
      <c r="D248" s="172" t="s">
        <v>2166</v>
      </c>
      <c r="E248" s="171">
        <v>0</v>
      </c>
      <c r="F248" s="171">
        <v>1538503.93</v>
      </c>
      <c r="G248" s="216">
        <f t="shared" si="36"/>
        <v>1538503.93</v>
      </c>
      <c r="H248" s="217">
        <v>3516661.03</v>
      </c>
      <c r="I248" s="217">
        <v>0</v>
      </c>
      <c r="J248" s="217">
        <v>0</v>
      </c>
      <c r="K248" s="217">
        <v>0</v>
      </c>
      <c r="L248" s="217">
        <f t="shared" si="37"/>
        <v>0</v>
      </c>
      <c r="M248" s="217">
        <v>0</v>
      </c>
      <c r="N248" s="217">
        <v>79689.92</v>
      </c>
      <c r="O248" s="217">
        <v>2189</v>
      </c>
      <c r="P248" s="217">
        <f t="shared" si="38"/>
        <v>81878.92</v>
      </c>
      <c r="Q248" s="216">
        <v>0</v>
      </c>
      <c r="R248" s="216">
        <v>0</v>
      </c>
      <c r="S248" s="216">
        <v>0</v>
      </c>
      <c r="T248" s="216">
        <v>0</v>
      </c>
      <c r="U248" s="216">
        <f t="shared" si="39"/>
        <v>0</v>
      </c>
      <c r="V248" s="216">
        <f t="shared" si="40"/>
        <v>5137043.88</v>
      </c>
      <c r="W248" s="171">
        <v>0</v>
      </c>
      <c r="X248" s="171">
        <f t="shared" si="41"/>
        <v>5137043.88</v>
      </c>
      <c r="Y248" s="172">
        <v>1290075.91</v>
      </c>
      <c r="Z248" s="171">
        <f t="shared" si="42"/>
        <v>6427119.79</v>
      </c>
    </row>
    <row r="249" spans="1:26" ht="12.75" hidden="1" outlineLevel="1">
      <c r="A249" s="171" t="s">
        <v>2167</v>
      </c>
      <c r="C249" s="172" t="s">
        <v>2168</v>
      </c>
      <c r="D249" s="172" t="s">
        <v>2169</v>
      </c>
      <c r="E249" s="171">
        <v>0</v>
      </c>
      <c r="F249" s="171">
        <v>0</v>
      </c>
      <c r="G249" s="216">
        <f t="shared" si="36"/>
        <v>0</v>
      </c>
      <c r="H249" s="217">
        <v>0</v>
      </c>
      <c r="I249" s="217">
        <v>0</v>
      </c>
      <c r="J249" s="217">
        <v>0</v>
      </c>
      <c r="K249" s="217">
        <v>0</v>
      </c>
      <c r="L249" s="217">
        <f t="shared" si="37"/>
        <v>0</v>
      </c>
      <c r="M249" s="217">
        <v>0</v>
      </c>
      <c r="N249" s="217">
        <v>0</v>
      </c>
      <c r="O249" s="217">
        <v>0</v>
      </c>
      <c r="P249" s="217">
        <f t="shared" si="38"/>
        <v>0</v>
      </c>
      <c r="Q249" s="216">
        <v>0</v>
      </c>
      <c r="R249" s="216">
        <v>0</v>
      </c>
      <c r="S249" s="216">
        <v>0</v>
      </c>
      <c r="T249" s="216">
        <v>0</v>
      </c>
      <c r="U249" s="216">
        <f t="shared" si="39"/>
        <v>0</v>
      </c>
      <c r="V249" s="216">
        <f t="shared" si="40"/>
        <v>0</v>
      </c>
      <c r="W249" s="171">
        <v>0</v>
      </c>
      <c r="X249" s="171">
        <f t="shared" si="41"/>
        <v>0</v>
      </c>
      <c r="Y249" s="172">
        <v>47733.77</v>
      </c>
      <c r="Z249" s="171">
        <f t="shared" si="42"/>
        <v>47733.77</v>
      </c>
    </row>
    <row r="250" spans="1:26" ht="12.75" hidden="1" outlineLevel="1">
      <c r="A250" s="171" t="s">
        <v>2170</v>
      </c>
      <c r="C250" s="172" t="s">
        <v>2171</v>
      </c>
      <c r="D250" s="172" t="s">
        <v>2172</v>
      </c>
      <c r="E250" s="171">
        <v>0</v>
      </c>
      <c r="F250" s="171">
        <v>540</v>
      </c>
      <c r="G250" s="216">
        <f t="shared" si="36"/>
        <v>540</v>
      </c>
      <c r="H250" s="217">
        <v>0</v>
      </c>
      <c r="I250" s="217">
        <v>0</v>
      </c>
      <c r="J250" s="217">
        <v>0</v>
      </c>
      <c r="K250" s="217">
        <v>0</v>
      </c>
      <c r="L250" s="217">
        <f t="shared" si="37"/>
        <v>0</v>
      </c>
      <c r="M250" s="217">
        <v>0</v>
      </c>
      <c r="N250" s="217">
        <v>0</v>
      </c>
      <c r="O250" s="217">
        <v>0</v>
      </c>
      <c r="P250" s="217">
        <f t="shared" si="38"/>
        <v>0</v>
      </c>
      <c r="Q250" s="216">
        <v>0</v>
      </c>
      <c r="R250" s="216">
        <v>0</v>
      </c>
      <c r="S250" s="216">
        <v>0</v>
      </c>
      <c r="T250" s="216">
        <v>0</v>
      </c>
      <c r="U250" s="216">
        <f t="shared" si="39"/>
        <v>0</v>
      </c>
      <c r="V250" s="216">
        <f t="shared" si="40"/>
        <v>540</v>
      </c>
      <c r="W250" s="171">
        <v>0</v>
      </c>
      <c r="X250" s="171">
        <f t="shared" si="41"/>
        <v>540</v>
      </c>
      <c r="Y250" s="172">
        <v>0</v>
      </c>
      <c r="Z250" s="171">
        <f t="shared" si="42"/>
        <v>540</v>
      </c>
    </row>
    <row r="251" spans="1:26" ht="12.75" hidden="1" outlineLevel="1">
      <c r="A251" s="171" t="s">
        <v>2173</v>
      </c>
      <c r="C251" s="172" t="s">
        <v>2174</v>
      </c>
      <c r="D251" s="172" t="s">
        <v>2175</v>
      </c>
      <c r="E251" s="171">
        <v>0</v>
      </c>
      <c r="F251" s="171">
        <v>100</v>
      </c>
      <c r="G251" s="216">
        <f t="shared" si="36"/>
        <v>100</v>
      </c>
      <c r="H251" s="217">
        <v>15545.76</v>
      </c>
      <c r="I251" s="217">
        <v>0</v>
      </c>
      <c r="J251" s="217">
        <v>0</v>
      </c>
      <c r="K251" s="217">
        <v>0</v>
      </c>
      <c r="L251" s="217">
        <f t="shared" si="37"/>
        <v>0</v>
      </c>
      <c r="M251" s="217">
        <v>0</v>
      </c>
      <c r="N251" s="217">
        <v>0</v>
      </c>
      <c r="O251" s="217">
        <v>0</v>
      </c>
      <c r="P251" s="217">
        <f t="shared" si="38"/>
        <v>0</v>
      </c>
      <c r="Q251" s="216">
        <v>0</v>
      </c>
      <c r="R251" s="216">
        <v>0</v>
      </c>
      <c r="S251" s="216">
        <v>0</v>
      </c>
      <c r="T251" s="216">
        <v>0</v>
      </c>
      <c r="U251" s="216">
        <f t="shared" si="39"/>
        <v>0</v>
      </c>
      <c r="V251" s="216">
        <f t="shared" si="40"/>
        <v>15645.76</v>
      </c>
      <c r="W251" s="171">
        <v>0</v>
      </c>
      <c r="X251" s="171">
        <f t="shared" si="41"/>
        <v>15645.76</v>
      </c>
      <c r="Y251" s="172">
        <v>-344587.15</v>
      </c>
      <c r="Z251" s="171">
        <f t="shared" si="42"/>
        <v>-328941.39</v>
      </c>
    </row>
    <row r="252" spans="1:26" ht="12.75" hidden="1" outlineLevel="1">
      <c r="A252" s="171" t="s">
        <v>2176</v>
      </c>
      <c r="C252" s="172" t="s">
        <v>2177</v>
      </c>
      <c r="D252" s="172" t="s">
        <v>2178</v>
      </c>
      <c r="E252" s="171">
        <v>0</v>
      </c>
      <c r="F252" s="171">
        <v>48700</v>
      </c>
      <c r="G252" s="216">
        <f t="shared" si="36"/>
        <v>48700</v>
      </c>
      <c r="H252" s="217">
        <v>0</v>
      </c>
      <c r="I252" s="217">
        <v>0</v>
      </c>
      <c r="J252" s="217">
        <v>0</v>
      </c>
      <c r="K252" s="217">
        <v>0</v>
      </c>
      <c r="L252" s="217">
        <f t="shared" si="37"/>
        <v>0</v>
      </c>
      <c r="M252" s="217">
        <v>0</v>
      </c>
      <c r="N252" s="217">
        <v>0</v>
      </c>
      <c r="O252" s="217">
        <v>0</v>
      </c>
      <c r="P252" s="217">
        <f t="shared" si="38"/>
        <v>0</v>
      </c>
      <c r="Q252" s="216">
        <v>0</v>
      </c>
      <c r="R252" s="216">
        <v>0</v>
      </c>
      <c r="S252" s="216">
        <v>0</v>
      </c>
      <c r="T252" s="216">
        <v>0</v>
      </c>
      <c r="U252" s="216">
        <f t="shared" si="39"/>
        <v>0</v>
      </c>
      <c r="V252" s="216">
        <f t="shared" si="40"/>
        <v>48700</v>
      </c>
      <c r="W252" s="171">
        <v>0</v>
      </c>
      <c r="X252" s="171">
        <f t="shared" si="41"/>
        <v>48700</v>
      </c>
      <c r="Y252" s="172">
        <v>0</v>
      </c>
      <c r="Z252" s="171">
        <f t="shared" si="42"/>
        <v>48700</v>
      </c>
    </row>
    <row r="253" spans="1:26" ht="12.75" hidden="1" outlineLevel="1">
      <c r="A253" s="171" t="s">
        <v>2179</v>
      </c>
      <c r="C253" s="172" t="s">
        <v>2180</v>
      </c>
      <c r="D253" s="172" t="s">
        <v>2181</v>
      </c>
      <c r="E253" s="171">
        <v>0</v>
      </c>
      <c r="F253" s="171">
        <v>60481.33</v>
      </c>
      <c r="G253" s="216">
        <f t="shared" si="36"/>
        <v>60481.33</v>
      </c>
      <c r="H253" s="217">
        <v>7.61</v>
      </c>
      <c r="I253" s="217">
        <v>0</v>
      </c>
      <c r="J253" s="217">
        <v>0</v>
      </c>
      <c r="K253" s="217">
        <v>0</v>
      </c>
      <c r="L253" s="217">
        <f t="shared" si="37"/>
        <v>0</v>
      </c>
      <c r="M253" s="217">
        <v>0</v>
      </c>
      <c r="N253" s="217">
        <v>0</v>
      </c>
      <c r="O253" s="217">
        <v>0</v>
      </c>
      <c r="P253" s="217">
        <f t="shared" si="38"/>
        <v>0</v>
      </c>
      <c r="Q253" s="216">
        <v>0</v>
      </c>
      <c r="R253" s="216">
        <v>0</v>
      </c>
      <c r="S253" s="216">
        <v>0</v>
      </c>
      <c r="T253" s="216">
        <v>0</v>
      </c>
      <c r="U253" s="216">
        <f t="shared" si="39"/>
        <v>0</v>
      </c>
      <c r="V253" s="216">
        <f t="shared" si="40"/>
        <v>60488.94</v>
      </c>
      <c r="W253" s="171">
        <v>0</v>
      </c>
      <c r="X253" s="171">
        <f t="shared" si="41"/>
        <v>60488.94</v>
      </c>
      <c r="Y253" s="172">
        <v>0</v>
      </c>
      <c r="Z253" s="171">
        <f t="shared" si="42"/>
        <v>60488.94</v>
      </c>
    </row>
    <row r="254" spans="1:26" ht="12.75" hidden="1" outlineLevel="1">
      <c r="A254" s="171" t="s">
        <v>927</v>
      </c>
      <c r="C254" s="172" t="s">
        <v>928</v>
      </c>
      <c r="D254" s="172" t="s">
        <v>929</v>
      </c>
      <c r="E254" s="171">
        <v>0</v>
      </c>
      <c r="F254" s="171">
        <v>0</v>
      </c>
      <c r="G254" s="216">
        <f t="shared" si="36"/>
        <v>0</v>
      </c>
      <c r="H254" s="217">
        <v>45</v>
      </c>
      <c r="I254" s="217">
        <v>0</v>
      </c>
      <c r="J254" s="217">
        <v>0</v>
      </c>
      <c r="K254" s="217">
        <v>0</v>
      </c>
      <c r="L254" s="217">
        <f t="shared" si="37"/>
        <v>0</v>
      </c>
      <c r="M254" s="217">
        <v>0</v>
      </c>
      <c r="N254" s="217">
        <v>0</v>
      </c>
      <c r="O254" s="217">
        <v>0</v>
      </c>
      <c r="P254" s="217">
        <f t="shared" si="38"/>
        <v>0</v>
      </c>
      <c r="Q254" s="216">
        <v>0</v>
      </c>
      <c r="R254" s="216">
        <v>0</v>
      </c>
      <c r="S254" s="216">
        <v>0</v>
      </c>
      <c r="T254" s="216">
        <v>0</v>
      </c>
      <c r="U254" s="216">
        <f t="shared" si="39"/>
        <v>0</v>
      </c>
      <c r="V254" s="216">
        <f t="shared" si="40"/>
        <v>45</v>
      </c>
      <c r="W254" s="171">
        <v>0</v>
      </c>
      <c r="X254" s="171">
        <f t="shared" si="41"/>
        <v>45</v>
      </c>
      <c r="Y254" s="172">
        <v>0</v>
      </c>
      <c r="Z254" s="171">
        <f t="shared" si="42"/>
        <v>45</v>
      </c>
    </row>
    <row r="255" spans="1:26" ht="12.75" hidden="1" outlineLevel="1">
      <c r="A255" s="171" t="s">
        <v>2182</v>
      </c>
      <c r="C255" s="172" t="s">
        <v>2183</v>
      </c>
      <c r="D255" s="172" t="s">
        <v>2184</v>
      </c>
      <c r="E255" s="171">
        <v>0</v>
      </c>
      <c r="F255" s="171">
        <v>975.74</v>
      </c>
      <c r="G255" s="216">
        <f t="shared" si="36"/>
        <v>975.74</v>
      </c>
      <c r="H255" s="217">
        <v>0</v>
      </c>
      <c r="I255" s="217">
        <v>1000</v>
      </c>
      <c r="J255" s="217">
        <v>0</v>
      </c>
      <c r="K255" s="217">
        <v>-9300</v>
      </c>
      <c r="L255" s="217">
        <f t="shared" si="37"/>
        <v>-8300</v>
      </c>
      <c r="M255" s="217">
        <v>0</v>
      </c>
      <c r="N255" s="217">
        <v>0</v>
      </c>
      <c r="O255" s="217">
        <v>0</v>
      </c>
      <c r="P255" s="217">
        <f t="shared" si="38"/>
        <v>0</v>
      </c>
      <c r="Q255" s="216">
        <v>0</v>
      </c>
      <c r="R255" s="216">
        <v>0</v>
      </c>
      <c r="S255" s="216">
        <v>0</v>
      </c>
      <c r="T255" s="216">
        <v>0</v>
      </c>
      <c r="U255" s="216">
        <f t="shared" si="39"/>
        <v>0</v>
      </c>
      <c r="V255" s="216">
        <f t="shared" si="40"/>
        <v>-7324.26</v>
      </c>
      <c r="W255" s="171">
        <v>0</v>
      </c>
      <c r="X255" s="171">
        <f t="shared" si="41"/>
        <v>-7324.26</v>
      </c>
      <c r="Y255" s="172">
        <v>0</v>
      </c>
      <c r="Z255" s="171">
        <f t="shared" si="42"/>
        <v>-7324.26</v>
      </c>
    </row>
    <row r="256" spans="1:26" ht="12.75" hidden="1" outlineLevel="1">
      <c r="A256" s="171" t="s">
        <v>2185</v>
      </c>
      <c r="C256" s="172" t="s">
        <v>2186</v>
      </c>
      <c r="D256" s="172" t="s">
        <v>2187</v>
      </c>
      <c r="E256" s="171">
        <v>0</v>
      </c>
      <c r="F256" s="171">
        <v>285.7</v>
      </c>
      <c r="G256" s="216">
        <f t="shared" si="36"/>
        <v>285.7</v>
      </c>
      <c r="H256" s="217">
        <v>0</v>
      </c>
      <c r="I256" s="217">
        <v>0</v>
      </c>
      <c r="J256" s="217">
        <v>0</v>
      </c>
      <c r="K256" s="217">
        <v>0</v>
      </c>
      <c r="L256" s="217">
        <f t="shared" si="37"/>
        <v>0</v>
      </c>
      <c r="M256" s="217">
        <v>0</v>
      </c>
      <c r="N256" s="217">
        <v>0</v>
      </c>
      <c r="O256" s="217">
        <v>0</v>
      </c>
      <c r="P256" s="217">
        <f t="shared" si="38"/>
        <v>0</v>
      </c>
      <c r="Q256" s="216">
        <v>0</v>
      </c>
      <c r="R256" s="216">
        <v>0</v>
      </c>
      <c r="S256" s="216">
        <v>0</v>
      </c>
      <c r="T256" s="216">
        <v>0</v>
      </c>
      <c r="U256" s="216">
        <f t="shared" si="39"/>
        <v>0</v>
      </c>
      <c r="V256" s="216">
        <f t="shared" si="40"/>
        <v>285.7</v>
      </c>
      <c r="W256" s="171">
        <v>0</v>
      </c>
      <c r="X256" s="171">
        <f t="shared" si="41"/>
        <v>285.7</v>
      </c>
      <c r="Y256" s="172">
        <v>0</v>
      </c>
      <c r="Z256" s="171">
        <f t="shared" si="42"/>
        <v>285.7</v>
      </c>
    </row>
    <row r="257" spans="1:26" ht="12.75" hidden="1" outlineLevel="1">
      <c r="A257" s="171" t="s">
        <v>2188</v>
      </c>
      <c r="C257" s="172" t="s">
        <v>2189</v>
      </c>
      <c r="D257" s="172" t="s">
        <v>2190</v>
      </c>
      <c r="E257" s="171">
        <v>0</v>
      </c>
      <c r="F257" s="171">
        <v>-1188.27</v>
      </c>
      <c r="G257" s="216">
        <f t="shared" si="36"/>
        <v>-1188.27</v>
      </c>
      <c r="H257" s="217">
        <v>77956.61</v>
      </c>
      <c r="I257" s="217">
        <v>0</v>
      </c>
      <c r="J257" s="217">
        <v>0</v>
      </c>
      <c r="K257" s="217">
        <v>0</v>
      </c>
      <c r="L257" s="217">
        <f t="shared" si="37"/>
        <v>0</v>
      </c>
      <c r="M257" s="217">
        <v>0</v>
      </c>
      <c r="N257" s="217">
        <v>0</v>
      </c>
      <c r="O257" s="217">
        <v>0</v>
      </c>
      <c r="P257" s="217">
        <f t="shared" si="38"/>
        <v>0</v>
      </c>
      <c r="Q257" s="216">
        <v>0</v>
      </c>
      <c r="R257" s="216">
        <v>0</v>
      </c>
      <c r="S257" s="216">
        <v>0</v>
      </c>
      <c r="T257" s="216">
        <v>0</v>
      </c>
      <c r="U257" s="216">
        <f t="shared" si="39"/>
        <v>0</v>
      </c>
      <c r="V257" s="216">
        <f t="shared" si="40"/>
        <v>76768.34</v>
      </c>
      <c r="W257" s="171">
        <v>0</v>
      </c>
      <c r="X257" s="171">
        <f t="shared" si="41"/>
        <v>76768.34</v>
      </c>
      <c r="Y257" s="172">
        <v>265</v>
      </c>
      <c r="Z257" s="171">
        <f t="shared" si="42"/>
        <v>77033.34</v>
      </c>
    </row>
    <row r="258" spans="1:26" ht="12.75" hidden="1" outlineLevel="1">
      <c r="A258" s="171" t="s">
        <v>930</v>
      </c>
      <c r="C258" s="172" t="s">
        <v>931</v>
      </c>
      <c r="D258" s="172" t="s">
        <v>932</v>
      </c>
      <c r="E258" s="171">
        <v>0</v>
      </c>
      <c r="F258" s="171">
        <v>29721.76</v>
      </c>
      <c r="G258" s="216">
        <f t="shared" si="36"/>
        <v>29721.76</v>
      </c>
      <c r="H258" s="217">
        <v>0</v>
      </c>
      <c r="I258" s="217">
        <v>0</v>
      </c>
      <c r="J258" s="217">
        <v>0</v>
      </c>
      <c r="K258" s="217">
        <v>0</v>
      </c>
      <c r="L258" s="217">
        <f t="shared" si="37"/>
        <v>0</v>
      </c>
      <c r="M258" s="217">
        <v>0</v>
      </c>
      <c r="N258" s="217">
        <v>0</v>
      </c>
      <c r="O258" s="217">
        <v>0</v>
      </c>
      <c r="P258" s="217">
        <f t="shared" si="38"/>
        <v>0</v>
      </c>
      <c r="Q258" s="216">
        <v>0</v>
      </c>
      <c r="R258" s="216">
        <v>0</v>
      </c>
      <c r="S258" s="216">
        <v>0</v>
      </c>
      <c r="T258" s="216">
        <v>0</v>
      </c>
      <c r="U258" s="216">
        <f t="shared" si="39"/>
        <v>0</v>
      </c>
      <c r="V258" s="216">
        <f t="shared" si="40"/>
        <v>29721.76</v>
      </c>
      <c r="W258" s="171">
        <v>0</v>
      </c>
      <c r="X258" s="171">
        <f t="shared" si="41"/>
        <v>29721.76</v>
      </c>
      <c r="Y258" s="172">
        <v>0</v>
      </c>
      <c r="Z258" s="171">
        <f t="shared" si="42"/>
        <v>29721.76</v>
      </c>
    </row>
    <row r="259" spans="1:26" ht="12.75" hidden="1" outlineLevel="1">
      <c r="A259" s="171" t="s">
        <v>2191</v>
      </c>
      <c r="C259" s="172" t="s">
        <v>2192</v>
      </c>
      <c r="D259" s="172" t="s">
        <v>2193</v>
      </c>
      <c r="E259" s="171">
        <v>0</v>
      </c>
      <c r="F259" s="171">
        <v>381.0199999999895</v>
      </c>
      <c r="G259" s="216">
        <f t="shared" si="36"/>
        <v>381.0199999999895</v>
      </c>
      <c r="H259" s="217">
        <v>2436</v>
      </c>
      <c r="I259" s="217">
        <v>0</v>
      </c>
      <c r="J259" s="217">
        <v>0</v>
      </c>
      <c r="K259" s="217">
        <v>0</v>
      </c>
      <c r="L259" s="217">
        <f t="shared" si="37"/>
        <v>0</v>
      </c>
      <c r="M259" s="217">
        <v>0</v>
      </c>
      <c r="N259" s="217">
        <v>0</v>
      </c>
      <c r="O259" s="217">
        <v>0</v>
      </c>
      <c r="P259" s="217">
        <f t="shared" si="38"/>
        <v>0</v>
      </c>
      <c r="Q259" s="216">
        <v>0</v>
      </c>
      <c r="R259" s="216">
        <v>0</v>
      </c>
      <c r="S259" s="216">
        <v>0</v>
      </c>
      <c r="T259" s="216">
        <v>0</v>
      </c>
      <c r="U259" s="216">
        <f t="shared" si="39"/>
        <v>0</v>
      </c>
      <c r="V259" s="216">
        <f t="shared" si="40"/>
        <v>2817.0199999999895</v>
      </c>
      <c r="W259" s="171">
        <v>0</v>
      </c>
      <c r="X259" s="171">
        <f t="shared" si="41"/>
        <v>2817.0199999999895</v>
      </c>
      <c r="Y259" s="172">
        <v>0</v>
      </c>
      <c r="Z259" s="171">
        <f t="shared" si="42"/>
        <v>2817.0199999999895</v>
      </c>
    </row>
    <row r="260" spans="1:26" ht="12.75" hidden="1" outlineLevel="1">
      <c r="A260" s="171" t="s">
        <v>933</v>
      </c>
      <c r="C260" s="172" t="s">
        <v>934</v>
      </c>
      <c r="D260" s="172" t="s">
        <v>935</v>
      </c>
      <c r="E260" s="171">
        <v>0</v>
      </c>
      <c r="F260" s="171">
        <v>12.57</v>
      </c>
      <c r="G260" s="216">
        <f t="shared" si="36"/>
        <v>12.57</v>
      </c>
      <c r="H260" s="217">
        <v>0</v>
      </c>
      <c r="I260" s="217">
        <v>0</v>
      </c>
      <c r="J260" s="217">
        <v>0</v>
      </c>
      <c r="K260" s="217">
        <v>0</v>
      </c>
      <c r="L260" s="217">
        <f t="shared" si="37"/>
        <v>0</v>
      </c>
      <c r="M260" s="217">
        <v>0</v>
      </c>
      <c r="N260" s="217">
        <v>0</v>
      </c>
      <c r="O260" s="217">
        <v>0</v>
      </c>
      <c r="P260" s="217">
        <f t="shared" si="38"/>
        <v>0</v>
      </c>
      <c r="Q260" s="216">
        <v>0</v>
      </c>
      <c r="R260" s="216">
        <v>0</v>
      </c>
      <c r="S260" s="216">
        <v>0</v>
      </c>
      <c r="T260" s="216">
        <v>0</v>
      </c>
      <c r="U260" s="216">
        <f t="shared" si="39"/>
        <v>0</v>
      </c>
      <c r="V260" s="216">
        <f t="shared" si="40"/>
        <v>12.57</v>
      </c>
      <c r="W260" s="171">
        <v>0</v>
      </c>
      <c r="X260" s="171">
        <f t="shared" si="41"/>
        <v>12.57</v>
      </c>
      <c r="Y260" s="172">
        <v>0</v>
      </c>
      <c r="Z260" s="171">
        <f t="shared" si="42"/>
        <v>12.57</v>
      </c>
    </row>
    <row r="261" spans="1:26" ht="12.75" hidden="1" outlineLevel="1">
      <c r="A261" s="171" t="s">
        <v>936</v>
      </c>
      <c r="C261" s="172" t="s">
        <v>13</v>
      </c>
      <c r="D261" s="172" t="s">
        <v>937</v>
      </c>
      <c r="E261" s="171">
        <v>0</v>
      </c>
      <c r="F261" s="171">
        <v>958.04</v>
      </c>
      <c r="G261" s="216">
        <f t="shared" si="36"/>
        <v>958.04</v>
      </c>
      <c r="H261" s="217">
        <v>0</v>
      </c>
      <c r="I261" s="217">
        <v>0</v>
      </c>
      <c r="J261" s="217">
        <v>0</v>
      </c>
      <c r="K261" s="217">
        <v>0</v>
      </c>
      <c r="L261" s="217">
        <f t="shared" si="37"/>
        <v>0</v>
      </c>
      <c r="M261" s="217">
        <v>0</v>
      </c>
      <c r="N261" s="217">
        <v>0</v>
      </c>
      <c r="O261" s="217">
        <v>0</v>
      </c>
      <c r="P261" s="217">
        <f t="shared" si="38"/>
        <v>0</v>
      </c>
      <c r="Q261" s="216">
        <v>0</v>
      </c>
      <c r="R261" s="216">
        <v>0</v>
      </c>
      <c r="S261" s="216">
        <v>0</v>
      </c>
      <c r="T261" s="216">
        <v>0</v>
      </c>
      <c r="U261" s="216">
        <f t="shared" si="39"/>
        <v>0</v>
      </c>
      <c r="V261" s="216">
        <f t="shared" si="40"/>
        <v>958.04</v>
      </c>
      <c r="W261" s="171">
        <v>0</v>
      </c>
      <c r="X261" s="171">
        <f t="shared" si="41"/>
        <v>958.04</v>
      </c>
      <c r="Y261" s="172">
        <v>0</v>
      </c>
      <c r="Z261" s="171">
        <f t="shared" si="42"/>
        <v>958.04</v>
      </c>
    </row>
    <row r="262" spans="1:26" ht="12.75" hidden="1" outlineLevel="1">
      <c r="A262" s="171" t="s">
        <v>2194</v>
      </c>
      <c r="C262" s="172" t="s">
        <v>2195</v>
      </c>
      <c r="D262" s="172" t="s">
        <v>2196</v>
      </c>
      <c r="E262" s="171">
        <v>0</v>
      </c>
      <c r="F262" s="171">
        <v>1467234.17</v>
      </c>
      <c r="G262" s="216">
        <f t="shared" si="36"/>
        <v>1467234.17</v>
      </c>
      <c r="H262" s="217">
        <v>611242.62</v>
      </c>
      <c r="I262" s="217">
        <v>0</v>
      </c>
      <c r="J262" s="217">
        <v>0</v>
      </c>
      <c r="K262" s="217">
        <v>0</v>
      </c>
      <c r="L262" s="217">
        <f t="shared" si="37"/>
        <v>0</v>
      </c>
      <c r="M262" s="217">
        <v>0</v>
      </c>
      <c r="N262" s="217">
        <v>-1000</v>
      </c>
      <c r="O262" s="217">
        <v>0</v>
      </c>
      <c r="P262" s="217">
        <f t="shared" si="38"/>
        <v>-1000</v>
      </c>
      <c r="Q262" s="216">
        <v>0</v>
      </c>
      <c r="R262" s="216">
        <v>0</v>
      </c>
      <c r="S262" s="216">
        <v>0</v>
      </c>
      <c r="T262" s="216">
        <v>0</v>
      </c>
      <c r="U262" s="216">
        <f t="shared" si="39"/>
        <v>0</v>
      </c>
      <c r="V262" s="216">
        <f t="shared" si="40"/>
        <v>2077476.79</v>
      </c>
      <c r="W262" s="171">
        <v>0</v>
      </c>
      <c r="X262" s="171">
        <f t="shared" si="41"/>
        <v>2077476.79</v>
      </c>
      <c r="Y262" s="172">
        <v>40879.06</v>
      </c>
      <c r="Z262" s="171">
        <f t="shared" si="42"/>
        <v>2118355.85</v>
      </c>
    </row>
    <row r="263" spans="1:26" ht="12.75" hidden="1" outlineLevel="1">
      <c r="A263" s="171" t="s">
        <v>2197</v>
      </c>
      <c r="C263" s="172" t="s">
        <v>2198</v>
      </c>
      <c r="D263" s="172" t="s">
        <v>2199</v>
      </c>
      <c r="E263" s="171">
        <v>0</v>
      </c>
      <c r="F263" s="171">
        <v>1584835.96</v>
      </c>
      <c r="G263" s="216">
        <f t="shared" si="36"/>
        <v>1584835.96</v>
      </c>
      <c r="H263" s="217">
        <v>1044418.29</v>
      </c>
      <c r="I263" s="217">
        <v>0</v>
      </c>
      <c r="J263" s="217">
        <v>0</v>
      </c>
      <c r="K263" s="217">
        <v>0</v>
      </c>
      <c r="L263" s="217">
        <f t="shared" si="37"/>
        <v>0</v>
      </c>
      <c r="M263" s="217">
        <v>0</v>
      </c>
      <c r="N263" s="217">
        <v>0</v>
      </c>
      <c r="O263" s="217">
        <v>0</v>
      </c>
      <c r="P263" s="217">
        <f t="shared" si="38"/>
        <v>0</v>
      </c>
      <c r="Q263" s="216">
        <v>0</v>
      </c>
      <c r="R263" s="216">
        <v>0</v>
      </c>
      <c r="S263" s="216">
        <v>0</v>
      </c>
      <c r="T263" s="216">
        <v>0</v>
      </c>
      <c r="U263" s="216">
        <f t="shared" si="39"/>
        <v>0</v>
      </c>
      <c r="V263" s="216">
        <f t="shared" si="40"/>
        <v>2629254.25</v>
      </c>
      <c r="W263" s="171">
        <v>0</v>
      </c>
      <c r="X263" s="171">
        <f t="shared" si="41"/>
        <v>2629254.25</v>
      </c>
      <c r="Y263" s="172">
        <v>7500</v>
      </c>
      <c r="Z263" s="171">
        <f t="shared" si="42"/>
        <v>2636754.25</v>
      </c>
    </row>
    <row r="264" spans="1:26" ht="12.75" hidden="1" outlineLevel="1">
      <c r="A264" s="171" t="s">
        <v>2200</v>
      </c>
      <c r="C264" s="172" t="s">
        <v>2201</v>
      </c>
      <c r="D264" s="172" t="s">
        <v>2202</v>
      </c>
      <c r="E264" s="171">
        <v>0</v>
      </c>
      <c r="F264" s="171">
        <v>28156.61</v>
      </c>
      <c r="G264" s="216">
        <f t="shared" si="36"/>
        <v>28156.61</v>
      </c>
      <c r="H264" s="217">
        <v>11762.33</v>
      </c>
      <c r="I264" s="217">
        <v>0</v>
      </c>
      <c r="J264" s="217">
        <v>0</v>
      </c>
      <c r="K264" s="217">
        <v>0</v>
      </c>
      <c r="L264" s="217">
        <f t="shared" si="37"/>
        <v>0</v>
      </c>
      <c r="M264" s="217">
        <v>0</v>
      </c>
      <c r="N264" s="217">
        <v>0</v>
      </c>
      <c r="O264" s="217">
        <v>0</v>
      </c>
      <c r="P264" s="217">
        <f t="shared" si="38"/>
        <v>0</v>
      </c>
      <c r="Q264" s="216">
        <v>0</v>
      </c>
      <c r="R264" s="216">
        <v>0</v>
      </c>
      <c r="S264" s="216">
        <v>0</v>
      </c>
      <c r="T264" s="216">
        <v>0</v>
      </c>
      <c r="U264" s="216">
        <f t="shared" si="39"/>
        <v>0</v>
      </c>
      <c r="V264" s="216">
        <f t="shared" si="40"/>
        <v>39918.94</v>
      </c>
      <c r="W264" s="171">
        <v>0</v>
      </c>
      <c r="X264" s="171">
        <f t="shared" si="41"/>
        <v>39918.94</v>
      </c>
      <c r="Y264" s="172">
        <v>0</v>
      </c>
      <c r="Z264" s="171">
        <f t="shared" si="42"/>
        <v>39918.94</v>
      </c>
    </row>
    <row r="265" spans="1:26" ht="12.75" hidden="1" outlineLevel="1">
      <c r="A265" s="171" t="s">
        <v>2203</v>
      </c>
      <c r="C265" s="172" t="s">
        <v>2204</v>
      </c>
      <c r="D265" s="172" t="s">
        <v>2205</v>
      </c>
      <c r="E265" s="171">
        <v>0</v>
      </c>
      <c r="F265" s="171">
        <v>0</v>
      </c>
      <c r="G265" s="216">
        <f t="shared" si="36"/>
        <v>0</v>
      </c>
      <c r="H265" s="217">
        <v>33964</v>
      </c>
      <c r="I265" s="217">
        <v>0</v>
      </c>
      <c r="J265" s="217">
        <v>0</v>
      </c>
      <c r="K265" s="217">
        <v>0</v>
      </c>
      <c r="L265" s="217">
        <f t="shared" si="37"/>
        <v>0</v>
      </c>
      <c r="M265" s="217">
        <v>0</v>
      </c>
      <c r="N265" s="217">
        <v>0</v>
      </c>
      <c r="O265" s="217">
        <v>0</v>
      </c>
      <c r="P265" s="217">
        <f t="shared" si="38"/>
        <v>0</v>
      </c>
      <c r="Q265" s="216">
        <v>0</v>
      </c>
      <c r="R265" s="216">
        <v>0</v>
      </c>
      <c r="S265" s="216">
        <v>0</v>
      </c>
      <c r="T265" s="216">
        <v>0</v>
      </c>
      <c r="U265" s="216">
        <f t="shared" si="39"/>
        <v>0</v>
      </c>
      <c r="V265" s="216">
        <f t="shared" si="40"/>
        <v>33964</v>
      </c>
      <c r="W265" s="171">
        <v>0</v>
      </c>
      <c r="X265" s="171">
        <f t="shared" si="41"/>
        <v>33964</v>
      </c>
      <c r="Y265" s="172">
        <v>0</v>
      </c>
      <c r="Z265" s="171">
        <f t="shared" si="42"/>
        <v>33964</v>
      </c>
    </row>
    <row r="266" spans="1:26" ht="12.75" hidden="1" outlineLevel="1">
      <c r="A266" s="171" t="s">
        <v>2206</v>
      </c>
      <c r="C266" s="172" t="s">
        <v>2207</v>
      </c>
      <c r="D266" s="172" t="s">
        <v>2208</v>
      </c>
      <c r="E266" s="171">
        <v>0</v>
      </c>
      <c r="F266" s="171">
        <v>67738.24</v>
      </c>
      <c r="G266" s="216">
        <f t="shared" si="36"/>
        <v>67738.24</v>
      </c>
      <c r="H266" s="217">
        <v>4934.6</v>
      </c>
      <c r="I266" s="217">
        <v>0</v>
      </c>
      <c r="J266" s="217">
        <v>0</v>
      </c>
      <c r="K266" s="217">
        <v>0</v>
      </c>
      <c r="L266" s="217">
        <f t="shared" si="37"/>
        <v>0</v>
      </c>
      <c r="M266" s="217">
        <v>0</v>
      </c>
      <c r="N266" s="217">
        <v>0</v>
      </c>
      <c r="O266" s="217">
        <v>0</v>
      </c>
      <c r="P266" s="217">
        <f t="shared" si="38"/>
        <v>0</v>
      </c>
      <c r="Q266" s="216">
        <v>0</v>
      </c>
      <c r="R266" s="216">
        <v>0</v>
      </c>
      <c r="S266" s="216">
        <v>0</v>
      </c>
      <c r="T266" s="216">
        <v>0</v>
      </c>
      <c r="U266" s="216">
        <f t="shared" si="39"/>
        <v>0</v>
      </c>
      <c r="V266" s="216">
        <f t="shared" si="40"/>
        <v>72672.84000000001</v>
      </c>
      <c r="W266" s="171">
        <v>0</v>
      </c>
      <c r="X266" s="171">
        <f t="shared" si="41"/>
        <v>72672.84000000001</v>
      </c>
      <c r="Y266" s="172">
        <v>0</v>
      </c>
      <c r="Z266" s="171">
        <f t="shared" si="42"/>
        <v>72672.84000000001</v>
      </c>
    </row>
    <row r="267" spans="1:26" ht="12.75" hidden="1" outlineLevel="1">
      <c r="A267" s="171" t="s">
        <v>2209</v>
      </c>
      <c r="C267" s="172" t="s">
        <v>2210</v>
      </c>
      <c r="D267" s="172" t="s">
        <v>2211</v>
      </c>
      <c r="E267" s="171">
        <v>0</v>
      </c>
      <c r="F267" s="171">
        <v>120958.11</v>
      </c>
      <c r="G267" s="216">
        <f t="shared" si="36"/>
        <v>120958.11</v>
      </c>
      <c r="H267" s="217">
        <v>15866.62</v>
      </c>
      <c r="I267" s="217">
        <v>0</v>
      </c>
      <c r="J267" s="217">
        <v>0</v>
      </c>
      <c r="K267" s="217">
        <v>0</v>
      </c>
      <c r="L267" s="217">
        <f t="shared" si="37"/>
        <v>0</v>
      </c>
      <c r="M267" s="217">
        <v>0</v>
      </c>
      <c r="N267" s="217">
        <v>0</v>
      </c>
      <c r="O267" s="217">
        <v>0</v>
      </c>
      <c r="P267" s="217">
        <f t="shared" si="38"/>
        <v>0</v>
      </c>
      <c r="Q267" s="216">
        <v>0</v>
      </c>
      <c r="R267" s="216">
        <v>0</v>
      </c>
      <c r="S267" s="216">
        <v>0</v>
      </c>
      <c r="T267" s="216">
        <v>0</v>
      </c>
      <c r="U267" s="216">
        <f t="shared" si="39"/>
        <v>0</v>
      </c>
      <c r="V267" s="216">
        <f t="shared" si="40"/>
        <v>136824.73</v>
      </c>
      <c r="W267" s="171">
        <v>0</v>
      </c>
      <c r="X267" s="171">
        <f t="shared" si="41"/>
        <v>136824.73</v>
      </c>
      <c r="Y267" s="172">
        <v>646.25</v>
      </c>
      <c r="Z267" s="171">
        <f t="shared" si="42"/>
        <v>137470.98</v>
      </c>
    </row>
    <row r="268" spans="1:26" ht="12.75" hidden="1" outlineLevel="1">
      <c r="A268" s="171" t="s">
        <v>2212</v>
      </c>
      <c r="C268" s="172" t="s">
        <v>2213</v>
      </c>
      <c r="D268" s="172" t="s">
        <v>2214</v>
      </c>
      <c r="E268" s="171">
        <v>0</v>
      </c>
      <c r="F268" s="171">
        <v>45075.98</v>
      </c>
      <c r="G268" s="216">
        <f t="shared" si="36"/>
        <v>45075.98</v>
      </c>
      <c r="H268" s="217">
        <v>740.79</v>
      </c>
      <c r="I268" s="217">
        <v>0</v>
      </c>
      <c r="J268" s="217">
        <v>0</v>
      </c>
      <c r="K268" s="217">
        <v>0</v>
      </c>
      <c r="L268" s="217">
        <f t="shared" si="37"/>
        <v>0</v>
      </c>
      <c r="M268" s="217">
        <v>0</v>
      </c>
      <c r="N268" s="217">
        <v>0</v>
      </c>
      <c r="O268" s="217">
        <v>0</v>
      </c>
      <c r="P268" s="217">
        <f t="shared" si="38"/>
        <v>0</v>
      </c>
      <c r="Q268" s="216">
        <v>0</v>
      </c>
      <c r="R268" s="216">
        <v>0</v>
      </c>
      <c r="S268" s="216">
        <v>0</v>
      </c>
      <c r="T268" s="216">
        <v>0</v>
      </c>
      <c r="U268" s="216">
        <f t="shared" si="39"/>
        <v>0</v>
      </c>
      <c r="V268" s="216">
        <f t="shared" si="40"/>
        <v>45816.770000000004</v>
      </c>
      <c r="W268" s="171">
        <v>0</v>
      </c>
      <c r="X268" s="171">
        <f t="shared" si="41"/>
        <v>45816.770000000004</v>
      </c>
      <c r="Y268" s="172">
        <v>2591.95</v>
      </c>
      <c r="Z268" s="171">
        <f t="shared" si="42"/>
        <v>48408.72</v>
      </c>
    </row>
    <row r="269" spans="1:26" ht="12.75" hidden="1" outlineLevel="1">
      <c r="A269" s="171" t="s">
        <v>2215</v>
      </c>
      <c r="C269" s="172" t="s">
        <v>2216</v>
      </c>
      <c r="D269" s="172" t="s">
        <v>2217</v>
      </c>
      <c r="E269" s="171">
        <v>0</v>
      </c>
      <c r="F269" s="171">
        <v>5313.87</v>
      </c>
      <c r="G269" s="216">
        <f t="shared" si="36"/>
        <v>5313.87</v>
      </c>
      <c r="H269" s="217">
        <v>0</v>
      </c>
      <c r="I269" s="217">
        <v>0</v>
      </c>
      <c r="J269" s="217">
        <v>0</v>
      </c>
      <c r="K269" s="217">
        <v>0</v>
      </c>
      <c r="L269" s="217">
        <f t="shared" si="37"/>
        <v>0</v>
      </c>
      <c r="M269" s="217">
        <v>0</v>
      </c>
      <c r="N269" s="217">
        <v>0</v>
      </c>
      <c r="O269" s="217">
        <v>0</v>
      </c>
      <c r="P269" s="217">
        <f t="shared" si="38"/>
        <v>0</v>
      </c>
      <c r="Q269" s="216">
        <v>0</v>
      </c>
      <c r="R269" s="216">
        <v>0</v>
      </c>
      <c r="S269" s="216">
        <v>0</v>
      </c>
      <c r="T269" s="216">
        <v>0</v>
      </c>
      <c r="U269" s="216">
        <f t="shared" si="39"/>
        <v>0</v>
      </c>
      <c r="V269" s="216">
        <f t="shared" si="40"/>
        <v>5313.87</v>
      </c>
      <c r="W269" s="171">
        <v>0</v>
      </c>
      <c r="X269" s="171">
        <f t="shared" si="41"/>
        <v>5313.87</v>
      </c>
      <c r="Y269" s="172">
        <v>0</v>
      </c>
      <c r="Z269" s="171">
        <f t="shared" si="42"/>
        <v>5313.87</v>
      </c>
    </row>
    <row r="270" spans="1:26" ht="12.75" hidden="1" outlineLevel="1">
      <c r="A270" s="171" t="s">
        <v>2218</v>
      </c>
      <c r="C270" s="172" t="s">
        <v>2219</v>
      </c>
      <c r="D270" s="172" t="s">
        <v>2220</v>
      </c>
      <c r="E270" s="171">
        <v>0</v>
      </c>
      <c r="F270" s="171">
        <v>1626.52</v>
      </c>
      <c r="G270" s="216">
        <f aca="true" t="shared" si="43" ref="G270:G333">E270+F270</f>
        <v>1626.52</v>
      </c>
      <c r="H270" s="217">
        <v>0</v>
      </c>
      <c r="I270" s="217">
        <v>0</v>
      </c>
      <c r="J270" s="217">
        <v>0</v>
      </c>
      <c r="K270" s="217">
        <v>0</v>
      </c>
      <c r="L270" s="217">
        <f aca="true" t="shared" si="44" ref="L270:L333">J270+I270+K270</f>
        <v>0</v>
      </c>
      <c r="M270" s="217">
        <v>0</v>
      </c>
      <c r="N270" s="217">
        <v>0</v>
      </c>
      <c r="O270" s="217">
        <v>0</v>
      </c>
      <c r="P270" s="217">
        <f aca="true" t="shared" si="45" ref="P270:P333">M270+N270+O270</f>
        <v>0</v>
      </c>
      <c r="Q270" s="216">
        <v>0</v>
      </c>
      <c r="R270" s="216">
        <v>0</v>
      </c>
      <c r="S270" s="216">
        <v>0</v>
      </c>
      <c r="T270" s="216">
        <v>0</v>
      </c>
      <c r="U270" s="216">
        <f aca="true" t="shared" si="46" ref="U270:U333">Q270+R270+S270+T270</f>
        <v>0</v>
      </c>
      <c r="V270" s="216">
        <f aca="true" t="shared" si="47" ref="V270:V333">G270+H270+L270+P270+U270</f>
        <v>1626.52</v>
      </c>
      <c r="W270" s="171">
        <v>0</v>
      </c>
      <c r="X270" s="171">
        <f aca="true" t="shared" si="48" ref="X270:X333">V270+W270</f>
        <v>1626.52</v>
      </c>
      <c r="Y270" s="172">
        <v>0</v>
      </c>
      <c r="Z270" s="171">
        <f aca="true" t="shared" si="49" ref="Z270:Z333">X270+Y270</f>
        <v>1626.52</v>
      </c>
    </row>
    <row r="271" spans="1:26" ht="12.75" hidden="1" outlineLevel="1">
      <c r="A271" s="171" t="s">
        <v>2221</v>
      </c>
      <c r="C271" s="172" t="s">
        <v>2222</v>
      </c>
      <c r="D271" s="172" t="s">
        <v>2223</v>
      </c>
      <c r="E271" s="171">
        <v>0</v>
      </c>
      <c r="F271" s="171">
        <v>22536.9</v>
      </c>
      <c r="G271" s="216">
        <f t="shared" si="43"/>
        <v>22536.9</v>
      </c>
      <c r="H271" s="217">
        <v>0</v>
      </c>
      <c r="I271" s="217">
        <v>0</v>
      </c>
      <c r="J271" s="217">
        <v>0</v>
      </c>
      <c r="K271" s="217">
        <v>0</v>
      </c>
      <c r="L271" s="217">
        <f t="shared" si="44"/>
        <v>0</v>
      </c>
      <c r="M271" s="217">
        <v>0</v>
      </c>
      <c r="N271" s="217">
        <v>0</v>
      </c>
      <c r="O271" s="217">
        <v>0</v>
      </c>
      <c r="P271" s="217">
        <f t="shared" si="45"/>
        <v>0</v>
      </c>
      <c r="Q271" s="216">
        <v>0</v>
      </c>
      <c r="R271" s="216">
        <v>0</v>
      </c>
      <c r="S271" s="216">
        <v>0</v>
      </c>
      <c r="T271" s="216">
        <v>0</v>
      </c>
      <c r="U271" s="216">
        <f t="shared" si="46"/>
        <v>0</v>
      </c>
      <c r="V271" s="216">
        <f t="shared" si="47"/>
        <v>22536.9</v>
      </c>
      <c r="W271" s="171">
        <v>0</v>
      </c>
      <c r="X271" s="171">
        <f t="shared" si="48"/>
        <v>22536.9</v>
      </c>
      <c r="Y271" s="172">
        <v>29722</v>
      </c>
      <c r="Z271" s="171">
        <f t="shared" si="49"/>
        <v>52258.9</v>
      </c>
    </row>
    <row r="272" spans="1:26" ht="12.75" hidden="1" outlineLevel="1">
      <c r="A272" s="171" t="s">
        <v>2224</v>
      </c>
      <c r="C272" s="172" t="s">
        <v>2225</v>
      </c>
      <c r="D272" s="172" t="s">
        <v>2226</v>
      </c>
      <c r="E272" s="171">
        <v>0</v>
      </c>
      <c r="F272" s="171">
        <v>35300.39</v>
      </c>
      <c r="G272" s="216">
        <f t="shared" si="43"/>
        <v>35300.39</v>
      </c>
      <c r="H272" s="217">
        <v>9601.62</v>
      </c>
      <c r="I272" s="217">
        <v>0</v>
      </c>
      <c r="J272" s="217">
        <v>0</v>
      </c>
      <c r="K272" s="217">
        <v>0</v>
      </c>
      <c r="L272" s="217">
        <f t="shared" si="44"/>
        <v>0</v>
      </c>
      <c r="M272" s="217">
        <v>0</v>
      </c>
      <c r="N272" s="217">
        <v>0</v>
      </c>
      <c r="O272" s="217">
        <v>0</v>
      </c>
      <c r="P272" s="217">
        <f t="shared" si="45"/>
        <v>0</v>
      </c>
      <c r="Q272" s="216">
        <v>0</v>
      </c>
      <c r="R272" s="216">
        <v>0</v>
      </c>
      <c r="S272" s="216">
        <v>0</v>
      </c>
      <c r="T272" s="216">
        <v>0</v>
      </c>
      <c r="U272" s="216">
        <f t="shared" si="46"/>
        <v>0</v>
      </c>
      <c r="V272" s="216">
        <f t="shared" si="47"/>
        <v>44902.01</v>
      </c>
      <c r="W272" s="171">
        <v>0</v>
      </c>
      <c r="X272" s="171">
        <f t="shared" si="48"/>
        <v>44902.01</v>
      </c>
      <c r="Y272" s="172">
        <v>8126.6</v>
      </c>
      <c r="Z272" s="171">
        <f t="shared" si="49"/>
        <v>53028.61</v>
      </c>
    </row>
    <row r="273" spans="1:26" ht="12.75" hidden="1" outlineLevel="1">
      <c r="A273" s="171" t="s">
        <v>2227</v>
      </c>
      <c r="C273" s="172" t="s">
        <v>2228</v>
      </c>
      <c r="D273" s="172" t="s">
        <v>2229</v>
      </c>
      <c r="E273" s="171">
        <v>0</v>
      </c>
      <c r="F273" s="171">
        <v>237318</v>
      </c>
      <c r="G273" s="216">
        <f t="shared" si="43"/>
        <v>237318</v>
      </c>
      <c r="H273" s="217">
        <v>165053.27</v>
      </c>
      <c r="I273" s="217">
        <v>0</v>
      </c>
      <c r="J273" s="217">
        <v>0</v>
      </c>
      <c r="K273" s="217">
        <v>0</v>
      </c>
      <c r="L273" s="217">
        <f t="shared" si="44"/>
        <v>0</v>
      </c>
      <c r="M273" s="217">
        <v>0</v>
      </c>
      <c r="N273" s="217">
        <v>0</v>
      </c>
      <c r="O273" s="217">
        <v>0</v>
      </c>
      <c r="P273" s="217">
        <f t="shared" si="45"/>
        <v>0</v>
      </c>
      <c r="Q273" s="216">
        <v>0</v>
      </c>
      <c r="R273" s="216">
        <v>0</v>
      </c>
      <c r="S273" s="216">
        <v>0</v>
      </c>
      <c r="T273" s="216">
        <v>0</v>
      </c>
      <c r="U273" s="216">
        <f t="shared" si="46"/>
        <v>0</v>
      </c>
      <c r="V273" s="216">
        <f t="shared" si="47"/>
        <v>402371.27</v>
      </c>
      <c r="W273" s="171">
        <v>0</v>
      </c>
      <c r="X273" s="171">
        <f t="shared" si="48"/>
        <v>402371.27</v>
      </c>
      <c r="Y273" s="172">
        <v>760.46</v>
      </c>
      <c r="Z273" s="171">
        <f t="shared" si="49"/>
        <v>403131.73000000004</v>
      </c>
    </row>
    <row r="274" spans="1:26" ht="12.75" hidden="1" outlineLevel="1">
      <c r="A274" s="171" t="s">
        <v>2230</v>
      </c>
      <c r="C274" s="172" t="s">
        <v>2231</v>
      </c>
      <c r="D274" s="172" t="s">
        <v>2232</v>
      </c>
      <c r="E274" s="171">
        <v>0</v>
      </c>
      <c r="F274" s="171">
        <v>531276.27</v>
      </c>
      <c r="G274" s="216">
        <f t="shared" si="43"/>
        <v>531276.27</v>
      </c>
      <c r="H274" s="217">
        <v>14373.02</v>
      </c>
      <c r="I274" s="217">
        <v>0</v>
      </c>
      <c r="J274" s="217">
        <v>0</v>
      </c>
      <c r="K274" s="217">
        <v>0</v>
      </c>
      <c r="L274" s="217">
        <f t="shared" si="44"/>
        <v>0</v>
      </c>
      <c r="M274" s="217">
        <v>0</v>
      </c>
      <c r="N274" s="217">
        <v>0</v>
      </c>
      <c r="O274" s="217">
        <v>0</v>
      </c>
      <c r="P274" s="217">
        <f t="shared" si="45"/>
        <v>0</v>
      </c>
      <c r="Q274" s="216">
        <v>0</v>
      </c>
      <c r="R274" s="216">
        <v>0</v>
      </c>
      <c r="S274" s="216">
        <v>0</v>
      </c>
      <c r="T274" s="216">
        <v>0</v>
      </c>
      <c r="U274" s="216">
        <f t="shared" si="46"/>
        <v>0</v>
      </c>
      <c r="V274" s="216">
        <f t="shared" si="47"/>
        <v>545649.29</v>
      </c>
      <c r="W274" s="171">
        <v>0</v>
      </c>
      <c r="X274" s="171">
        <f t="shared" si="48"/>
        <v>545649.29</v>
      </c>
      <c r="Y274" s="172">
        <v>0</v>
      </c>
      <c r="Z274" s="171">
        <f t="shared" si="49"/>
        <v>545649.29</v>
      </c>
    </row>
    <row r="275" spans="1:26" ht="12.75" hidden="1" outlineLevel="1">
      <c r="A275" s="171" t="s">
        <v>2233</v>
      </c>
      <c r="C275" s="172" t="s">
        <v>2234</v>
      </c>
      <c r="D275" s="172" t="s">
        <v>2235</v>
      </c>
      <c r="E275" s="171">
        <v>0</v>
      </c>
      <c r="F275" s="171">
        <v>43123.18</v>
      </c>
      <c r="G275" s="216">
        <f t="shared" si="43"/>
        <v>43123.18</v>
      </c>
      <c r="H275" s="217">
        <v>276.92</v>
      </c>
      <c r="I275" s="217">
        <v>0</v>
      </c>
      <c r="J275" s="217">
        <v>0</v>
      </c>
      <c r="K275" s="217">
        <v>0</v>
      </c>
      <c r="L275" s="217">
        <f t="shared" si="44"/>
        <v>0</v>
      </c>
      <c r="M275" s="217">
        <v>0</v>
      </c>
      <c r="N275" s="217">
        <v>0</v>
      </c>
      <c r="O275" s="217">
        <v>0</v>
      </c>
      <c r="P275" s="217">
        <f t="shared" si="45"/>
        <v>0</v>
      </c>
      <c r="Q275" s="216">
        <v>0</v>
      </c>
      <c r="R275" s="216">
        <v>0</v>
      </c>
      <c r="S275" s="216">
        <v>0</v>
      </c>
      <c r="T275" s="216">
        <v>0</v>
      </c>
      <c r="U275" s="216">
        <f t="shared" si="46"/>
        <v>0</v>
      </c>
      <c r="V275" s="216">
        <f t="shared" si="47"/>
        <v>43400.1</v>
      </c>
      <c r="W275" s="171">
        <v>0</v>
      </c>
      <c r="X275" s="171">
        <f t="shared" si="48"/>
        <v>43400.1</v>
      </c>
      <c r="Y275" s="172">
        <v>955</v>
      </c>
      <c r="Z275" s="171">
        <f t="shared" si="49"/>
        <v>44355.1</v>
      </c>
    </row>
    <row r="276" spans="1:26" ht="12.75" hidden="1" outlineLevel="1">
      <c r="A276" s="171" t="s">
        <v>938</v>
      </c>
      <c r="C276" s="172" t="s">
        <v>939</v>
      </c>
      <c r="D276" s="172" t="s">
        <v>940</v>
      </c>
      <c r="E276" s="171">
        <v>0</v>
      </c>
      <c r="F276" s="171">
        <v>625</v>
      </c>
      <c r="G276" s="216">
        <f t="shared" si="43"/>
        <v>625</v>
      </c>
      <c r="H276" s="217">
        <v>0</v>
      </c>
      <c r="I276" s="217">
        <v>0</v>
      </c>
      <c r="J276" s="217">
        <v>0</v>
      </c>
      <c r="K276" s="217">
        <v>0</v>
      </c>
      <c r="L276" s="217">
        <f t="shared" si="44"/>
        <v>0</v>
      </c>
      <c r="M276" s="217">
        <v>0</v>
      </c>
      <c r="N276" s="217">
        <v>0</v>
      </c>
      <c r="O276" s="217">
        <v>0</v>
      </c>
      <c r="P276" s="217">
        <f t="shared" si="45"/>
        <v>0</v>
      </c>
      <c r="Q276" s="216">
        <v>0</v>
      </c>
      <c r="R276" s="216">
        <v>0</v>
      </c>
      <c r="S276" s="216">
        <v>0</v>
      </c>
      <c r="T276" s="216">
        <v>0</v>
      </c>
      <c r="U276" s="216">
        <f t="shared" si="46"/>
        <v>0</v>
      </c>
      <c r="V276" s="216">
        <f t="shared" si="47"/>
        <v>625</v>
      </c>
      <c r="W276" s="171">
        <v>0</v>
      </c>
      <c r="X276" s="171">
        <f t="shared" si="48"/>
        <v>625</v>
      </c>
      <c r="Y276" s="172">
        <v>0</v>
      </c>
      <c r="Z276" s="171">
        <f t="shared" si="49"/>
        <v>625</v>
      </c>
    </row>
    <row r="277" spans="1:26" ht="12.75" hidden="1" outlineLevel="1">
      <c r="A277" s="171" t="s">
        <v>2236</v>
      </c>
      <c r="C277" s="172" t="s">
        <v>2237</v>
      </c>
      <c r="D277" s="172" t="s">
        <v>2238</v>
      </c>
      <c r="E277" s="171">
        <v>0</v>
      </c>
      <c r="F277" s="171">
        <v>32296</v>
      </c>
      <c r="G277" s="216">
        <f t="shared" si="43"/>
        <v>32296</v>
      </c>
      <c r="H277" s="217">
        <v>97715.86</v>
      </c>
      <c r="I277" s="217">
        <v>0</v>
      </c>
      <c r="J277" s="217">
        <v>0</v>
      </c>
      <c r="K277" s="217">
        <v>0</v>
      </c>
      <c r="L277" s="217">
        <f t="shared" si="44"/>
        <v>0</v>
      </c>
      <c r="M277" s="217">
        <v>0</v>
      </c>
      <c r="N277" s="217">
        <v>0</v>
      </c>
      <c r="O277" s="217">
        <v>0</v>
      </c>
      <c r="P277" s="217">
        <f t="shared" si="45"/>
        <v>0</v>
      </c>
      <c r="Q277" s="216">
        <v>0</v>
      </c>
      <c r="R277" s="216">
        <v>0</v>
      </c>
      <c r="S277" s="216">
        <v>0</v>
      </c>
      <c r="T277" s="216">
        <v>0</v>
      </c>
      <c r="U277" s="216">
        <f t="shared" si="46"/>
        <v>0</v>
      </c>
      <c r="V277" s="216">
        <f t="shared" si="47"/>
        <v>130011.86</v>
      </c>
      <c r="W277" s="171">
        <v>0</v>
      </c>
      <c r="X277" s="171">
        <f t="shared" si="48"/>
        <v>130011.86</v>
      </c>
      <c r="Y277" s="172">
        <v>0</v>
      </c>
      <c r="Z277" s="171">
        <f t="shared" si="49"/>
        <v>130011.86</v>
      </c>
    </row>
    <row r="278" spans="1:26" ht="12.75" hidden="1" outlineLevel="1">
      <c r="A278" s="171" t="s">
        <v>2239</v>
      </c>
      <c r="C278" s="172" t="s">
        <v>2240</v>
      </c>
      <c r="D278" s="172" t="s">
        <v>2241</v>
      </c>
      <c r="E278" s="171">
        <v>0</v>
      </c>
      <c r="F278" s="171">
        <v>3839.52</v>
      </c>
      <c r="G278" s="216">
        <f t="shared" si="43"/>
        <v>3839.52</v>
      </c>
      <c r="H278" s="217">
        <v>0</v>
      </c>
      <c r="I278" s="217">
        <v>0</v>
      </c>
      <c r="J278" s="217">
        <v>0</v>
      </c>
      <c r="K278" s="217">
        <v>0</v>
      </c>
      <c r="L278" s="217">
        <f t="shared" si="44"/>
        <v>0</v>
      </c>
      <c r="M278" s="217">
        <v>0</v>
      </c>
      <c r="N278" s="217">
        <v>0</v>
      </c>
      <c r="O278" s="217">
        <v>0</v>
      </c>
      <c r="P278" s="217">
        <f t="shared" si="45"/>
        <v>0</v>
      </c>
      <c r="Q278" s="216">
        <v>0</v>
      </c>
      <c r="R278" s="216">
        <v>0</v>
      </c>
      <c r="S278" s="216">
        <v>0</v>
      </c>
      <c r="T278" s="216">
        <v>0</v>
      </c>
      <c r="U278" s="216">
        <f t="shared" si="46"/>
        <v>0</v>
      </c>
      <c r="V278" s="216">
        <f t="shared" si="47"/>
        <v>3839.52</v>
      </c>
      <c r="W278" s="171">
        <v>0</v>
      </c>
      <c r="X278" s="171">
        <f t="shared" si="48"/>
        <v>3839.52</v>
      </c>
      <c r="Y278" s="172">
        <v>0</v>
      </c>
      <c r="Z278" s="171">
        <f t="shared" si="49"/>
        <v>3839.52</v>
      </c>
    </row>
    <row r="279" spans="1:26" ht="12.75" hidden="1" outlineLevel="1">
      <c r="A279" s="171" t="s">
        <v>2242</v>
      </c>
      <c r="C279" s="172" t="s">
        <v>2243</v>
      </c>
      <c r="D279" s="172" t="s">
        <v>2244</v>
      </c>
      <c r="E279" s="171">
        <v>0</v>
      </c>
      <c r="F279" s="171">
        <v>-2150</v>
      </c>
      <c r="G279" s="216">
        <f t="shared" si="43"/>
        <v>-2150</v>
      </c>
      <c r="H279" s="217">
        <v>0</v>
      </c>
      <c r="I279" s="217">
        <v>0</v>
      </c>
      <c r="J279" s="217">
        <v>0</v>
      </c>
      <c r="K279" s="217">
        <v>0</v>
      </c>
      <c r="L279" s="217">
        <f t="shared" si="44"/>
        <v>0</v>
      </c>
      <c r="M279" s="217">
        <v>0</v>
      </c>
      <c r="N279" s="217">
        <v>0</v>
      </c>
      <c r="O279" s="217">
        <v>0</v>
      </c>
      <c r="P279" s="217">
        <f t="shared" si="45"/>
        <v>0</v>
      </c>
      <c r="Q279" s="216">
        <v>0</v>
      </c>
      <c r="R279" s="216">
        <v>0</v>
      </c>
      <c r="S279" s="216">
        <v>0</v>
      </c>
      <c r="T279" s="216">
        <v>0</v>
      </c>
      <c r="U279" s="216">
        <f t="shared" si="46"/>
        <v>0</v>
      </c>
      <c r="V279" s="216">
        <f t="shared" si="47"/>
        <v>-2150</v>
      </c>
      <c r="W279" s="171">
        <v>0</v>
      </c>
      <c r="X279" s="171">
        <f t="shared" si="48"/>
        <v>-2150</v>
      </c>
      <c r="Y279" s="172">
        <v>0</v>
      </c>
      <c r="Z279" s="171">
        <f t="shared" si="49"/>
        <v>-2150</v>
      </c>
    </row>
    <row r="280" spans="1:26" ht="12.75" hidden="1" outlineLevel="1">
      <c r="A280" s="171" t="s">
        <v>2245</v>
      </c>
      <c r="C280" s="172" t="s">
        <v>2246</v>
      </c>
      <c r="D280" s="172" t="s">
        <v>2247</v>
      </c>
      <c r="E280" s="171">
        <v>0</v>
      </c>
      <c r="F280" s="171">
        <v>112757.28</v>
      </c>
      <c r="G280" s="216">
        <f t="shared" si="43"/>
        <v>112757.28</v>
      </c>
      <c r="H280" s="217">
        <v>1500</v>
      </c>
      <c r="I280" s="217">
        <v>0</v>
      </c>
      <c r="J280" s="217">
        <v>0</v>
      </c>
      <c r="K280" s="217">
        <v>0</v>
      </c>
      <c r="L280" s="217">
        <f t="shared" si="44"/>
        <v>0</v>
      </c>
      <c r="M280" s="217">
        <v>0</v>
      </c>
      <c r="N280" s="217">
        <v>0</v>
      </c>
      <c r="O280" s="217">
        <v>0</v>
      </c>
      <c r="P280" s="217">
        <f t="shared" si="45"/>
        <v>0</v>
      </c>
      <c r="Q280" s="216">
        <v>0</v>
      </c>
      <c r="R280" s="216">
        <v>0</v>
      </c>
      <c r="S280" s="216">
        <v>0</v>
      </c>
      <c r="T280" s="216">
        <v>0</v>
      </c>
      <c r="U280" s="216">
        <f t="shared" si="46"/>
        <v>0</v>
      </c>
      <c r="V280" s="216">
        <f t="shared" si="47"/>
        <v>114257.28</v>
      </c>
      <c r="W280" s="171">
        <v>0</v>
      </c>
      <c r="X280" s="171">
        <f t="shared" si="48"/>
        <v>114257.28</v>
      </c>
      <c r="Y280" s="172">
        <v>246366.77</v>
      </c>
      <c r="Z280" s="171">
        <f t="shared" si="49"/>
        <v>360624.05</v>
      </c>
    </row>
    <row r="281" spans="1:26" ht="12.75" hidden="1" outlineLevel="1">
      <c r="A281" s="171" t="s">
        <v>2248</v>
      </c>
      <c r="C281" s="172" t="s">
        <v>2249</v>
      </c>
      <c r="D281" s="172" t="s">
        <v>2250</v>
      </c>
      <c r="E281" s="171">
        <v>0</v>
      </c>
      <c r="F281" s="171">
        <v>352418.61</v>
      </c>
      <c r="G281" s="216">
        <f t="shared" si="43"/>
        <v>352418.61</v>
      </c>
      <c r="H281" s="217">
        <v>1361606.47</v>
      </c>
      <c r="I281" s="217">
        <v>0</v>
      </c>
      <c r="J281" s="217">
        <v>0</v>
      </c>
      <c r="K281" s="217">
        <v>0</v>
      </c>
      <c r="L281" s="217">
        <f t="shared" si="44"/>
        <v>0</v>
      </c>
      <c r="M281" s="217">
        <v>0</v>
      </c>
      <c r="N281" s="217">
        <v>0</v>
      </c>
      <c r="O281" s="217">
        <v>0</v>
      </c>
      <c r="P281" s="217">
        <f t="shared" si="45"/>
        <v>0</v>
      </c>
      <c r="Q281" s="216">
        <v>0</v>
      </c>
      <c r="R281" s="216">
        <v>0</v>
      </c>
      <c r="S281" s="216">
        <v>0</v>
      </c>
      <c r="T281" s="216">
        <v>0</v>
      </c>
      <c r="U281" s="216">
        <f t="shared" si="46"/>
        <v>0</v>
      </c>
      <c r="V281" s="216">
        <f t="shared" si="47"/>
        <v>1714025.08</v>
      </c>
      <c r="W281" s="171">
        <v>0</v>
      </c>
      <c r="X281" s="171">
        <f t="shared" si="48"/>
        <v>1714025.08</v>
      </c>
      <c r="Y281" s="172">
        <v>0</v>
      </c>
      <c r="Z281" s="171">
        <f t="shared" si="49"/>
        <v>1714025.08</v>
      </c>
    </row>
    <row r="282" spans="1:26" ht="12.75" hidden="1" outlineLevel="1">
      <c r="A282" s="171" t="s">
        <v>2251</v>
      </c>
      <c r="C282" s="172" t="s">
        <v>2252</v>
      </c>
      <c r="D282" s="172" t="s">
        <v>2253</v>
      </c>
      <c r="E282" s="171">
        <v>0</v>
      </c>
      <c r="F282" s="171">
        <v>121848.15</v>
      </c>
      <c r="G282" s="216">
        <f t="shared" si="43"/>
        <v>121848.15</v>
      </c>
      <c r="H282" s="217">
        <v>2983029.37</v>
      </c>
      <c r="I282" s="217">
        <v>0</v>
      </c>
      <c r="J282" s="217">
        <v>0</v>
      </c>
      <c r="K282" s="217">
        <v>0</v>
      </c>
      <c r="L282" s="217">
        <f t="shared" si="44"/>
        <v>0</v>
      </c>
      <c r="M282" s="217">
        <v>0</v>
      </c>
      <c r="N282" s="217">
        <v>0</v>
      </c>
      <c r="O282" s="217">
        <v>0</v>
      </c>
      <c r="P282" s="217">
        <f t="shared" si="45"/>
        <v>0</v>
      </c>
      <c r="Q282" s="216">
        <v>0</v>
      </c>
      <c r="R282" s="216">
        <v>0</v>
      </c>
      <c r="S282" s="216">
        <v>0</v>
      </c>
      <c r="T282" s="216">
        <v>0</v>
      </c>
      <c r="U282" s="216">
        <f t="shared" si="46"/>
        <v>0</v>
      </c>
      <c r="V282" s="216">
        <f t="shared" si="47"/>
        <v>3104877.52</v>
      </c>
      <c r="W282" s="171">
        <v>0</v>
      </c>
      <c r="X282" s="171">
        <f t="shared" si="48"/>
        <v>3104877.52</v>
      </c>
      <c r="Y282" s="172">
        <v>0</v>
      </c>
      <c r="Z282" s="171">
        <f t="shared" si="49"/>
        <v>3104877.52</v>
      </c>
    </row>
    <row r="283" spans="1:26" ht="12.75" hidden="1" outlineLevel="1">
      <c r="A283" s="171" t="s">
        <v>2254</v>
      </c>
      <c r="C283" s="172" t="s">
        <v>2255</v>
      </c>
      <c r="D283" s="172" t="s">
        <v>2256</v>
      </c>
      <c r="E283" s="171">
        <v>0</v>
      </c>
      <c r="F283" s="171">
        <v>439102.45</v>
      </c>
      <c r="G283" s="216">
        <f t="shared" si="43"/>
        <v>439102.45</v>
      </c>
      <c r="H283" s="217">
        <v>50828.5</v>
      </c>
      <c r="I283" s="217">
        <v>0</v>
      </c>
      <c r="J283" s="217">
        <v>0</v>
      </c>
      <c r="K283" s="217">
        <v>0</v>
      </c>
      <c r="L283" s="217">
        <f t="shared" si="44"/>
        <v>0</v>
      </c>
      <c r="M283" s="217">
        <v>0</v>
      </c>
      <c r="N283" s="217">
        <v>0</v>
      </c>
      <c r="O283" s="217">
        <v>0</v>
      </c>
      <c r="P283" s="217">
        <f t="shared" si="45"/>
        <v>0</v>
      </c>
      <c r="Q283" s="216">
        <v>0</v>
      </c>
      <c r="R283" s="216">
        <v>0</v>
      </c>
      <c r="S283" s="216">
        <v>0</v>
      </c>
      <c r="T283" s="216">
        <v>0</v>
      </c>
      <c r="U283" s="216">
        <f t="shared" si="46"/>
        <v>0</v>
      </c>
      <c r="V283" s="216">
        <f t="shared" si="47"/>
        <v>489930.95</v>
      </c>
      <c r="W283" s="171">
        <v>0</v>
      </c>
      <c r="X283" s="171">
        <f t="shared" si="48"/>
        <v>489930.95</v>
      </c>
      <c r="Y283" s="172">
        <v>0</v>
      </c>
      <c r="Z283" s="171">
        <f t="shared" si="49"/>
        <v>489930.95</v>
      </c>
    </row>
    <row r="284" spans="1:26" ht="12.75" hidden="1" outlineLevel="1">
      <c r="A284" s="171" t="s">
        <v>2257</v>
      </c>
      <c r="C284" s="172" t="s">
        <v>2258</v>
      </c>
      <c r="D284" s="172" t="s">
        <v>2259</v>
      </c>
      <c r="E284" s="171">
        <v>0</v>
      </c>
      <c r="F284" s="171">
        <v>929223.35</v>
      </c>
      <c r="G284" s="216">
        <f t="shared" si="43"/>
        <v>929223.35</v>
      </c>
      <c r="H284" s="217">
        <v>9031.25</v>
      </c>
      <c r="I284" s="217">
        <v>0</v>
      </c>
      <c r="J284" s="217">
        <v>0</v>
      </c>
      <c r="K284" s="217">
        <v>0</v>
      </c>
      <c r="L284" s="217">
        <f t="shared" si="44"/>
        <v>0</v>
      </c>
      <c r="M284" s="217">
        <v>0</v>
      </c>
      <c r="N284" s="217">
        <v>0</v>
      </c>
      <c r="O284" s="217">
        <v>0</v>
      </c>
      <c r="P284" s="217">
        <f t="shared" si="45"/>
        <v>0</v>
      </c>
      <c r="Q284" s="216">
        <v>11194</v>
      </c>
      <c r="R284" s="216">
        <v>0</v>
      </c>
      <c r="S284" s="216">
        <v>0</v>
      </c>
      <c r="T284" s="216">
        <v>0</v>
      </c>
      <c r="U284" s="216">
        <f t="shared" si="46"/>
        <v>11194</v>
      </c>
      <c r="V284" s="216">
        <f t="shared" si="47"/>
        <v>949448.6</v>
      </c>
      <c r="W284" s="171">
        <v>0</v>
      </c>
      <c r="X284" s="171">
        <f t="shared" si="48"/>
        <v>949448.6</v>
      </c>
      <c r="Y284" s="172">
        <v>1776.81</v>
      </c>
      <c r="Z284" s="171">
        <f t="shared" si="49"/>
        <v>951225.41</v>
      </c>
    </row>
    <row r="285" spans="1:26" ht="12.75" hidden="1" outlineLevel="1">
      <c r="A285" s="171" t="s">
        <v>2260</v>
      </c>
      <c r="C285" s="172" t="s">
        <v>2261</v>
      </c>
      <c r="D285" s="172" t="s">
        <v>2262</v>
      </c>
      <c r="E285" s="171">
        <v>0</v>
      </c>
      <c r="F285" s="171">
        <v>14932.2</v>
      </c>
      <c r="G285" s="216">
        <f t="shared" si="43"/>
        <v>14932.2</v>
      </c>
      <c r="H285" s="217">
        <v>0</v>
      </c>
      <c r="I285" s="217">
        <v>0</v>
      </c>
      <c r="J285" s="217">
        <v>0</v>
      </c>
      <c r="K285" s="217">
        <v>0</v>
      </c>
      <c r="L285" s="217">
        <f t="shared" si="44"/>
        <v>0</v>
      </c>
      <c r="M285" s="217">
        <v>0</v>
      </c>
      <c r="N285" s="217">
        <v>0</v>
      </c>
      <c r="O285" s="217">
        <v>0</v>
      </c>
      <c r="P285" s="217">
        <f t="shared" si="45"/>
        <v>0</v>
      </c>
      <c r="Q285" s="216">
        <v>0</v>
      </c>
      <c r="R285" s="216">
        <v>0</v>
      </c>
      <c r="S285" s="216">
        <v>0</v>
      </c>
      <c r="T285" s="216">
        <v>0</v>
      </c>
      <c r="U285" s="216">
        <f t="shared" si="46"/>
        <v>0</v>
      </c>
      <c r="V285" s="216">
        <f t="shared" si="47"/>
        <v>14932.2</v>
      </c>
      <c r="W285" s="171">
        <v>0</v>
      </c>
      <c r="X285" s="171">
        <f t="shared" si="48"/>
        <v>14932.2</v>
      </c>
      <c r="Y285" s="172">
        <v>0</v>
      </c>
      <c r="Z285" s="171">
        <f t="shared" si="49"/>
        <v>14932.2</v>
      </c>
    </row>
    <row r="286" spans="1:26" ht="12.75" hidden="1" outlineLevel="1">
      <c r="A286" s="171" t="s">
        <v>2263</v>
      </c>
      <c r="C286" s="172" t="s">
        <v>2264</v>
      </c>
      <c r="D286" s="172" t="s">
        <v>2265</v>
      </c>
      <c r="E286" s="171">
        <v>0</v>
      </c>
      <c r="F286" s="171">
        <v>2371.34</v>
      </c>
      <c r="G286" s="216">
        <f t="shared" si="43"/>
        <v>2371.34</v>
      </c>
      <c r="H286" s="217">
        <v>0</v>
      </c>
      <c r="I286" s="217">
        <v>0</v>
      </c>
      <c r="J286" s="217">
        <v>0</v>
      </c>
      <c r="K286" s="217">
        <v>0</v>
      </c>
      <c r="L286" s="217">
        <f t="shared" si="44"/>
        <v>0</v>
      </c>
      <c r="M286" s="217">
        <v>0</v>
      </c>
      <c r="N286" s="217">
        <v>0</v>
      </c>
      <c r="O286" s="217">
        <v>0</v>
      </c>
      <c r="P286" s="217">
        <f t="shared" si="45"/>
        <v>0</v>
      </c>
      <c r="Q286" s="216">
        <v>0</v>
      </c>
      <c r="R286" s="216">
        <v>0</v>
      </c>
      <c r="S286" s="216">
        <v>0</v>
      </c>
      <c r="T286" s="216">
        <v>0</v>
      </c>
      <c r="U286" s="216">
        <f t="shared" si="46"/>
        <v>0</v>
      </c>
      <c r="V286" s="216">
        <f t="shared" si="47"/>
        <v>2371.34</v>
      </c>
      <c r="W286" s="171">
        <v>0</v>
      </c>
      <c r="X286" s="171">
        <f t="shared" si="48"/>
        <v>2371.34</v>
      </c>
      <c r="Y286" s="172">
        <v>7125.23</v>
      </c>
      <c r="Z286" s="171">
        <f t="shared" si="49"/>
        <v>9496.57</v>
      </c>
    </row>
    <row r="287" spans="1:26" ht="12.75" hidden="1" outlineLevel="1">
      <c r="A287" s="171" t="s">
        <v>2266</v>
      </c>
      <c r="C287" s="172" t="s">
        <v>2267</v>
      </c>
      <c r="D287" s="172" t="s">
        <v>2268</v>
      </c>
      <c r="E287" s="171">
        <v>0</v>
      </c>
      <c r="F287" s="171">
        <v>251945.28</v>
      </c>
      <c r="G287" s="216">
        <f t="shared" si="43"/>
        <v>251945.28</v>
      </c>
      <c r="H287" s="217">
        <v>17434.97</v>
      </c>
      <c r="I287" s="217">
        <v>0</v>
      </c>
      <c r="J287" s="217">
        <v>0</v>
      </c>
      <c r="K287" s="217">
        <v>0</v>
      </c>
      <c r="L287" s="217">
        <f t="shared" si="44"/>
        <v>0</v>
      </c>
      <c r="M287" s="217">
        <v>0</v>
      </c>
      <c r="N287" s="217">
        <v>0</v>
      </c>
      <c r="O287" s="217">
        <v>0</v>
      </c>
      <c r="P287" s="217">
        <f t="shared" si="45"/>
        <v>0</v>
      </c>
      <c r="Q287" s="216">
        <v>0</v>
      </c>
      <c r="R287" s="216">
        <v>0</v>
      </c>
      <c r="S287" s="216">
        <v>0</v>
      </c>
      <c r="T287" s="216">
        <v>0</v>
      </c>
      <c r="U287" s="216">
        <f t="shared" si="46"/>
        <v>0</v>
      </c>
      <c r="V287" s="216">
        <f t="shared" si="47"/>
        <v>269380.25</v>
      </c>
      <c r="W287" s="171">
        <v>0</v>
      </c>
      <c r="X287" s="171">
        <f t="shared" si="48"/>
        <v>269380.25</v>
      </c>
      <c r="Y287" s="172">
        <v>0</v>
      </c>
      <c r="Z287" s="171">
        <f t="shared" si="49"/>
        <v>269380.25</v>
      </c>
    </row>
    <row r="288" spans="1:26" ht="12.75" hidden="1" outlineLevel="1">
      <c r="A288" s="171" t="s">
        <v>2269</v>
      </c>
      <c r="C288" s="172" t="s">
        <v>2270</v>
      </c>
      <c r="D288" s="172" t="s">
        <v>2271</v>
      </c>
      <c r="E288" s="171">
        <v>0</v>
      </c>
      <c r="F288" s="171">
        <v>25325.34</v>
      </c>
      <c r="G288" s="216">
        <f t="shared" si="43"/>
        <v>25325.34</v>
      </c>
      <c r="H288" s="217">
        <v>0</v>
      </c>
      <c r="I288" s="217">
        <v>0</v>
      </c>
      <c r="J288" s="217">
        <v>0</v>
      </c>
      <c r="K288" s="217">
        <v>0</v>
      </c>
      <c r="L288" s="217">
        <f t="shared" si="44"/>
        <v>0</v>
      </c>
      <c r="M288" s="217">
        <v>0</v>
      </c>
      <c r="N288" s="217">
        <v>0</v>
      </c>
      <c r="O288" s="217">
        <v>0</v>
      </c>
      <c r="P288" s="217">
        <f t="shared" si="45"/>
        <v>0</v>
      </c>
      <c r="Q288" s="216">
        <v>0</v>
      </c>
      <c r="R288" s="216">
        <v>0</v>
      </c>
      <c r="S288" s="216">
        <v>0</v>
      </c>
      <c r="T288" s="216">
        <v>0</v>
      </c>
      <c r="U288" s="216">
        <f t="shared" si="46"/>
        <v>0</v>
      </c>
      <c r="V288" s="216">
        <f t="shared" si="47"/>
        <v>25325.34</v>
      </c>
      <c r="W288" s="171">
        <v>0</v>
      </c>
      <c r="X288" s="171">
        <f t="shared" si="48"/>
        <v>25325.34</v>
      </c>
      <c r="Y288" s="172">
        <v>51234.38</v>
      </c>
      <c r="Z288" s="171">
        <f t="shared" si="49"/>
        <v>76559.72</v>
      </c>
    </row>
    <row r="289" spans="1:26" ht="12.75" hidden="1" outlineLevel="1">
      <c r="A289" s="171" t="s">
        <v>2272</v>
      </c>
      <c r="C289" s="172" t="s">
        <v>2273</v>
      </c>
      <c r="D289" s="172" t="s">
        <v>2274</v>
      </c>
      <c r="E289" s="171">
        <v>0</v>
      </c>
      <c r="F289" s="171">
        <v>-22062.96</v>
      </c>
      <c r="G289" s="216">
        <f t="shared" si="43"/>
        <v>-22062.96</v>
      </c>
      <c r="H289" s="217">
        <v>27902.74</v>
      </c>
      <c r="I289" s="217">
        <v>0</v>
      </c>
      <c r="J289" s="217">
        <v>0</v>
      </c>
      <c r="K289" s="217">
        <v>0</v>
      </c>
      <c r="L289" s="217">
        <f t="shared" si="44"/>
        <v>0</v>
      </c>
      <c r="M289" s="217">
        <v>0</v>
      </c>
      <c r="N289" s="217">
        <v>0</v>
      </c>
      <c r="O289" s="217">
        <v>0</v>
      </c>
      <c r="P289" s="217">
        <f t="shared" si="45"/>
        <v>0</v>
      </c>
      <c r="Q289" s="216">
        <v>0</v>
      </c>
      <c r="R289" s="216">
        <v>0</v>
      </c>
      <c r="S289" s="216">
        <v>0</v>
      </c>
      <c r="T289" s="216">
        <v>0</v>
      </c>
      <c r="U289" s="216">
        <f t="shared" si="46"/>
        <v>0</v>
      </c>
      <c r="V289" s="216">
        <f t="shared" si="47"/>
        <v>5839.7800000000025</v>
      </c>
      <c r="W289" s="171">
        <v>0</v>
      </c>
      <c r="X289" s="171">
        <f t="shared" si="48"/>
        <v>5839.7800000000025</v>
      </c>
      <c r="Y289" s="172">
        <v>400</v>
      </c>
      <c r="Z289" s="171">
        <f t="shared" si="49"/>
        <v>6239.7800000000025</v>
      </c>
    </row>
    <row r="290" spans="1:26" ht="12.75" hidden="1" outlineLevel="1">
      <c r="A290" s="171" t="s">
        <v>2275</v>
      </c>
      <c r="C290" s="172" t="s">
        <v>2276</v>
      </c>
      <c r="D290" s="172" t="s">
        <v>2277</v>
      </c>
      <c r="E290" s="171">
        <v>0</v>
      </c>
      <c r="F290" s="171">
        <v>494983.96</v>
      </c>
      <c r="G290" s="216">
        <f t="shared" si="43"/>
        <v>494983.96</v>
      </c>
      <c r="H290" s="217">
        <v>117559.78</v>
      </c>
      <c r="I290" s="217">
        <v>0</v>
      </c>
      <c r="J290" s="217">
        <v>0</v>
      </c>
      <c r="K290" s="217">
        <v>0</v>
      </c>
      <c r="L290" s="217">
        <f t="shared" si="44"/>
        <v>0</v>
      </c>
      <c r="M290" s="217">
        <v>0</v>
      </c>
      <c r="N290" s="217">
        <v>0</v>
      </c>
      <c r="O290" s="217">
        <v>0</v>
      </c>
      <c r="P290" s="217">
        <f t="shared" si="45"/>
        <v>0</v>
      </c>
      <c r="Q290" s="216">
        <v>0</v>
      </c>
      <c r="R290" s="216">
        <v>0</v>
      </c>
      <c r="S290" s="216">
        <v>0</v>
      </c>
      <c r="T290" s="216">
        <v>0</v>
      </c>
      <c r="U290" s="216">
        <f t="shared" si="46"/>
        <v>0</v>
      </c>
      <c r="V290" s="216">
        <f t="shared" si="47"/>
        <v>612543.74</v>
      </c>
      <c r="W290" s="171">
        <v>0</v>
      </c>
      <c r="X290" s="171">
        <f t="shared" si="48"/>
        <v>612543.74</v>
      </c>
      <c r="Y290" s="172">
        <v>0</v>
      </c>
      <c r="Z290" s="171">
        <f t="shared" si="49"/>
        <v>612543.74</v>
      </c>
    </row>
    <row r="291" spans="1:26" ht="12.75" hidden="1" outlineLevel="1">
      <c r="A291" s="171" t="s">
        <v>941</v>
      </c>
      <c r="C291" s="172" t="s">
        <v>942</v>
      </c>
      <c r="D291" s="172" t="s">
        <v>943</v>
      </c>
      <c r="E291" s="171">
        <v>0</v>
      </c>
      <c r="F291" s="171">
        <v>12150</v>
      </c>
      <c r="G291" s="216">
        <f t="shared" si="43"/>
        <v>12150</v>
      </c>
      <c r="H291" s="217">
        <v>0</v>
      </c>
      <c r="I291" s="217">
        <v>0</v>
      </c>
      <c r="J291" s="217">
        <v>0</v>
      </c>
      <c r="K291" s="217">
        <v>0</v>
      </c>
      <c r="L291" s="217">
        <f t="shared" si="44"/>
        <v>0</v>
      </c>
      <c r="M291" s="217">
        <v>0</v>
      </c>
      <c r="N291" s="217">
        <v>0</v>
      </c>
      <c r="O291" s="217">
        <v>0</v>
      </c>
      <c r="P291" s="217">
        <f t="shared" si="45"/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f t="shared" si="46"/>
        <v>0</v>
      </c>
      <c r="V291" s="216">
        <f t="shared" si="47"/>
        <v>12150</v>
      </c>
      <c r="W291" s="171">
        <v>0</v>
      </c>
      <c r="X291" s="171">
        <f t="shared" si="48"/>
        <v>12150</v>
      </c>
      <c r="Y291" s="172">
        <v>0</v>
      </c>
      <c r="Z291" s="171">
        <f t="shared" si="49"/>
        <v>12150</v>
      </c>
    </row>
    <row r="292" spans="1:26" ht="12.75" hidden="1" outlineLevel="1">
      <c r="A292" s="171" t="s">
        <v>2278</v>
      </c>
      <c r="C292" s="172" t="s">
        <v>944</v>
      </c>
      <c r="D292" s="172" t="s">
        <v>2279</v>
      </c>
      <c r="E292" s="171">
        <v>0</v>
      </c>
      <c r="F292" s="171">
        <v>234965.02</v>
      </c>
      <c r="G292" s="216">
        <f t="shared" si="43"/>
        <v>234965.02</v>
      </c>
      <c r="H292" s="217">
        <v>12013.8</v>
      </c>
      <c r="I292" s="217">
        <v>0</v>
      </c>
      <c r="J292" s="217">
        <v>0</v>
      </c>
      <c r="K292" s="217">
        <v>0</v>
      </c>
      <c r="L292" s="217">
        <f t="shared" si="44"/>
        <v>0</v>
      </c>
      <c r="M292" s="217">
        <v>0</v>
      </c>
      <c r="N292" s="217">
        <v>0</v>
      </c>
      <c r="O292" s="217">
        <v>0</v>
      </c>
      <c r="P292" s="217">
        <f t="shared" si="45"/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f t="shared" si="46"/>
        <v>0</v>
      </c>
      <c r="V292" s="216">
        <f t="shared" si="47"/>
        <v>246978.81999999998</v>
      </c>
      <c r="W292" s="171">
        <v>0</v>
      </c>
      <c r="X292" s="171">
        <f t="shared" si="48"/>
        <v>246978.81999999998</v>
      </c>
      <c r="Y292" s="172">
        <v>70432.71</v>
      </c>
      <c r="Z292" s="171">
        <f t="shared" si="49"/>
        <v>317411.52999999997</v>
      </c>
    </row>
    <row r="293" spans="1:26" ht="12.75" hidden="1" outlineLevel="1">
      <c r="A293" s="171" t="s">
        <v>2280</v>
      </c>
      <c r="C293" s="172" t="s">
        <v>945</v>
      </c>
      <c r="D293" s="172" t="s">
        <v>2281</v>
      </c>
      <c r="E293" s="171">
        <v>0</v>
      </c>
      <c r="F293" s="171">
        <v>126709.07</v>
      </c>
      <c r="G293" s="216">
        <f t="shared" si="43"/>
        <v>126709.07</v>
      </c>
      <c r="H293" s="217">
        <v>5560.94</v>
      </c>
      <c r="I293" s="217">
        <v>0</v>
      </c>
      <c r="J293" s="217">
        <v>0</v>
      </c>
      <c r="K293" s="217">
        <v>0</v>
      </c>
      <c r="L293" s="217">
        <f t="shared" si="44"/>
        <v>0</v>
      </c>
      <c r="M293" s="217">
        <v>0</v>
      </c>
      <c r="N293" s="217">
        <v>0</v>
      </c>
      <c r="O293" s="217">
        <v>0</v>
      </c>
      <c r="P293" s="217">
        <f t="shared" si="45"/>
        <v>0</v>
      </c>
      <c r="Q293" s="216">
        <v>0</v>
      </c>
      <c r="R293" s="216">
        <v>0</v>
      </c>
      <c r="S293" s="216">
        <v>0</v>
      </c>
      <c r="T293" s="216">
        <v>0</v>
      </c>
      <c r="U293" s="216">
        <f t="shared" si="46"/>
        <v>0</v>
      </c>
      <c r="V293" s="216">
        <f t="shared" si="47"/>
        <v>132270.01</v>
      </c>
      <c r="W293" s="171">
        <v>0</v>
      </c>
      <c r="X293" s="171">
        <f t="shared" si="48"/>
        <v>132270.01</v>
      </c>
      <c r="Y293" s="172">
        <v>17419.93</v>
      </c>
      <c r="Z293" s="171">
        <f t="shared" si="49"/>
        <v>149689.94</v>
      </c>
    </row>
    <row r="294" spans="1:26" ht="12.75" hidden="1" outlineLevel="1">
      <c r="A294" s="171" t="s">
        <v>2282</v>
      </c>
      <c r="C294" s="172" t="s">
        <v>2283</v>
      </c>
      <c r="D294" s="172" t="s">
        <v>2284</v>
      </c>
      <c r="E294" s="171">
        <v>0</v>
      </c>
      <c r="F294" s="171">
        <v>629378.07</v>
      </c>
      <c r="G294" s="216">
        <f t="shared" si="43"/>
        <v>629378.07</v>
      </c>
      <c r="H294" s="217">
        <v>674.44</v>
      </c>
      <c r="I294" s="217">
        <v>0</v>
      </c>
      <c r="J294" s="217">
        <v>0</v>
      </c>
      <c r="K294" s="217">
        <v>0</v>
      </c>
      <c r="L294" s="217">
        <f t="shared" si="44"/>
        <v>0</v>
      </c>
      <c r="M294" s="217">
        <v>0</v>
      </c>
      <c r="N294" s="217">
        <v>0</v>
      </c>
      <c r="O294" s="217">
        <v>0</v>
      </c>
      <c r="P294" s="217">
        <f t="shared" si="45"/>
        <v>0</v>
      </c>
      <c r="Q294" s="216">
        <v>0</v>
      </c>
      <c r="R294" s="216">
        <v>0</v>
      </c>
      <c r="S294" s="216">
        <v>0</v>
      </c>
      <c r="T294" s="216">
        <v>0</v>
      </c>
      <c r="U294" s="216">
        <f t="shared" si="46"/>
        <v>0</v>
      </c>
      <c r="V294" s="216">
        <f t="shared" si="47"/>
        <v>630052.5099999999</v>
      </c>
      <c r="W294" s="171">
        <v>0</v>
      </c>
      <c r="X294" s="171">
        <f t="shared" si="48"/>
        <v>630052.5099999999</v>
      </c>
      <c r="Y294" s="172">
        <v>175468.01</v>
      </c>
      <c r="Z294" s="171">
        <f t="shared" si="49"/>
        <v>805520.5199999999</v>
      </c>
    </row>
    <row r="295" spans="1:26" ht="12.75" hidden="1" outlineLevel="1">
      <c r="A295" s="171" t="s">
        <v>2285</v>
      </c>
      <c r="C295" s="172" t="s">
        <v>2286</v>
      </c>
      <c r="D295" s="172" t="s">
        <v>2287</v>
      </c>
      <c r="E295" s="171">
        <v>0</v>
      </c>
      <c r="F295" s="171">
        <v>2716364.98</v>
      </c>
      <c r="G295" s="216">
        <f t="shared" si="43"/>
        <v>2716364.98</v>
      </c>
      <c r="H295" s="217">
        <v>22108.61</v>
      </c>
      <c r="I295" s="217">
        <v>0</v>
      </c>
      <c r="J295" s="217">
        <v>0</v>
      </c>
      <c r="K295" s="217">
        <v>0</v>
      </c>
      <c r="L295" s="217">
        <f t="shared" si="44"/>
        <v>0</v>
      </c>
      <c r="M295" s="217">
        <v>0</v>
      </c>
      <c r="N295" s="217">
        <v>0</v>
      </c>
      <c r="O295" s="217">
        <v>0</v>
      </c>
      <c r="P295" s="217">
        <f t="shared" si="45"/>
        <v>0</v>
      </c>
      <c r="Q295" s="216">
        <v>121418.93</v>
      </c>
      <c r="R295" s="216">
        <v>10249</v>
      </c>
      <c r="S295" s="216">
        <v>0</v>
      </c>
      <c r="T295" s="216">
        <v>0</v>
      </c>
      <c r="U295" s="216">
        <f t="shared" si="46"/>
        <v>131667.93</v>
      </c>
      <c r="V295" s="216">
        <f t="shared" si="47"/>
        <v>2870141.52</v>
      </c>
      <c r="W295" s="171">
        <v>0</v>
      </c>
      <c r="X295" s="171">
        <f t="shared" si="48"/>
        <v>2870141.52</v>
      </c>
      <c r="Y295" s="172">
        <v>-19839.41</v>
      </c>
      <c r="Z295" s="171">
        <f t="shared" si="49"/>
        <v>2850302.11</v>
      </c>
    </row>
    <row r="296" spans="1:26" ht="12.75" hidden="1" outlineLevel="1">
      <c r="A296" s="171" t="s">
        <v>2288</v>
      </c>
      <c r="C296" s="172" t="s">
        <v>2289</v>
      </c>
      <c r="D296" s="172" t="s">
        <v>2290</v>
      </c>
      <c r="E296" s="171">
        <v>0</v>
      </c>
      <c r="F296" s="171">
        <v>648262.91</v>
      </c>
      <c r="G296" s="216">
        <f t="shared" si="43"/>
        <v>648262.91</v>
      </c>
      <c r="H296" s="217">
        <v>85882.88</v>
      </c>
      <c r="I296" s="217">
        <v>0</v>
      </c>
      <c r="J296" s="217">
        <v>0</v>
      </c>
      <c r="K296" s="217">
        <v>0</v>
      </c>
      <c r="L296" s="217">
        <f t="shared" si="44"/>
        <v>0</v>
      </c>
      <c r="M296" s="217">
        <v>0</v>
      </c>
      <c r="N296" s="217">
        <v>0</v>
      </c>
      <c r="O296" s="217">
        <v>0</v>
      </c>
      <c r="P296" s="217">
        <f t="shared" si="45"/>
        <v>0</v>
      </c>
      <c r="Q296" s="216">
        <v>9124.76</v>
      </c>
      <c r="R296" s="216">
        <v>0</v>
      </c>
      <c r="S296" s="216">
        <v>0</v>
      </c>
      <c r="T296" s="216">
        <v>0</v>
      </c>
      <c r="U296" s="216">
        <f t="shared" si="46"/>
        <v>9124.76</v>
      </c>
      <c r="V296" s="216">
        <f t="shared" si="47"/>
        <v>743270.55</v>
      </c>
      <c r="W296" s="171">
        <v>0</v>
      </c>
      <c r="X296" s="171">
        <f t="shared" si="48"/>
        <v>743270.55</v>
      </c>
      <c r="Y296" s="172">
        <v>30385.72</v>
      </c>
      <c r="Z296" s="171">
        <f t="shared" si="49"/>
        <v>773656.27</v>
      </c>
    </row>
    <row r="297" spans="1:26" ht="12.75" hidden="1" outlineLevel="1">
      <c r="A297" s="171" t="s">
        <v>2291</v>
      </c>
      <c r="C297" s="172" t="s">
        <v>2292</v>
      </c>
      <c r="D297" s="172" t="s">
        <v>2293</v>
      </c>
      <c r="E297" s="171">
        <v>0</v>
      </c>
      <c r="F297" s="171">
        <v>15442.83</v>
      </c>
      <c r="G297" s="216">
        <f t="shared" si="43"/>
        <v>15442.83</v>
      </c>
      <c r="H297" s="217">
        <v>0</v>
      </c>
      <c r="I297" s="217">
        <v>0</v>
      </c>
      <c r="J297" s="217">
        <v>0</v>
      </c>
      <c r="K297" s="217">
        <v>0</v>
      </c>
      <c r="L297" s="217">
        <f t="shared" si="44"/>
        <v>0</v>
      </c>
      <c r="M297" s="217">
        <v>0</v>
      </c>
      <c r="N297" s="217">
        <v>0</v>
      </c>
      <c r="O297" s="217">
        <v>0</v>
      </c>
      <c r="P297" s="217">
        <f t="shared" si="45"/>
        <v>0</v>
      </c>
      <c r="Q297" s="216">
        <v>0</v>
      </c>
      <c r="R297" s="216">
        <v>0</v>
      </c>
      <c r="S297" s="216">
        <v>0</v>
      </c>
      <c r="T297" s="216">
        <v>0</v>
      </c>
      <c r="U297" s="216">
        <f t="shared" si="46"/>
        <v>0</v>
      </c>
      <c r="V297" s="216">
        <f t="shared" si="47"/>
        <v>15442.83</v>
      </c>
      <c r="W297" s="171">
        <v>0</v>
      </c>
      <c r="X297" s="171">
        <f t="shared" si="48"/>
        <v>15442.83</v>
      </c>
      <c r="Y297" s="172">
        <v>0</v>
      </c>
      <c r="Z297" s="171">
        <f t="shared" si="49"/>
        <v>15442.83</v>
      </c>
    </row>
    <row r="298" spans="1:26" ht="12.75" hidden="1" outlineLevel="1">
      <c r="A298" s="171" t="s">
        <v>2294</v>
      </c>
      <c r="C298" s="172" t="s">
        <v>2295</v>
      </c>
      <c r="D298" s="172" t="s">
        <v>2296</v>
      </c>
      <c r="E298" s="171">
        <v>0</v>
      </c>
      <c r="F298" s="171">
        <v>67560</v>
      </c>
      <c r="G298" s="216">
        <f t="shared" si="43"/>
        <v>67560</v>
      </c>
      <c r="H298" s="217">
        <v>0</v>
      </c>
      <c r="I298" s="217">
        <v>0</v>
      </c>
      <c r="J298" s="217">
        <v>0</v>
      </c>
      <c r="K298" s="217">
        <v>0</v>
      </c>
      <c r="L298" s="217">
        <f t="shared" si="44"/>
        <v>0</v>
      </c>
      <c r="M298" s="217">
        <v>0</v>
      </c>
      <c r="N298" s="217">
        <v>0</v>
      </c>
      <c r="O298" s="217">
        <v>0</v>
      </c>
      <c r="P298" s="217">
        <f t="shared" si="45"/>
        <v>0</v>
      </c>
      <c r="Q298" s="216">
        <v>0</v>
      </c>
      <c r="R298" s="216">
        <v>0</v>
      </c>
      <c r="S298" s="216">
        <v>0</v>
      </c>
      <c r="T298" s="216">
        <v>0</v>
      </c>
      <c r="U298" s="216">
        <f t="shared" si="46"/>
        <v>0</v>
      </c>
      <c r="V298" s="216">
        <f t="shared" si="47"/>
        <v>67560</v>
      </c>
      <c r="W298" s="171">
        <v>0</v>
      </c>
      <c r="X298" s="171">
        <f t="shared" si="48"/>
        <v>67560</v>
      </c>
      <c r="Y298" s="172">
        <v>0</v>
      </c>
      <c r="Z298" s="171">
        <f t="shared" si="49"/>
        <v>67560</v>
      </c>
    </row>
    <row r="299" spans="1:26" ht="12.75" hidden="1" outlineLevel="1">
      <c r="A299" s="171" t="s">
        <v>2297</v>
      </c>
      <c r="C299" s="172" t="s">
        <v>2298</v>
      </c>
      <c r="D299" s="172" t="s">
        <v>2299</v>
      </c>
      <c r="E299" s="171">
        <v>0</v>
      </c>
      <c r="F299" s="171">
        <v>80688</v>
      </c>
      <c r="G299" s="216">
        <f t="shared" si="43"/>
        <v>80688</v>
      </c>
      <c r="H299" s="217">
        <v>0</v>
      </c>
      <c r="I299" s="217">
        <v>0</v>
      </c>
      <c r="J299" s="217">
        <v>0</v>
      </c>
      <c r="K299" s="217">
        <v>0</v>
      </c>
      <c r="L299" s="217">
        <f t="shared" si="44"/>
        <v>0</v>
      </c>
      <c r="M299" s="217">
        <v>0</v>
      </c>
      <c r="N299" s="217">
        <v>0</v>
      </c>
      <c r="O299" s="217">
        <v>0</v>
      </c>
      <c r="P299" s="217">
        <f t="shared" si="45"/>
        <v>0</v>
      </c>
      <c r="Q299" s="216">
        <v>0</v>
      </c>
      <c r="R299" s="216">
        <v>0</v>
      </c>
      <c r="S299" s="216">
        <v>0</v>
      </c>
      <c r="T299" s="216">
        <v>0</v>
      </c>
      <c r="U299" s="216">
        <f t="shared" si="46"/>
        <v>0</v>
      </c>
      <c r="V299" s="216">
        <f t="shared" si="47"/>
        <v>80688</v>
      </c>
      <c r="W299" s="171">
        <v>0</v>
      </c>
      <c r="X299" s="171">
        <f t="shared" si="48"/>
        <v>80688</v>
      </c>
      <c r="Y299" s="172">
        <v>0</v>
      </c>
      <c r="Z299" s="171">
        <f t="shared" si="49"/>
        <v>80688</v>
      </c>
    </row>
    <row r="300" spans="1:26" ht="12.75" hidden="1" outlineLevel="1">
      <c r="A300" s="171" t="s">
        <v>2300</v>
      </c>
      <c r="C300" s="172" t="s">
        <v>2301</v>
      </c>
      <c r="D300" s="172" t="s">
        <v>2302</v>
      </c>
      <c r="E300" s="171">
        <v>0</v>
      </c>
      <c r="F300" s="171">
        <v>43557.12</v>
      </c>
      <c r="G300" s="216">
        <f t="shared" si="43"/>
        <v>43557.12</v>
      </c>
      <c r="H300" s="217">
        <v>0</v>
      </c>
      <c r="I300" s="217">
        <v>0</v>
      </c>
      <c r="J300" s="217">
        <v>0</v>
      </c>
      <c r="K300" s="217">
        <v>0</v>
      </c>
      <c r="L300" s="217">
        <f t="shared" si="44"/>
        <v>0</v>
      </c>
      <c r="M300" s="217">
        <v>0</v>
      </c>
      <c r="N300" s="217">
        <v>0</v>
      </c>
      <c r="O300" s="217">
        <v>0</v>
      </c>
      <c r="P300" s="217">
        <f t="shared" si="45"/>
        <v>0</v>
      </c>
      <c r="Q300" s="216">
        <v>0</v>
      </c>
      <c r="R300" s="216">
        <v>0</v>
      </c>
      <c r="S300" s="216">
        <v>0</v>
      </c>
      <c r="T300" s="216">
        <v>0</v>
      </c>
      <c r="U300" s="216">
        <f t="shared" si="46"/>
        <v>0</v>
      </c>
      <c r="V300" s="216">
        <f t="shared" si="47"/>
        <v>43557.12</v>
      </c>
      <c r="W300" s="171">
        <v>0</v>
      </c>
      <c r="X300" s="171">
        <f t="shared" si="48"/>
        <v>43557.12</v>
      </c>
      <c r="Y300" s="172">
        <v>0</v>
      </c>
      <c r="Z300" s="171">
        <f t="shared" si="49"/>
        <v>43557.12</v>
      </c>
    </row>
    <row r="301" spans="1:26" ht="12.75" hidden="1" outlineLevel="1">
      <c r="A301" s="171" t="s">
        <v>2303</v>
      </c>
      <c r="C301" s="172" t="s">
        <v>2304</v>
      </c>
      <c r="D301" s="172" t="s">
        <v>2305</v>
      </c>
      <c r="E301" s="171">
        <v>0</v>
      </c>
      <c r="F301" s="171">
        <v>3237825.39</v>
      </c>
      <c r="G301" s="216">
        <f t="shared" si="43"/>
        <v>3237825.39</v>
      </c>
      <c r="H301" s="217">
        <v>1771.89</v>
      </c>
      <c r="I301" s="217">
        <v>0</v>
      </c>
      <c r="J301" s="217">
        <v>0</v>
      </c>
      <c r="K301" s="217">
        <v>0</v>
      </c>
      <c r="L301" s="217">
        <f t="shared" si="44"/>
        <v>0</v>
      </c>
      <c r="M301" s="217">
        <v>0</v>
      </c>
      <c r="N301" s="217">
        <v>0</v>
      </c>
      <c r="O301" s="217">
        <v>0</v>
      </c>
      <c r="P301" s="217">
        <f t="shared" si="45"/>
        <v>0</v>
      </c>
      <c r="Q301" s="216">
        <v>0</v>
      </c>
      <c r="R301" s="216">
        <v>0</v>
      </c>
      <c r="S301" s="216">
        <v>0</v>
      </c>
      <c r="T301" s="216">
        <v>0</v>
      </c>
      <c r="U301" s="216">
        <f t="shared" si="46"/>
        <v>0</v>
      </c>
      <c r="V301" s="216">
        <f t="shared" si="47"/>
        <v>3239597.2800000003</v>
      </c>
      <c r="W301" s="171">
        <v>0</v>
      </c>
      <c r="X301" s="171">
        <f t="shared" si="48"/>
        <v>3239597.2800000003</v>
      </c>
      <c r="Y301" s="172">
        <v>8285.06</v>
      </c>
      <c r="Z301" s="171">
        <f t="shared" si="49"/>
        <v>3247882.3400000003</v>
      </c>
    </row>
    <row r="302" spans="1:26" ht="12.75" hidden="1" outlineLevel="1">
      <c r="A302" s="171" t="s">
        <v>2306</v>
      </c>
      <c r="C302" s="172" t="s">
        <v>2307</v>
      </c>
      <c r="D302" s="172" t="s">
        <v>2308</v>
      </c>
      <c r="E302" s="171">
        <v>0</v>
      </c>
      <c r="F302" s="171">
        <v>486341.47</v>
      </c>
      <c r="G302" s="216">
        <f t="shared" si="43"/>
        <v>486341.47</v>
      </c>
      <c r="H302" s="217">
        <v>0</v>
      </c>
      <c r="I302" s="217">
        <v>0</v>
      </c>
      <c r="J302" s="217">
        <v>0</v>
      </c>
      <c r="K302" s="217">
        <v>0</v>
      </c>
      <c r="L302" s="217">
        <f t="shared" si="44"/>
        <v>0</v>
      </c>
      <c r="M302" s="217">
        <v>0</v>
      </c>
      <c r="N302" s="217">
        <v>0</v>
      </c>
      <c r="O302" s="217">
        <v>0</v>
      </c>
      <c r="P302" s="217">
        <f t="shared" si="45"/>
        <v>0</v>
      </c>
      <c r="Q302" s="216">
        <v>0</v>
      </c>
      <c r="R302" s="216">
        <v>0</v>
      </c>
      <c r="S302" s="216">
        <v>0</v>
      </c>
      <c r="T302" s="216">
        <v>0</v>
      </c>
      <c r="U302" s="216">
        <f t="shared" si="46"/>
        <v>0</v>
      </c>
      <c r="V302" s="216">
        <f t="shared" si="47"/>
        <v>486341.47</v>
      </c>
      <c r="W302" s="171">
        <v>0</v>
      </c>
      <c r="X302" s="171">
        <f t="shared" si="48"/>
        <v>486341.47</v>
      </c>
      <c r="Y302" s="172">
        <v>17932.35</v>
      </c>
      <c r="Z302" s="171">
        <f t="shared" si="49"/>
        <v>504273.81999999995</v>
      </c>
    </row>
    <row r="303" spans="1:26" ht="12.75" hidden="1" outlineLevel="1">
      <c r="A303" s="171" t="s">
        <v>2309</v>
      </c>
      <c r="C303" s="172" t="s">
        <v>2310</v>
      </c>
      <c r="D303" s="172" t="s">
        <v>2311</v>
      </c>
      <c r="E303" s="171">
        <v>0</v>
      </c>
      <c r="F303" s="171">
        <v>1823791.99</v>
      </c>
      <c r="G303" s="216">
        <f t="shared" si="43"/>
        <v>1823791.99</v>
      </c>
      <c r="H303" s="217">
        <v>0</v>
      </c>
      <c r="I303" s="217">
        <v>0</v>
      </c>
      <c r="J303" s="217">
        <v>0</v>
      </c>
      <c r="K303" s="217">
        <v>0</v>
      </c>
      <c r="L303" s="217">
        <f t="shared" si="44"/>
        <v>0</v>
      </c>
      <c r="M303" s="217">
        <v>0</v>
      </c>
      <c r="N303" s="217">
        <v>0</v>
      </c>
      <c r="O303" s="217">
        <v>0</v>
      </c>
      <c r="P303" s="217">
        <f t="shared" si="45"/>
        <v>0</v>
      </c>
      <c r="Q303" s="216">
        <v>0</v>
      </c>
      <c r="R303" s="216">
        <v>0</v>
      </c>
      <c r="S303" s="216">
        <v>0</v>
      </c>
      <c r="T303" s="216">
        <v>0</v>
      </c>
      <c r="U303" s="216">
        <f t="shared" si="46"/>
        <v>0</v>
      </c>
      <c r="V303" s="216">
        <f t="shared" si="47"/>
        <v>1823791.99</v>
      </c>
      <c r="W303" s="171">
        <v>0</v>
      </c>
      <c r="X303" s="171">
        <f t="shared" si="48"/>
        <v>1823791.99</v>
      </c>
      <c r="Y303" s="172">
        <v>23004.65</v>
      </c>
      <c r="Z303" s="171">
        <f t="shared" si="49"/>
        <v>1846796.64</v>
      </c>
    </row>
    <row r="304" spans="1:26" ht="12.75" hidden="1" outlineLevel="1">
      <c r="A304" s="171" t="s">
        <v>2312</v>
      </c>
      <c r="C304" s="172" t="s">
        <v>2313</v>
      </c>
      <c r="D304" s="172" t="s">
        <v>2314</v>
      </c>
      <c r="E304" s="171">
        <v>0</v>
      </c>
      <c r="F304" s="171">
        <v>25424.54</v>
      </c>
      <c r="G304" s="216">
        <f t="shared" si="43"/>
        <v>25424.54</v>
      </c>
      <c r="H304" s="217">
        <v>0</v>
      </c>
      <c r="I304" s="217">
        <v>0</v>
      </c>
      <c r="J304" s="217">
        <v>0</v>
      </c>
      <c r="K304" s="217">
        <v>0</v>
      </c>
      <c r="L304" s="217">
        <f t="shared" si="44"/>
        <v>0</v>
      </c>
      <c r="M304" s="217">
        <v>0</v>
      </c>
      <c r="N304" s="217">
        <v>0</v>
      </c>
      <c r="O304" s="217">
        <v>0</v>
      </c>
      <c r="P304" s="217">
        <f t="shared" si="45"/>
        <v>0</v>
      </c>
      <c r="Q304" s="216">
        <v>0</v>
      </c>
      <c r="R304" s="216">
        <v>0</v>
      </c>
      <c r="S304" s="216">
        <v>0</v>
      </c>
      <c r="T304" s="216">
        <v>0</v>
      </c>
      <c r="U304" s="216">
        <f t="shared" si="46"/>
        <v>0</v>
      </c>
      <c r="V304" s="216">
        <f t="shared" si="47"/>
        <v>25424.54</v>
      </c>
      <c r="W304" s="171">
        <v>0</v>
      </c>
      <c r="X304" s="171">
        <f t="shared" si="48"/>
        <v>25424.54</v>
      </c>
      <c r="Y304" s="172">
        <v>0</v>
      </c>
      <c r="Z304" s="171">
        <f t="shared" si="49"/>
        <v>25424.54</v>
      </c>
    </row>
    <row r="305" spans="1:26" ht="12.75" hidden="1" outlineLevel="1">
      <c r="A305" s="171" t="s">
        <v>2315</v>
      </c>
      <c r="C305" s="172" t="s">
        <v>2316</v>
      </c>
      <c r="D305" s="172" t="s">
        <v>2317</v>
      </c>
      <c r="E305" s="171">
        <v>0</v>
      </c>
      <c r="F305" s="171">
        <v>6240.43</v>
      </c>
      <c r="G305" s="216">
        <f t="shared" si="43"/>
        <v>6240.43</v>
      </c>
      <c r="H305" s="217">
        <v>0</v>
      </c>
      <c r="I305" s="217">
        <v>0</v>
      </c>
      <c r="J305" s="217">
        <v>0</v>
      </c>
      <c r="K305" s="217">
        <v>0</v>
      </c>
      <c r="L305" s="217">
        <f t="shared" si="44"/>
        <v>0</v>
      </c>
      <c r="M305" s="217">
        <v>0</v>
      </c>
      <c r="N305" s="217">
        <v>0</v>
      </c>
      <c r="O305" s="217">
        <v>0</v>
      </c>
      <c r="P305" s="217">
        <f t="shared" si="45"/>
        <v>0</v>
      </c>
      <c r="Q305" s="216">
        <v>0</v>
      </c>
      <c r="R305" s="216">
        <v>0</v>
      </c>
      <c r="S305" s="216">
        <v>0</v>
      </c>
      <c r="T305" s="216">
        <v>0</v>
      </c>
      <c r="U305" s="216">
        <f t="shared" si="46"/>
        <v>0</v>
      </c>
      <c r="V305" s="216">
        <f t="shared" si="47"/>
        <v>6240.43</v>
      </c>
      <c r="W305" s="171">
        <v>0</v>
      </c>
      <c r="X305" s="171">
        <f t="shared" si="48"/>
        <v>6240.43</v>
      </c>
      <c r="Y305" s="172">
        <v>0</v>
      </c>
      <c r="Z305" s="171">
        <f t="shared" si="49"/>
        <v>6240.43</v>
      </c>
    </row>
    <row r="306" spans="1:26" ht="12.75" hidden="1" outlineLevel="1">
      <c r="A306" s="171" t="s">
        <v>2318</v>
      </c>
      <c r="C306" s="172" t="s">
        <v>2319</v>
      </c>
      <c r="D306" s="172" t="s">
        <v>2320</v>
      </c>
      <c r="E306" s="171">
        <v>0</v>
      </c>
      <c r="F306" s="171">
        <v>0</v>
      </c>
      <c r="G306" s="216">
        <f t="shared" si="43"/>
        <v>0</v>
      </c>
      <c r="H306" s="217">
        <v>0</v>
      </c>
      <c r="I306" s="217">
        <v>0</v>
      </c>
      <c r="J306" s="217">
        <v>0</v>
      </c>
      <c r="K306" s="217">
        <v>0</v>
      </c>
      <c r="L306" s="217">
        <f t="shared" si="44"/>
        <v>0</v>
      </c>
      <c r="M306" s="217">
        <v>0</v>
      </c>
      <c r="N306" s="217">
        <v>0</v>
      </c>
      <c r="O306" s="217">
        <v>0</v>
      </c>
      <c r="P306" s="217">
        <f t="shared" si="45"/>
        <v>0</v>
      </c>
      <c r="Q306" s="216">
        <v>-2397355</v>
      </c>
      <c r="R306" s="216">
        <v>0</v>
      </c>
      <c r="S306" s="216">
        <v>0</v>
      </c>
      <c r="T306" s="216">
        <v>1181798.78</v>
      </c>
      <c r="U306" s="216">
        <f t="shared" si="46"/>
        <v>-1215556.22</v>
      </c>
      <c r="V306" s="216">
        <f t="shared" si="47"/>
        <v>-1215556.22</v>
      </c>
      <c r="W306" s="171">
        <v>0</v>
      </c>
      <c r="X306" s="171">
        <f t="shared" si="48"/>
        <v>-1215556.22</v>
      </c>
      <c r="Y306" s="172">
        <v>0</v>
      </c>
      <c r="Z306" s="171">
        <f t="shared" si="49"/>
        <v>-1215556.22</v>
      </c>
    </row>
    <row r="307" spans="1:26" ht="12.75" hidden="1" outlineLevel="1">
      <c r="A307" s="171" t="s">
        <v>0</v>
      </c>
      <c r="C307" s="172" t="s">
        <v>1</v>
      </c>
      <c r="D307" s="172" t="s">
        <v>2</v>
      </c>
      <c r="E307" s="171">
        <v>0</v>
      </c>
      <c r="F307" s="171">
        <v>242789.16</v>
      </c>
      <c r="G307" s="216">
        <f t="shared" si="43"/>
        <v>242789.16</v>
      </c>
      <c r="H307" s="217">
        <v>0</v>
      </c>
      <c r="I307" s="217">
        <v>0</v>
      </c>
      <c r="J307" s="217">
        <v>0</v>
      </c>
      <c r="K307" s="217">
        <v>0</v>
      </c>
      <c r="L307" s="217">
        <f t="shared" si="44"/>
        <v>0</v>
      </c>
      <c r="M307" s="217">
        <v>0</v>
      </c>
      <c r="N307" s="217">
        <v>0</v>
      </c>
      <c r="O307" s="217">
        <v>0</v>
      </c>
      <c r="P307" s="217">
        <f t="shared" si="45"/>
        <v>0</v>
      </c>
      <c r="Q307" s="216">
        <v>0</v>
      </c>
      <c r="R307" s="216">
        <v>0</v>
      </c>
      <c r="S307" s="216">
        <v>0</v>
      </c>
      <c r="T307" s="216">
        <v>0</v>
      </c>
      <c r="U307" s="216">
        <f t="shared" si="46"/>
        <v>0</v>
      </c>
      <c r="V307" s="216">
        <f t="shared" si="47"/>
        <v>242789.16</v>
      </c>
      <c r="W307" s="171">
        <v>0</v>
      </c>
      <c r="X307" s="171">
        <f t="shared" si="48"/>
        <v>242789.16</v>
      </c>
      <c r="Y307" s="172">
        <v>0</v>
      </c>
      <c r="Z307" s="171">
        <f t="shared" si="49"/>
        <v>242789.16</v>
      </c>
    </row>
    <row r="308" spans="1:26" ht="12.75" hidden="1" outlineLevel="1">
      <c r="A308" s="171" t="s">
        <v>3</v>
      </c>
      <c r="C308" s="172" t="s">
        <v>4</v>
      </c>
      <c r="D308" s="172" t="s">
        <v>5</v>
      </c>
      <c r="E308" s="171">
        <v>0</v>
      </c>
      <c r="F308" s="171">
        <v>-247698.08</v>
      </c>
      <c r="G308" s="216">
        <f t="shared" si="43"/>
        <v>-247698.08</v>
      </c>
      <c r="H308" s="217">
        <v>0</v>
      </c>
      <c r="I308" s="217">
        <v>0</v>
      </c>
      <c r="J308" s="217">
        <v>0</v>
      </c>
      <c r="K308" s="217">
        <v>0</v>
      </c>
      <c r="L308" s="217">
        <f t="shared" si="44"/>
        <v>0</v>
      </c>
      <c r="M308" s="217">
        <v>0</v>
      </c>
      <c r="N308" s="217">
        <v>0</v>
      </c>
      <c r="O308" s="217">
        <v>0</v>
      </c>
      <c r="P308" s="217">
        <f t="shared" si="45"/>
        <v>0</v>
      </c>
      <c r="Q308" s="216">
        <v>0</v>
      </c>
      <c r="R308" s="216">
        <v>0</v>
      </c>
      <c r="S308" s="216">
        <v>0</v>
      </c>
      <c r="T308" s="216">
        <v>0</v>
      </c>
      <c r="U308" s="216">
        <f t="shared" si="46"/>
        <v>0</v>
      </c>
      <c r="V308" s="216">
        <f t="shared" si="47"/>
        <v>-247698.08</v>
      </c>
      <c r="W308" s="171">
        <v>0</v>
      </c>
      <c r="X308" s="171">
        <f t="shared" si="48"/>
        <v>-247698.08</v>
      </c>
      <c r="Y308" s="172">
        <v>0</v>
      </c>
      <c r="Z308" s="171">
        <f t="shared" si="49"/>
        <v>-247698.08</v>
      </c>
    </row>
    <row r="309" spans="1:26" ht="12.75" hidden="1" outlineLevel="1">
      <c r="A309" s="171" t="s">
        <v>946</v>
      </c>
      <c r="C309" s="172" t="s">
        <v>947</v>
      </c>
      <c r="D309" s="172" t="s">
        <v>948</v>
      </c>
      <c r="E309" s="171">
        <v>0</v>
      </c>
      <c r="F309" s="171">
        <v>15249.45</v>
      </c>
      <c r="G309" s="216">
        <f t="shared" si="43"/>
        <v>15249.45</v>
      </c>
      <c r="H309" s="217">
        <v>0</v>
      </c>
      <c r="I309" s="217">
        <v>0</v>
      </c>
      <c r="J309" s="217">
        <v>0</v>
      </c>
      <c r="K309" s="217">
        <v>0</v>
      </c>
      <c r="L309" s="217">
        <f t="shared" si="44"/>
        <v>0</v>
      </c>
      <c r="M309" s="217">
        <v>0</v>
      </c>
      <c r="N309" s="217">
        <v>0</v>
      </c>
      <c r="O309" s="217">
        <v>0</v>
      </c>
      <c r="P309" s="217">
        <f t="shared" si="45"/>
        <v>0</v>
      </c>
      <c r="Q309" s="216">
        <v>0</v>
      </c>
      <c r="R309" s="216">
        <v>0</v>
      </c>
      <c r="S309" s="216">
        <v>0</v>
      </c>
      <c r="T309" s="216">
        <v>0</v>
      </c>
      <c r="U309" s="216">
        <f t="shared" si="46"/>
        <v>0</v>
      </c>
      <c r="V309" s="216">
        <f t="shared" si="47"/>
        <v>15249.45</v>
      </c>
      <c r="W309" s="171">
        <v>0</v>
      </c>
      <c r="X309" s="171">
        <f t="shared" si="48"/>
        <v>15249.45</v>
      </c>
      <c r="Y309" s="172">
        <v>0</v>
      </c>
      <c r="Z309" s="171">
        <f t="shared" si="49"/>
        <v>15249.45</v>
      </c>
    </row>
    <row r="310" spans="1:26" ht="12.75" hidden="1" outlineLevel="1">
      <c r="A310" s="171" t="s">
        <v>15</v>
      </c>
      <c r="C310" s="172" t="s">
        <v>16</v>
      </c>
      <c r="D310" s="172" t="s">
        <v>17</v>
      </c>
      <c r="E310" s="171">
        <v>0</v>
      </c>
      <c r="F310" s="171">
        <v>0</v>
      </c>
      <c r="G310" s="216">
        <f t="shared" si="43"/>
        <v>0</v>
      </c>
      <c r="H310" s="217">
        <v>0</v>
      </c>
      <c r="I310" s="217">
        <v>-116.58</v>
      </c>
      <c r="J310" s="217">
        <v>0</v>
      </c>
      <c r="K310" s="217">
        <v>-5001.97</v>
      </c>
      <c r="L310" s="217">
        <f t="shared" si="44"/>
        <v>-5118.55</v>
      </c>
      <c r="M310" s="217">
        <v>0</v>
      </c>
      <c r="N310" s="217">
        <v>0</v>
      </c>
      <c r="O310" s="217">
        <v>0</v>
      </c>
      <c r="P310" s="217">
        <f t="shared" si="45"/>
        <v>0</v>
      </c>
      <c r="Q310" s="216">
        <v>0</v>
      </c>
      <c r="R310" s="216">
        <v>0</v>
      </c>
      <c r="S310" s="216">
        <v>0</v>
      </c>
      <c r="T310" s="216">
        <v>0</v>
      </c>
      <c r="U310" s="216">
        <f t="shared" si="46"/>
        <v>0</v>
      </c>
      <c r="V310" s="216">
        <f t="shared" si="47"/>
        <v>-5118.55</v>
      </c>
      <c r="W310" s="171">
        <v>0</v>
      </c>
      <c r="X310" s="171">
        <f t="shared" si="48"/>
        <v>-5118.55</v>
      </c>
      <c r="Y310" s="172">
        <v>0</v>
      </c>
      <c r="Z310" s="171">
        <f t="shared" si="49"/>
        <v>-5118.55</v>
      </c>
    </row>
    <row r="311" spans="1:26" ht="12.75" hidden="1" outlineLevel="1">
      <c r="A311" s="171" t="s">
        <v>18</v>
      </c>
      <c r="C311" s="172" t="s">
        <v>19</v>
      </c>
      <c r="D311" s="172" t="s">
        <v>20</v>
      </c>
      <c r="E311" s="171">
        <v>0</v>
      </c>
      <c r="F311" s="171">
        <v>0</v>
      </c>
      <c r="G311" s="216">
        <f t="shared" si="43"/>
        <v>0</v>
      </c>
      <c r="H311" s="217">
        <v>0</v>
      </c>
      <c r="I311" s="217">
        <v>0</v>
      </c>
      <c r="J311" s="217">
        <v>0</v>
      </c>
      <c r="K311" s="217">
        <v>171423.94</v>
      </c>
      <c r="L311" s="217">
        <f t="shared" si="44"/>
        <v>171423.94</v>
      </c>
      <c r="M311" s="217">
        <v>0</v>
      </c>
      <c r="N311" s="217">
        <v>0</v>
      </c>
      <c r="O311" s="217">
        <v>0</v>
      </c>
      <c r="P311" s="217">
        <f t="shared" si="45"/>
        <v>0</v>
      </c>
      <c r="Q311" s="216">
        <v>0</v>
      </c>
      <c r="R311" s="216">
        <v>0</v>
      </c>
      <c r="S311" s="216">
        <v>0</v>
      </c>
      <c r="T311" s="216">
        <v>0</v>
      </c>
      <c r="U311" s="216">
        <f t="shared" si="46"/>
        <v>0</v>
      </c>
      <c r="V311" s="216">
        <f t="shared" si="47"/>
        <v>171423.94</v>
      </c>
      <c r="W311" s="171">
        <v>0</v>
      </c>
      <c r="X311" s="171">
        <f t="shared" si="48"/>
        <v>171423.94</v>
      </c>
      <c r="Y311" s="172">
        <v>0</v>
      </c>
      <c r="Z311" s="171">
        <f t="shared" si="49"/>
        <v>171423.94</v>
      </c>
    </row>
    <row r="312" spans="1:26" ht="12.75" hidden="1" outlineLevel="1">
      <c r="A312" s="171" t="s">
        <v>949</v>
      </c>
      <c r="C312" s="172" t="s">
        <v>950</v>
      </c>
      <c r="D312" s="172" t="s">
        <v>951</v>
      </c>
      <c r="E312" s="171">
        <v>0</v>
      </c>
      <c r="F312" s="171">
        <v>0</v>
      </c>
      <c r="G312" s="216">
        <f t="shared" si="43"/>
        <v>0</v>
      </c>
      <c r="H312" s="217">
        <v>0</v>
      </c>
      <c r="I312" s="217">
        <v>0</v>
      </c>
      <c r="J312" s="217">
        <v>0</v>
      </c>
      <c r="K312" s="217">
        <v>0</v>
      </c>
      <c r="L312" s="217">
        <f t="shared" si="44"/>
        <v>0</v>
      </c>
      <c r="M312" s="217">
        <v>0</v>
      </c>
      <c r="N312" s="217">
        <v>0</v>
      </c>
      <c r="O312" s="217">
        <v>0</v>
      </c>
      <c r="P312" s="217">
        <f t="shared" si="45"/>
        <v>0</v>
      </c>
      <c r="Q312" s="216">
        <v>0</v>
      </c>
      <c r="R312" s="216">
        <v>-17929155.1</v>
      </c>
      <c r="S312" s="216">
        <v>-450044.65</v>
      </c>
      <c r="T312" s="216">
        <v>18379199.75</v>
      </c>
      <c r="U312" s="216">
        <f t="shared" si="46"/>
        <v>0</v>
      </c>
      <c r="V312" s="216">
        <f t="shared" si="47"/>
        <v>0</v>
      </c>
      <c r="W312" s="171">
        <v>0</v>
      </c>
      <c r="X312" s="171">
        <f t="shared" si="48"/>
        <v>0</v>
      </c>
      <c r="Y312" s="172">
        <v>0</v>
      </c>
      <c r="Z312" s="171">
        <f t="shared" si="49"/>
        <v>0</v>
      </c>
    </row>
    <row r="313" spans="1:26" ht="12.75" hidden="1" outlineLevel="1">
      <c r="A313" s="171" t="s">
        <v>952</v>
      </c>
      <c r="C313" s="172" t="s">
        <v>953</v>
      </c>
      <c r="D313" s="172" t="s">
        <v>954</v>
      </c>
      <c r="E313" s="171">
        <v>0</v>
      </c>
      <c r="F313" s="171">
        <v>-723.82</v>
      </c>
      <c r="G313" s="216">
        <f t="shared" si="43"/>
        <v>-723.82</v>
      </c>
      <c r="H313" s="217">
        <v>0</v>
      </c>
      <c r="I313" s="217">
        <v>0</v>
      </c>
      <c r="J313" s="217">
        <v>0</v>
      </c>
      <c r="K313" s="217">
        <v>0</v>
      </c>
      <c r="L313" s="217">
        <f t="shared" si="44"/>
        <v>0</v>
      </c>
      <c r="M313" s="217">
        <v>0</v>
      </c>
      <c r="N313" s="217">
        <v>0</v>
      </c>
      <c r="O313" s="217">
        <v>0</v>
      </c>
      <c r="P313" s="217">
        <f t="shared" si="45"/>
        <v>0</v>
      </c>
      <c r="Q313" s="216">
        <v>0</v>
      </c>
      <c r="R313" s="216">
        <v>0</v>
      </c>
      <c r="S313" s="216">
        <v>0</v>
      </c>
      <c r="T313" s="216">
        <v>0</v>
      </c>
      <c r="U313" s="216">
        <f t="shared" si="46"/>
        <v>0</v>
      </c>
      <c r="V313" s="216">
        <f t="shared" si="47"/>
        <v>-723.82</v>
      </c>
      <c r="W313" s="171">
        <v>0</v>
      </c>
      <c r="X313" s="171">
        <f t="shared" si="48"/>
        <v>-723.82</v>
      </c>
      <c r="Y313" s="172">
        <v>0</v>
      </c>
      <c r="Z313" s="171">
        <f t="shared" si="49"/>
        <v>-723.82</v>
      </c>
    </row>
    <row r="314" spans="1:27" ht="12.75" collapsed="1">
      <c r="A314" s="208" t="s">
        <v>21</v>
      </c>
      <c r="B314" s="209"/>
      <c r="C314" s="208" t="s">
        <v>2951</v>
      </c>
      <c r="D314" s="210"/>
      <c r="E314" s="185">
        <v>0</v>
      </c>
      <c r="F314" s="185">
        <v>40560531.42999999</v>
      </c>
      <c r="G314" s="101">
        <f t="shared" si="43"/>
        <v>40560531.42999999</v>
      </c>
      <c r="H314" s="101">
        <v>17298545.809999995</v>
      </c>
      <c r="I314" s="101">
        <v>883.42</v>
      </c>
      <c r="J314" s="101">
        <v>0</v>
      </c>
      <c r="K314" s="101">
        <v>157446.74</v>
      </c>
      <c r="L314" s="101">
        <f t="shared" si="44"/>
        <v>158330.16</v>
      </c>
      <c r="M314" s="101">
        <v>0</v>
      </c>
      <c r="N314" s="101">
        <v>79156.93</v>
      </c>
      <c r="O314" s="101">
        <v>2388</v>
      </c>
      <c r="P314" s="101">
        <f t="shared" si="45"/>
        <v>81544.93</v>
      </c>
      <c r="Q314" s="101">
        <v>-1040879.93</v>
      </c>
      <c r="R314" s="101">
        <v>-17810480.39</v>
      </c>
      <c r="S314" s="101">
        <v>-450044.65</v>
      </c>
      <c r="T314" s="101">
        <v>19560998.53</v>
      </c>
      <c r="U314" s="101">
        <f t="shared" si="46"/>
        <v>259593.56000000238</v>
      </c>
      <c r="V314" s="101">
        <f t="shared" si="47"/>
        <v>58358545.889999986</v>
      </c>
      <c r="W314" s="185">
        <v>0</v>
      </c>
      <c r="X314" s="185">
        <f t="shared" si="48"/>
        <v>58358545.889999986</v>
      </c>
      <c r="Y314" s="185">
        <v>1876415.58</v>
      </c>
      <c r="Z314" s="185">
        <f t="shared" si="49"/>
        <v>60234961.469999984</v>
      </c>
      <c r="AA314" s="208"/>
    </row>
    <row r="315" spans="1:26" ht="12.75" hidden="1" outlineLevel="1">
      <c r="A315" s="171" t="s">
        <v>22</v>
      </c>
      <c r="C315" s="172" t="s">
        <v>955</v>
      </c>
      <c r="D315" s="172" t="s">
        <v>23</v>
      </c>
      <c r="E315" s="171">
        <v>0</v>
      </c>
      <c r="F315" s="171">
        <v>6780000</v>
      </c>
      <c r="G315" s="216">
        <f t="shared" si="43"/>
        <v>6780000</v>
      </c>
      <c r="H315" s="217">
        <v>0</v>
      </c>
      <c r="I315" s="217">
        <v>0</v>
      </c>
      <c r="J315" s="217">
        <v>0</v>
      </c>
      <c r="K315" s="217">
        <v>0</v>
      </c>
      <c r="L315" s="217">
        <f t="shared" si="44"/>
        <v>0</v>
      </c>
      <c r="M315" s="217">
        <v>0</v>
      </c>
      <c r="N315" s="217">
        <v>0</v>
      </c>
      <c r="O315" s="217">
        <v>0</v>
      </c>
      <c r="P315" s="217">
        <f t="shared" si="45"/>
        <v>0</v>
      </c>
      <c r="Q315" s="216">
        <v>0</v>
      </c>
      <c r="R315" s="216">
        <v>0</v>
      </c>
      <c r="S315" s="216">
        <v>0</v>
      </c>
      <c r="T315" s="216">
        <v>0</v>
      </c>
      <c r="U315" s="216">
        <f t="shared" si="46"/>
        <v>0</v>
      </c>
      <c r="V315" s="216">
        <f t="shared" si="47"/>
        <v>6780000</v>
      </c>
      <c r="W315" s="171">
        <v>0</v>
      </c>
      <c r="X315" s="171">
        <f t="shared" si="48"/>
        <v>6780000</v>
      </c>
      <c r="Y315" s="172">
        <v>0</v>
      </c>
      <c r="Z315" s="171">
        <f t="shared" si="49"/>
        <v>6780000</v>
      </c>
    </row>
    <row r="316" spans="1:27" ht="12.75" collapsed="1">
      <c r="A316" s="208" t="s">
        <v>24</v>
      </c>
      <c r="B316" s="209"/>
      <c r="C316" s="208" t="s">
        <v>2952</v>
      </c>
      <c r="D316" s="210"/>
      <c r="E316" s="185">
        <v>0</v>
      </c>
      <c r="F316" s="185">
        <v>6780000</v>
      </c>
      <c r="G316" s="101">
        <f t="shared" si="43"/>
        <v>6780000</v>
      </c>
      <c r="H316" s="101">
        <v>0</v>
      </c>
      <c r="I316" s="101">
        <v>0</v>
      </c>
      <c r="J316" s="101">
        <v>0</v>
      </c>
      <c r="K316" s="101">
        <v>0</v>
      </c>
      <c r="L316" s="101">
        <f t="shared" si="44"/>
        <v>0</v>
      </c>
      <c r="M316" s="101">
        <v>0</v>
      </c>
      <c r="N316" s="101">
        <v>0</v>
      </c>
      <c r="O316" s="101">
        <v>0</v>
      </c>
      <c r="P316" s="101">
        <f t="shared" si="45"/>
        <v>0</v>
      </c>
      <c r="Q316" s="101">
        <v>0</v>
      </c>
      <c r="R316" s="101">
        <v>0</v>
      </c>
      <c r="S316" s="101">
        <v>0</v>
      </c>
      <c r="T316" s="101">
        <v>0</v>
      </c>
      <c r="U316" s="101">
        <f t="shared" si="46"/>
        <v>0</v>
      </c>
      <c r="V316" s="101">
        <f t="shared" si="47"/>
        <v>6780000</v>
      </c>
      <c r="W316" s="185">
        <v>0</v>
      </c>
      <c r="X316" s="185">
        <f t="shared" si="48"/>
        <v>6780000</v>
      </c>
      <c r="Y316" s="185">
        <v>0</v>
      </c>
      <c r="Z316" s="185">
        <f t="shared" si="49"/>
        <v>6780000</v>
      </c>
      <c r="AA316" s="208"/>
    </row>
    <row r="317" spans="1:26" ht="12.75" hidden="1" outlineLevel="1">
      <c r="A317" s="171" t="s">
        <v>25</v>
      </c>
      <c r="C317" s="172" t="s">
        <v>26</v>
      </c>
      <c r="D317" s="172" t="s">
        <v>27</v>
      </c>
      <c r="E317" s="171">
        <v>0</v>
      </c>
      <c r="F317" s="171">
        <v>0</v>
      </c>
      <c r="G317" s="216">
        <f t="shared" si="43"/>
        <v>0</v>
      </c>
      <c r="H317" s="217">
        <v>0</v>
      </c>
      <c r="I317" s="217">
        <v>0</v>
      </c>
      <c r="J317" s="217">
        <v>0</v>
      </c>
      <c r="K317" s="217">
        <v>0</v>
      </c>
      <c r="L317" s="217">
        <f t="shared" si="44"/>
        <v>0</v>
      </c>
      <c r="M317" s="217">
        <v>0</v>
      </c>
      <c r="N317" s="217">
        <v>0</v>
      </c>
      <c r="O317" s="217">
        <v>0</v>
      </c>
      <c r="P317" s="217">
        <f t="shared" si="45"/>
        <v>0</v>
      </c>
      <c r="Q317" s="216">
        <v>0</v>
      </c>
      <c r="R317" s="216">
        <v>0</v>
      </c>
      <c r="S317" s="216">
        <v>0</v>
      </c>
      <c r="T317" s="216">
        <v>-3741675.52</v>
      </c>
      <c r="U317" s="216">
        <f t="shared" si="46"/>
        <v>-3741675.52</v>
      </c>
      <c r="V317" s="216">
        <f t="shared" si="47"/>
        <v>-3741675.52</v>
      </c>
      <c r="W317" s="171">
        <v>0</v>
      </c>
      <c r="X317" s="171">
        <f t="shared" si="48"/>
        <v>-3741675.52</v>
      </c>
      <c r="Y317" s="172">
        <v>0</v>
      </c>
      <c r="Z317" s="171">
        <f t="shared" si="49"/>
        <v>-3741675.52</v>
      </c>
    </row>
    <row r="318" spans="1:26" ht="12.75" hidden="1" outlineLevel="1">
      <c r="A318" s="171" t="s">
        <v>956</v>
      </c>
      <c r="C318" s="172" t="s">
        <v>957</v>
      </c>
      <c r="D318" s="172" t="s">
        <v>958</v>
      </c>
      <c r="E318" s="171">
        <v>0</v>
      </c>
      <c r="F318" s="171">
        <v>0</v>
      </c>
      <c r="G318" s="216">
        <f t="shared" si="43"/>
        <v>0</v>
      </c>
      <c r="H318" s="217">
        <v>0</v>
      </c>
      <c r="I318" s="217">
        <v>0</v>
      </c>
      <c r="J318" s="217">
        <v>0</v>
      </c>
      <c r="K318" s="217">
        <v>0</v>
      </c>
      <c r="L318" s="217">
        <f t="shared" si="44"/>
        <v>0</v>
      </c>
      <c r="M318" s="217">
        <v>0</v>
      </c>
      <c r="N318" s="217">
        <v>0</v>
      </c>
      <c r="O318" s="217">
        <v>0</v>
      </c>
      <c r="P318" s="217">
        <f t="shared" si="45"/>
        <v>0</v>
      </c>
      <c r="Q318" s="216">
        <v>0</v>
      </c>
      <c r="R318" s="216">
        <v>0</v>
      </c>
      <c r="S318" s="216">
        <v>0</v>
      </c>
      <c r="T318" s="216">
        <v>-195000</v>
      </c>
      <c r="U318" s="216">
        <f t="shared" si="46"/>
        <v>-195000</v>
      </c>
      <c r="V318" s="216">
        <f t="shared" si="47"/>
        <v>-195000</v>
      </c>
      <c r="W318" s="171">
        <v>0</v>
      </c>
      <c r="X318" s="171">
        <f t="shared" si="48"/>
        <v>-195000</v>
      </c>
      <c r="Y318" s="172">
        <v>0</v>
      </c>
      <c r="Z318" s="171">
        <f t="shared" si="49"/>
        <v>-195000</v>
      </c>
    </row>
    <row r="319" spans="1:26" ht="12.75" hidden="1" outlineLevel="1">
      <c r="A319" s="171" t="s">
        <v>28</v>
      </c>
      <c r="C319" s="172" t="s">
        <v>29</v>
      </c>
      <c r="D319" s="172" t="s">
        <v>30</v>
      </c>
      <c r="E319" s="171">
        <v>0</v>
      </c>
      <c r="F319" s="171">
        <v>0</v>
      </c>
      <c r="G319" s="216">
        <f t="shared" si="43"/>
        <v>0</v>
      </c>
      <c r="H319" s="217">
        <v>0</v>
      </c>
      <c r="I319" s="217">
        <v>0</v>
      </c>
      <c r="J319" s="217">
        <v>0</v>
      </c>
      <c r="K319" s="217">
        <v>0</v>
      </c>
      <c r="L319" s="217">
        <f t="shared" si="44"/>
        <v>0</v>
      </c>
      <c r="M319" s="217">
        <v>0</v>
      </c>
      <c r="N319" s="217">
        <v>0</v>
      </c>
      <c r="O319" s="217">
        <v>0</v>
      </c>
      <c r="P319" s="217">
        <f t="shared" si="45"/>
        <v>0</v>
      </c>
      <c r="Q319" s="216">
        <v>0</v>
      </c>
      <c r="R319" s="216">
        <v>0</v>
      </c>
      <c r="S319" s="216">
        <v>181756</v>
      </c>
      <c r="T319" s="216">
        <v>-32283460.16</v>
      </c>
      <c r="U319" s="216">
        <f t="shared" si="46"/>
        <v>-32101704.16</v>
      </c>
      <c r="V319" s="216">
        <f t="shared" si="47"/>
        <v>-32101704.16</v>
      </c>
      <c r="W319" s="171">
        <v>0</v>
      </c>
      <c r="X319" s="171">
        <f t="shared" si="48"/>
        <v>-32101704.16</v>
      </c>
      <c r="Y319" s="172">
        <v>0</v>
      </c>
      <c r="Z319" s="171">
        <f t="shared" si="49"/>
        <v>-32101704.16</v>
      </c>
    </row>
    <row r="320" spans="1:26" ht="12.75" hidden="1" outlineLevel="1">
      <c r="A320" s="171" t="s">
        <v>31</v>
      </c>
      <c r="C320" s="172" t="s">
        <v>32</v>
      </c>
      <c r="D320" s="172" t="s">
        <v>33</v>
      </c>
      <c r="E320" s="171">
        <v>0</v>
      </c>
      <c r="F320" s="171">
        <v>0</v>
      </c>
      <c r="G320" s="216">
        <f t="shared" si="43"/>
        <v>0</v>
      </c>
      <c r="H320" s="217">
        <v>0</v>
      </c>
      <c r="I320" s="217">
        <v>0</v>
      </c>
      <c r="J320" s="217">
        <v>0</v>
      </c>
      <c r="K320" s="217">
        <v>0</v>
      </c>
      <c r="L320" s="217">
        <f t="shared" si="44"/>
        <v>0</v>
      </c>
      <c r="M320" s="217">
        <v>0</v>
      </c>
      <c r="N320" s="217">
        <v>0</v>
      </c>
      <c r="O320" s="217">
        <v>0</v>
      </c>
      <c r="P320" s="217">
        <f t="shared" si="45"/>
        <v>0</v>
      </c>
      <c r="Q320" s="216">
        <v>0</v>
      </c>
      <c r="R320" s="216">
        <v>0</v>
      </c>
      <c r="S320" s="216">
        <v>0</v>
      </c>
      <c r="T320" s="216">
        <v>-160000</v>
      </c>
      <c r="U320" s="216">
        <f t="shared" si="46"/>
        <v>-160000</v>
      </c>
      <c r="V320" s="216">
        <f t="shared" si="47"/>
        <v>-160000</v>
      </c>
      <c r="W320" s="171">
        <v>0</v>
      </c>
      <c r="X320" s="171">
        <f t="shared" si="48"/>
        <v>-160000</v>
      </c>
      <c r="Y320" s="172">
        <v>0</v>
      </c>
      <c r="Z320" s="171">
        <f t="shared" si="49"/>
        <v>-160000</v>
      </c>
    </row>
    <row r="321" spans="1:26" ht="12.75" hidden="1" outlineLevel="1">
      <c r="A321" s="171" t="s">
        <v>34</v>
      </c>
      <c r="C321" s="172" t="s">
        <v>35</v>
      </c>
      <c r="D321" s="172" t="s">
        <v>36</v>
      </c>
      <c r="E321" s="171">
        <v>0</v>
      </c>
      <c r="F321" s="171">
        <v>0</v>
      </c>
      <c r="G321" s="216">
        <f t="shared" si="43"/>
        <v>0</v>
      </c>
      <c r="H321" s="217">
        <v>0</v>
      </c>
      <c r="I321" s="217">
        <v>0</v>
      </c>
      <c r="J321" s="217">
        <v>0</v>
      </c>
      <c r="K321" s="217">
        <v>0</v>
      </c>
      <c r="L321" s="217">
        <f t="shared" si="44"/>
        <v>0</v>
      </c>
      <c r="M321" s="217">
        <v>0</v>
      </c>
      <c r="N321" s="217">
        <v>0</v>
      </c>
      <c r="O321" s="217">
        <v>0</v>
      </c>
      <c r="P321" s="217">
        <f t="shared" si="45"/>
        <v>0</v>
      </c>
      <c r="Q321" s="216">
        <v>0</v>
      </c>
      <c r="R321" s="216">
        <v>0</v>
      </c>
      <c r="S321" s="216">
        <v>0</v>
      </c>
      <c r="T321" s="216">
        <v>-2094656.99</v>
      </c>
      <c r="U321" s="216">
        <f t="shared" si="46"/>
        <v>-2094656.99</v>
      </c>
      <c r="V321" s="216">
        <f t="shared" si="47"/>
        <v>-2094656.99</v>
      </c>
      <c r="W321" s="171">
        <v>0</v>
      </c>
      <c r="X321" s="171">
        <f t="shared" si="48"/>
        <v>-2094656.99</v>
      </c>
      <c r="Y321" s="172">
        <v>0</v>
      </c>
      <c r="Z321" s="171">
        <f t="shared" si="49"/>
        <v>-2094656.99</v>
      </c>
    </row>
    <row r="322" spans="1:26" ht="12.75" hidden="1" outlineLevel="1">
      <c r="A322" s="171" t="s">
        <v>37</v>
      </c>
      <c r="C322" s="172" t="s">
        <v>38</v>
      </c>
      <c r="D322" s="172" t="s">
        <v>39</v>
      </c>
      <c r="E322" s="171">
        <v>0</v>
      </c>
      <c r="F322" s="171">
        <v>608043.73</v>
      </c>
      <c r="G322" s="216">
        <f t="shared" si="43"/>
        <v>608043.73</v>
      </c>
      <c r="H322" s="217">
        <v>1179478.06</v>
      </c>
      <c r="I322" s="217">
        <v>0</v>
      </c>
      <c r="J322" s="217">
        <v>0</v>
      </c>
      <c r="K322" s="217">
        <v>0</v>
      </c>
      <c r="L322" s="217">
        <f t="shared" si="44"/>
        <v>0</v>
      </c>
      <c r="M322" s="217">
        <v>0</v>
      </c>
      <c r="N322" s="217">
        <v>0</v>
      </c>
      <c r="O322" s="217">
        <v>0</v>
      </c>
      <c r="P322" s="217">
        <f t="shared" si="45"/>
        <v>0</v>
      </c>
      <c r="Q322" s="216">
        <v>170732.66</v>
      </c>
      <c r="R322" s="216">
        <v>0</v>
      </c>
      <c r="S322" s="216">
        <v>0</v>
      </c>
      <c r="T322" s="216">
        <v>0</v>
      </c>
      <c r="U322" s="216">
        <f t="shared" si="46"/>
        <v>170732.66</v>
      </c>
      <c r="V322" s="216">
        <f t="shared" si="47"/>
        <v>1958254.45</v>
      </c>
      <c r="W322" s="171">
        <v>0</v>
      </c>
      <c r="X322" s="171">
        <f t="shared" si="48"/>
        <v>1958254.45</v>
      </c>
      <c r="Y322" s="172">
        <v>0</v>
      </c>
      <c r="Z322" s="171">
        <f t="shared" si="49"/>
        <v>1958254.45</v>
      </c>
    </row>
    <row r="323" spans="1:26" ht="12.75" hidden="1" outlineLevel="1">
      <c r="A323" s="171" t="s">
        <v>40</v>
      </c>
      <c r="C323" s="172" t="s">
        <v>41</v>
      </c>
      <c r="D323" s="172" t="s">
        <v>42</v>
      </c>
      <c r="E323" s="171">
        <v>0</v>
      </c>
      <c r="F323" s="171">
        <v>260722.42</v>
      </c>
      <c r="G323" s="216">
        <f t="shared" si="43"/>
        <v>260722.42</v>
      </c>
      <c r="H323" s="217">
        <v>-1478.9</v>
      </c>
      <c r="I323" s="217">
        <v>0</v>
      </c>
      <c r="J323" s="217">
        <v>0</v>
      </c>
      <c r="K323" s="217">
        <v>0</v>
      </c>
      <c r="L323" s="217">
        <f t="shared" si="44"/>
        <v>0</v>
      </c>
      <c r="M323" s="217">
        <v>0</v>
      </c>
      <c r="N323" s="217">
        <v>0</v>
      </c>
      <c r="O323" s="217">
        <v>0</v>
      </c>
      <c r="P323" s="217">
        <f t="shared" si="45"/>
        <v>0</v>
      </c>
      <c r="Q323" s="216">
        <v>0</v>
      </c>
      <c r="R323" s="216">
        <v>0</v>
      </c>
      <c r="S323" s="216">
        <v>0</v>
      </c>
      <c r="T323" s="216">
        <v>0</v>
      </c>
      <c r="U323" s="216">
        <f t="shared" si="46"/>
        <v>0</v>
      </c>
      <c r="V323" s="216">
        <f t="shared" si="47"/>
        <v>259243.52000000002</v>
      </c>
      <c r="W323" s="171">
        <v>0</v>
      </c>
      <c r="X323" s="171">
        <f t="shared" si="48"/>
        <v>259243.52000000002</v>
      </c>
      <c r="Y323" s="172">
        <v>0</v>
      </c>
      <c r="Z323" s="171">
        <f t="shared" si="49"/>
        <v>259243.52000000002</v>
      </c>
    </row>
    <row r="324" spans="1:26" ht="12.75" hidden="1" outlineLevel="1">
      <c r="A324" s="171" t="s">
        <v>43</v>
      </c>
      <c r="C324" s="172" t="s">
        <v>44</v>
      </c>
      <c r="D324" s="172" t="s">
        <v>45</v>
      </c>
      <c r="E324" s="171">
        <v>0</v>
      </c>
      <c r="F324" s="171">
        <v>39520.98</v>
      </c>
      <c r="G324" s="216">
        <f t="shared" si="43"/>
        <v>39520.98</v>
      </c>
      <c r="H324" s="217">
        <v>0</v>
      </c>
      <c r="I324" s="217">
        <v>0</v>
      </c>
      <c r="J324" s="217">
        <v>0</v>
      </c>
      <c r="K324" s="217">
        <v>0</v>
      </c>
      <c r="L324" s="217">
        <f t="shared" si="44"/>
        <v>0</v>
      </c>
      <c r="M324" s="217">
        <v>0</v>
      </c>
      <c r="N324" s="217">
        <v>0</v>
      </c>
      <c r="O324" s="217">
        <v>0</v>
      </c>
      <c r="P324" s="217">
        <f t="shared" si="45"/>
        <v>0</v>
      </c>
      <c r="Q324" s="216">
        <v>0</v>
      </c>
      <c r="R324" s="216">
        <v>0</v>
      </c>
      <c r="S324" s="216">
        <v>0</v>
      </c>
      <c r="T324" s="216">
        <v>0</v>
      </c>
      <c r="U324" s="216">
        <f t="shared" si="46"/>
        <v>0</v>
      </c>
      <c r="V324" s="216">
        <f t="shared" si="47"/>
        <v>39520.98</v>
      </c>
      <c r="W324" s="171">
        <v>0</v>
      </c>
      <c r="X324" s="171">
        <f t="shared" si="48"/>
        <v>39520.98</v>
      </c>
      <c r="Y324" s="172">
        <v>0</v>
      </c>
      <c r="Z324" s="171">
        <f t="shared" si="49"/>
        <v>39520.98</v>
      </c>
    </row>
    <row r="325" spans="1:26" ht="12.75" hidden="1" outlineLevel="1">
      <c r="A325" s="171" t="s">
        <v>46</v>
      </c>
      <c r="C325" s="172" t="s">
        <v>47</v>
      </c>
      <c r="D325" s="172" t="s">
        <v>48</v>
      </c>
      <c r="E325" s="171">
        <v>0</v>
      </c>
      <c r="F325" s="171">
        <v>13293.5</v>
      </c>
      <c r="G325" s="216">
        <f t="shared" si="43"/>
        <v>13293.5</v>
      </c>
      <c r="H325" s="217">
        <v>0</v>
      </c>
      <c r="I325" s="217">
        <v>0</v>
      </c>
      <c r="J325" s="217">
        <v>0</v>
      </c>
      <c r="K325" s="217">
        <v>0</v>
      </c>
      <c r="L325" s="217">
        <f t="shared" si="44"/>
        <v>0</v>
      </c>
      <c r="M325" s="217">
        <v>0</v>
      </c>
      <c r="N325" s="217">
        <v>0</v>
      </c>
      <c r="O325" s="217">
        <v>0</v>
      </c>
      <c r="P325" s="217">
        <f t="shared" si="45"/>
        <v>0</v>
      </c>
      <c r="Q325" s="216">
        <v>0</v>
      </c>
      <c r="R325" s="216">
        <v>0</v>
      </c>
      <c r="S325" s="216">
        <v>0</v>
      </c>
      <c r="T325" s="216">
        <v>0</v>
      </c>
      <c r="U325" s="216">
        <f t="shared" si="46"/>
        <v>0</v>
      </c>
      <c r="V325" s="216">
        <f t="shared" si="47"/>
        <v>13293.5</v>
      </c>
      <c r="W325" s="171">
        <v>0</v>
      </c>
      <c r="X325" s="171">
        <f t="shared" si="48"/>
        <v>13293.5</v>
      </c>
      <c r="Y325" s="172">
        <v>0</v>
      </c>
      <c r="Z325" s="171">
        <f t="shared" si="49"/>
        <v>13293.5</v>
      </c>
    </row>
    <row r="326" spans="1:26" ht="12.75" hidden="1" outlineLevel="1">
      <c r="A326" s="171" t="s">
        <v>959</v>
      </c>
      <c r="C326" s="172" t="s">
        <v>960</v>
      </c>
      <c r="D326" s="172" t="s">
        <v>961</v>
      </c>
      <c r="E326" s="171">
        <v>0</v>
      </c>
      <c r="F326" s="171">
        <v>135546.18</v>
      </c>
      <c r="G326" s="216">
        <f t="shared" si="43"/>
        <v>135546.18</v>
      </c>
      <c r="H326" s="217">
        <v>40776.26</v>
      </c>
      <c r="I326" s="217">
        <v>0</v>
      </c>
      <c r="J326" s="217">
        <v>0</v>
      </c>
      <c r="K326" s="217">
        <v>0</v>
      </c>
      <c r="L326" s="217">
        <f t="shared" si="44"/>
        <v>0</v>
      </c>
      <c r="M326" s="217">
        <v>0</v>
      </c>
      <c r="N326" s="217">
        <v>0</v>
      </c>
      <c r="O326" s="217">
        <v>0</v>
      </c>
      <c r="P326" s="217">
        <f t="shared" si="45"/>
        <v>0</v>
      </c>
      <c r="Q326" s="216">
        <v>8975</v>
      </c>
      <c r="R326" s="216">
        <v>0</v>
      </c>
      <c r="S326" s="216">
        <v>0</v>
      </c>
      <c r="T326" s="216">
        <v>0</v>
      </c>
      <c r="U326" s="216">
        <f t="shared" si="46"/>
        <v>8975</v>
      </c>
      <c r="V326" s="216">
        <f t="shared" si="47"/>
        <v>185297.44</v>
      </c>
      <c r="W326" s="171">
        <v>0</v>
      </c>
      <c r="X326" s="171">
        <f t="shared" si="48"/>
        <v>185297.44</v>
      </c>
      <c r="Y326" s="172">
        <v>0</v>
      </c>
      <c r="Z326" s="171">
        <f t="shared" si="49"/>
        <v>185297.44</v>
      </c>
    </row>
    <row r="327" spans="1:26" ht="12.75" hidden="1" outlineLevel="1">
      <c r="A327" s="171" t="s">
        <v>49</v>
      </c>
      <c r="C327" s="172" t="s">
        <v>50</v>
      </c>
      <c r="D327" s="172" t="s">
        <v>51</v>
      </c>
      <c r="E327" s="171">
        <v>0</v>
      </c>
      <c r="F327" s="171">
        <v>146380</v>
      </c>
      <c r="G327" s="216">
        <f t="shared" si="43"/>
        <v>146380</v>
      </c>
      <c r="H327" s="217">
        <v>92598.8</v>
      </c>
      <c r="I327" s="217">
        <v>0</v>
      </c>
      <c r="J327" s="217">
        <v>0</v>
      </c>
      <c r="K327" s="217">
        <v>0</v>
      </c>
      <c r="L327" s="217">
        <f t="shared" si="44"/>
        <v>0</v>
      </c>
      <c r="M327" s="217">
        <v>0</v>
      </c>
      <c r="N327" s="217">
        <v>0</v>
      </c>
      <c r="O327" s="217">
        <v>0</v>
      </c>
      <c r="P327" s="217">
        <f t="shared" si="45"/>
        <v>0</v>
      </c>
      <c r="Q327" s="216">
        <v>0</v>
      </c>
      <c r="R327" s="216">
        <v>0</v>
      </c>
      <c r="S327" s="216">
        <v>0</v>
      </c>
      <c r="T327" s="216">
        <v>0</v>
      </c>
      <c r="U327" s="216">
        <f t="shared" si="46"/>
        <v>0</v>
      </c>
      <c r="V327" s="216">
        <f t="shared" si="47"/>
        <v>238978.8</v>
      </c>
      <c r="W327" s="171">
        <v>0</v>
      </c>
      <c r="X327" s="171">
        <f t="shared" si="48"/>
        <v>238978.8</v>
      </c>
      <c r="Y327" s="172">
        <v>0</v>
      </c>
      <c r="Z327" s="171">
        <f t="shared" si="49"/>
        <v>238978.8</v>
      </c>
    </row>
    <row r="328" spans="1:26" ht="12.75" hidden="1" outlineLevel="1">
      <c r="A328" s="171" t="s">
        <v>52</v>
      </c>
      <c r="C328" s="172" t="s">
        <v>53</v>
      </c>
      <c r="D328" s="172" t="s">
        <v>54</v>
      </c>
      <c r="E328" s="171">
        <v>0</v>
      </c>
      <c r="F328" s="171">
        <v>169553.66</v>
      </c>
      <c r="G328" s="216">
        <f t="shared" si="43"/>
        <v>169553.66</v>
      </c>
      <c r="H328" s="217">
        <v>0</v>
      </c>
      <c r="I328" s="217">
        <v>0</v>
      </c>
      <c r="J328" s="217">
        <v>0</v>
      </c>
      <c r="K328" s="217">
        <v>0</v>
      </c>
      <c r="L328" s="217">
        <f t="shared" si="44"/>
        <v>0</v>
      </c>
      <c r="M328" s="217">
        <v>0</v>
      </c>
      <c r="N328" s="217">
        <v>0</v>
      </c>
      <c r="O328" s="217">
        <v>0</v>
      </c>
      <c r="P328" s="217">
        <f t="shared" si="45"/>
        <v>0</v>
      </c>
      <c r="Q328" s="216">
        <v>0</v>
      </c>
      <c r="R328" s="216">
        <v>0</v>
      </c>
      <c r="S328" s="216">
        <v>0</v>
      </c>
      <c r="T328" s="216">
        <v>0</v>
      </c>
      <c r="U328" s="216">
        <f t="shared" si="46"/>
        <v>0</v>
      </c>
      <c r="V328" s="216">
        <f t="shared" si="47"/>
        <v>169553.66</v>
      </c>
      <c r="W328" s="171">
        <v>0</v>
      </c>
      <c r="X328" s="171">
        <f t="shared" si="48"/>
        <v>169553.66</v>
      </c>
      <c r="Y328" s="172">
        <v>0</v>
      </c>
      <c r="Z328" s="171">
        <f t="shared" si="49"/>
        <v>169553.66</v>
      </c>
    </row>
    <row r="329" spans="1:26" ht="12.75" hidden="1" outlineLevel="1">
      <c r="A329" s="171" t="s">
        <v>55</v>
      </c>
      <c r="C329" s="172" t="s">
        <v>56</v>
      </c>
      <c r="D329" s="172" t="s">
        <v>57</v>
      </c>
      <c r="E329" s="171">
        <v>0</v>
      </c>
      <c r="F329" s="171">
        <v>3.5</v>
      </c>
      <c r="G329" s="216">
        <f t="shared" si="43"/>
        <v>3.5</v>
      </c>
      <c r="H329" s="217">
        <v>0</v>
      </c>
      <c r="I329" s="217">
        <v>0</v>
      </c>
      <c r="J329" s="217">
        <v>0</v>
      </c>
      <c r="K329" s="217">
        <v>0</v>
      </c>
      <c r="L329" s="217">
        <f t="shared" si="44"/>
        <v>0</v>
      </c>
      <c r="M329" s="217">
        <v>0</v>
      </c>
      <c r="N329" s="217">
        <v>0</v>
      </c>
      <c r="O329" s="217">
        <v>0</v>
      </c>
      <c r="P329" s="217">
        <f t="shared" si="45"/>
        <v>0</v>
      </c>
      <c r="Q329" s="216">
        <v>0</v>
      </c>
      <c r="R329" s="216">
        <v>0</v>
      </c>
      <c r="S329" s="216">
        <v>0</v>
      </c>
      <c r="T329" s="216">
        <v>0</v>
      </c>
      <c r="U329" s="216">
        <f t="shared" si="46"/>
        <v>0</v>
      </c>
      <c r="V329" s="216">
        <f t="shared" si="47"/>
        <v>3.5</v>
      </c>
      <c r="W329" s="171">
        <v>0</v>
      </c>
      <c r="X329" s="171">
        <f t="shared" si="48"/>
        <v>3.5</v>
      </c>
      <c r="Y329" s="172">
        <v>0</v>
      </c>
      <c r="Z329" s="171">
        <f t="shared" si="49"/>
        <v>3.5</v>
      </c>
    </row>
    <row r="330" spans="1:26" ht="12.75" hidden="1" outlineLevel="1">
      <c r="A330" s="171" t="s">
        <v>58</v>
      </c>
      <c r="C330" s="172" t="s">
        <v>59</v>
      </c>
      <c r="D330" s="172" t="s">
        <v>60</v>
      </c>
      <c r="E330" s="171">
        <v>0</v>
      </c>
      <c r="F330" s="171">
        <v>1583756.55</v>
      </c>
      <c r="G330" s="216">
        <f t="shared" si="43"/>
        <v>1583756.55</v>
      </c>
      <c r="H330" s="217">
        <v>510896.94</v>
      </c>
      <c r="I330" s="217">
        <v>0</v>
      </c>
      <c r="J330" s="217">
        <v>0</v>
      </c>
      <c r="K330" s="217">
        <v>0</v>
      </c>
      <c r="L330" s="217">
        <f t="shared" si="44"/>
        <v>0</v>
      </c>
      <c r="M330" s="217">
        <v>0</v>
      </c>
      <c r="N330" s="217">
        <v>0</v>
      </c>
      <c r="O330" s="217">
        <v>0</v>
      </c>
      <c r="P330" s="217">
        <f t="shared" si="45"/>
        <v>0</v>
      </c>
      <c r="Q330" s="216">
        <v>0</v>
      </c>
      <c r="R330" s="216">
        <v>0</v>
      </c>
      <c r="S330" s="216">
        <v>0</v>
      </c>
      <c r="T330" s="216">
        <v>0</v>
      </c>
      <c r="U330" s="216">
        <f t="shared" si="46"/>
        <v>0</v>
      </c>
      <c r="V330" s="216">
        <f t="shared" si="47"/>
        <v>2094653.49</v>
      </c>
      <c r="W330" s="171">
        <v>0</v>
      </c>
      <c r="X330" s="171">
        <f t="shared" si="48"/>
        <v>2094653.49</v>
      </c>
      <c r="Y330" s="172">
        <v>0</v>
      </c>
      <c r="Z330" s="171">
        <f t="shared" si="49"/>
        <v>2094653.49</v>
      </c>
    </row>
    <row r="331" spans="1:26" ht="12.75" hidden="1" outlineLevel="1">
      <c r="A331" s="171" t="s">
        <v>61</v>
      </c>
      <c r="C331" s="172" t="s">
        <v>62</v>
      </c>
      <c r="D331" s="172" t="s">
        <v>63</v>
      </c>
      <c r="E331" s="171">
        <v>0</v>
      </c>
      <c r="F331" s="171">
        <v>0</v>
      </c>
      <c r="G331" s="216">
        <f t="shared" si="43"/>
        <v>0</v>
      </c>
      <c r="H331" s="217">
        <v>59244.62</v>
      </c>
      <c r="I331" s="217">
        <v>0</v>
      </c>
      <c r="J331" s="217">
        <v>0</v>
      </c>
      <c r="K331" s="217">
        <v>0</v>
      </c>
      <c r="L331" s="217">
        <f t="shared" si="44"/>
        <v>0</v>
      </c>
      <c r="M331" s="217">
        <v>0</v>
      </c>
      <c r="N331" s="217">
        <v>0</v>
      </c>
      <c r="O331" s="217">
        <v>0</v>
      </c>
      <c r="P331" s="217">
        <f t="shared" si="45"/>
        <v>0</v>
      </c>
      <c r="Q331" s="216">
        <v>793160.46</v>
      </c>
      <c r="R331" s="216">
        <v>0</v>
      </c>
      <c r="S331" s="216">
        <v>0</v>
      </c>
      <c r="T331" s="216">
        <v>0</v>
      </c>
      <c r="U331" s="216">
        <f t="shared" si="46"/>
        <v>793160.46</v>
      </c>
      <c r="V331" s="216">
        <f t="shared" si="47"/>
        <v>852405.08</v>
      </c>
      <c r="W331" s="171">
        <v>0</v>
      </c>
      <c r="X331" s="171">
        <f t="shared" si="48"/>
        <v>852405.08</v>
      </c>
      <c r="Y331" s="172">
        <v>0</v>
      </c>
      <c r="Z331" s="171">
        <f t="shared" si="49"/>
        <v>852405.08</v>
      </c>
    </row>
    <row r="332" spans="1:26" ht="12.75" hidden="1" outlineLevel="1">
      <c r="A332" s="171" t="s">
        <v>64</v>
      </c>
      <c r="C332" s="172" t="s">
        <v>65</v>
      </c>
      <c r="D332" s="172" t="s">
        <v>66</v>
      </c>
      <c r="E332" s="171">
        <v>0</v>
      </c>
      <c r="F332" s="171">
        <v>949092.48</v>
      </c>
      <c r="G332" s="216">
        <f t="shared" si="43"/>
        <v>949092.48</v>
      </c>
      <c r="H332" s="217">
        <v>131607.77</v>
      </c>
      <c r="I332" s="217">
        <v>0</v>
      </c>
      <c r="J332" s="217">
        <v>0</v>
      </c>
      <c r="K332" s="217">
        <v>0</v>
      </c>
      <c r="L332" s="217">
        <f t="shared" si="44"/>
        <v>0</v>
      </c>
      <c r="M332" s="217">
        <v>0</v>
      </c>
      <c r="N332" s="217">
        <v>0</v>
      </c>
      <c r="O332" s="217">
        <v>0</v>
      </c>
      <c r="P332" s="217">
        <f t="shared" si="45"/>
        <v>0</v>
      </c>
      <c r="Q332" s="216">
        <v>243895.55</v>
      </c>
      <c r="R332" s="216">
        <v>351839.06</v>
      </c>
      <c r="S332" s="216">
        <v>0</v>
      </c>
      <c r="T332" s="216">
        <v>0</v>
      </c>
      <c r="U332" s="216">
        <f t="shared" si="46"/>
        <v>595734.61</v>
      </c>
      <c r="V332" s="216">
        <f t="shared" si="47"/>
        <v>1676434.8599999999</v>
      </c>
      <c r="W332" s="171">
        <v>0</v>
      </c>
      <c r="X332" s="171">
        <f t="shared" si="48"/>
        <v>1676434.8599999999</v>
      </c>
      <c r="Y332" s="172">
        <v>0</v>
      </c>
      <c r="Z332" s="171">
        <f t="shared" si="49"/>
        <v>1676434.8599999999</v>
      </c>
    </row>
    <row r="333" spans="1:26" ht="12.75" hidden="1" outlineLevel="1">
      <c r="A333" s="171" t="s">
        <v>67</v>
      </c>
      <c r="C333" s="172" t="s">
        <v>68</v>
      </c>
      <c r="D333" s="172" t="s">
        <v>69</v>
      </c>
      <c r="E333" s="171">
        <v>0</v>
      </c>
      <c r="F333" s="171">
        <v>3302408.09</v>
      </c>
      <c r="G333" s="216">
        <f t="shared" si="43"/>
        <v>3302408.09</v>
      </c>
      <c r="H333" s="217">
        <v>0</v>
      </c>
      <c r="I333" s="217">
        <v>0</v>
      </c>
      <c r="J333" s="217">
        <v>0</v>
      </c>
      <c r="K333" s="217">
        <v>0</v>
      </c>
      <c r="L333" s="217">
        <f t="shared" si="44"/>
        <v>0</v>
      </c>
      <c r="M333" s="217">
        <v>0</v>
      </c>
      <c r="N333" s="217">
        <v>0</v>
      </c>
      <c r="O333" s="217">
        <v>0</v>
      </c>
      <c r="P333" s="217">
        <f t="shared" si="45"/>
        <v>0</v>
      </c>
      <c r="Q333" s="216">
        <v>39696.88</v>
      </c>
      <c r="R333" s="216">
        <v>55283.24</v>
      </c>
      <c r="S333" s="216">
        <v>0</v>
      </c>
      <c r="T333" s="216">
        <v>0</v>
      </c>
      <c r="U333" s="216">
        <f t="shared" si="46"/>
        <v>94980.12</v>
      </c>
      <c r="V333" s="216">
        <f t="shared" si="47"/>
        <v>3397388.21</v>
      </c>
      <c r="W333" s="171">
        <v>0</v>
      </c>
      <c r="X333" s="171">
        <f t="shared" si="48"/>
        <v>3397388.21</v>
      </c>
      <c r="Y333" s="172">
        <v>0</v>
      </c>
      <c r="Z333" s="171">
        <f t="shared" si="49"/>
        <v>3397388.21</v>
      </c>
    </row>
    <row r="334" spans="1:26" ht="12.75" hidden="1" outlineLevel="1">
      <c r="A334" s="171" t="s">
        <v>70</v>
      </c>
      <c r="C334" s="172" t="s">
        <v>71</v>
      </c>
      <c r="D334" s="172" t="s">
        <v>72</v>
      </c>
      <c r="E334" s="171">
        <v>0</v>
      </c>
      <c r="F334" s="171">
        <v>0</v>
      </c>
      <c r="G334" s="216">
        <f aca="true" t="shared" si="50" ref="G334:G342">E334+F334</f>
        <v>0</v>
      </c>
      <c r="H334" s="217">
        <v>0</v>
      </c>
      <c r="I334" s="217">
        <v>0</v>
      </c>
      <c r="J334" s="217">
        <v>0</v>
      </c>
      <c r="K334" s="217">
        <v>0</v>
      </c>
      <c r="L334" s="217">
        <f aca="true" t="shared" si="51" ref="L334:L342">J334+I334+K334</f>
        <v>0</v>
      </c>
      <c r="M334" s="217">
        <v>0</v>
      </c>
      <c r="N334" s="217">
        <v>0</v>
      </c>
      <c r="O334" s="217">
        <v>0</v>
      </c>
      <c r="P334" s="217">
        <f aca="true" t="shared" si="52" ref="P334:P342">M334+N334+O334</f>
        <v>0</v>
      </c>
      <c r="Q334" s="216">
        <v>0</v>
      </c>
      <c r="R334" s="216">
        <v>131276.06</v>
      </c>
      <c r="S334" s="216">
        <v>0</v>
      </c>
      <c r="T334" s="216">
        <v>0</v>
      </c>
      <c r="U334" s="216">
        <f aca="true" t="shared" si="53" ref="U334:U342">Q334+R334+S334+T334</f>
        <v>131276.06</v>
      </c>
      <c r="V334" s="216">
        <f aca="true" t="shared" si="54" ref="V334:V342">G334+H334+L334+P334+U334</f>
        <v>131276.06</v>
      </c>
      <c r="W334" s="171">
        <v>0</v>
      </c>
      <c r="X334" s="171">
        <f aca="true" t="shared" si="55" ref="X334:X342">V334+W334</f>
        <v>131276.06</v>
      </c>
      <c r="Y334" s="172">
        <v>0</v>
      </c>
      <c r="Z334" s="171">
        <f aca="true" t="shared" si="56" ref="Z334:Z342">X334+Y334</f>
        <v>131276.06</v>
      </c>
    </row>
    <row r="335" spans="1:26" ht="12.75" hidden="1" outlineLevel="1">
      <c r="A335" s="171" t="s">
        <v>73</v>
      </c>
      <c r="C335" s="172" t="s">
        <v>3265</v>
      </c>
      <c r="D335" s="172" t="s">
        <v>74</v>
      </c>
      <c r="E335" s="171">
        <v>0</v>
      </c>
      <c r="F335" s="171">
        <v>80000</v>
      </c>
      <c r="G335" s="216">
        <f t="shared" si="50"/>
        <v>80000</v>
      </c>
      <c r="H335" s="217">
        <v>0</v>
      </c>
      <c r="I335" s="217">
        <v>0</v>
      </c>
      <c r="J335" s="217">
        <v>0</v>
      </c>
      <c r="K335" s="217">
        <v>0</v>
      </c>
      <c r="L335" s="217">
        <f t="shared" si="51"/>
        <v>0</v>
      </c>
      <c r="M335" s="217">
        <v>0</v>
      </c>
      <c r="N335" s="217">
        <v>0</v>
      </c>
      <c r="O335" s="217">
        <v>0</v>
      </c>
      <c r="P335" s="217">
        <f t="shared" si="52"/>
        <v>0</v>
      </c>
      <c r="Q335" s="216">
        <v>80000</v>
      </c>
      <c r="R335" s="216">
        <v>0</v>
      </c>
      <c r="S335" s="216">
        <v>0</v>
      </c>
      <c r="T335" s="216">
        <v>0</v>
      </c>
      <c r="U335" s="216">
        <f t="shared" si="53"/>
        <v>80000</v>
      </c>
      <c r="V335" s="216">
        <f t="shared" si="54"/>
        <v>160000</v>
      </c>
      <c r="W335" s="171">
        <v>0</v>
      </c>
      <c r="X335" s="171">
        <f t="shared" si="55"/>
        <v>160000</v>
      </c>
      <c r="Y335" s="172">
        <v>0</v>
      </c>
      <c r="Z335" s="171">
        <f t="shared" si="56"/>
        <v>160000</v>
      </c>
    </row>
    <row r="336" spans="1:26" ht="12.75" hidden="1" outlineLevel="1">
      <c r="A336" s="171" t="s">
        <v>75</v>
      </c>
      <c r="C336" s="172" t="s">
        <v>76</v>
      </c>
      <c r="D336" s="172" t="s">
        <v>77</v>
      </c>
      <c r="E336" s="171">
        <v>0</v>
      </c>
      <c r="F336" s="171">
        <v>1798575.46</v>
      </c>
      <c r="G336" s="216">
        <f t="shared" si="50"/>
        <v>1798575.46</v>
      </c>
      <c r="H336" s="217">
        <v>1354091.25</v>
      </c>
      <c r="I336" s="217">
        <v>0</v>
      </c>
      <c r="J336" s="217">
        <v>0</v>
      </c>
      <c r="K336" s="217">
        <v>0</v>
      </c>
      <c r="L336" s="217">
        <f t="shared" si="51"/>
        <v>0</v>
      </c>
      <c r="M336" s="217">
        <v>0</v>
      </c>
      <c r="N336" s="217">
        <v>0</v>
      </c>
      <c r="O336" s="217">
        <v>0</v>
      </c>
      <c r="P336" s="217">
        <f t="shared" si="52"/>
        <v>0</v>
      </c>
      <c r="Q336" s="216">
        <v>3693049.99</v>
      </c>
      <c r="R336" s="216">
        <v>18573413.05</v>
      </c>
      <c r="S336" s="216">
        <v>0</v>
      </c>
      <c r="T336" s="216">
        <v>0</v>
      </c>
      <c r="U336" s="216">
        <f t="shared" si="53"/>
        <v>22266463.04</v>
      </c>
      <c r="V336" s="216">
        <f t="shared" si="54"/>
        <v>25419129.75</v>
      </c>
      <c r="W336" s="171">
        <v>0</v>
      </c>
      <c r="X336" s="171">
        <f t="shared" si="55"/>
        <v>25419129.75</v>
      </c>
      <c r="Y336" s="172">
        <v>0</v>
      </c>
      <c r="Z336" s="171">
        <f t="shared" si="56"/>
        <v>25419129.75</v>
      </c>
    </row>
    <row r="337" spans="1:26" ht="12.75" hidden="1" outlineLevel="1">
      <c r="A337" s="171" t="s">
        <v>78</v>
      </c>
      <c r="C337" s="172" t="s">
        <v>79</v>
      </c>
      <c r="D337" s="172" t="s">
        <v>80</v>
      </c>
      <c r="E337" s="171">
        <v>0</v>
      </c>
      <c r="F337" s="171">
        <v>0</v>
      </c>
      <c r="G337" s="216">
        <f t="shared" si="50"/>
        <v>0</v>
      </c>
      <c r="H337" s="217">
        <v>904.65</v>
      </c>
      <c r="I337" s="217">
        <v>0</v>
      </c>
      <c r="J337" s="217">
        <v>0</v>
      </c>
      <c r="K337" s="217">
        <v>0</v>
      </c>
      <c r="L337" s="217">
        <f t="shared" si="51"/>
        <v>0</v>
      </c>
      <c r="M337" s="217">
        <v>0</v>
      </c>
      <c r="N337" s="217">
        <v>0</v>
      </c>
      <c r="O337" s="217">
        <v>0</v>
      </c>
      <c r="P337" s="217">
        <f t="shared" si="52"/>
        <v>0</v>
      </c>
      <c r="Q337" s="216">
        <v>107098.92</v>
      </c>
      <c r="R337" s="216">
        <v>517066.63</v>
      </c>
      <c r="S337" s="216">
        <v>0</v>
      </c>
      <c r="T337" s="216">
        <v>0</v>
      </c>
      <c r="U337" s="216">
        <f t="shared" si="53"/>
        <v>624165.55</v>
      </c>
      <c r="V337" s="216">
        <f t="shared" si="54"/>
        <v>625070.2000000001</v>
      </c>
      <c r="W337" s="171">
        <v>0</v>
      </c>
      <c r="X337" s="171">
        <f t="shared" si="55"/>
        <v>625070.2000000001</v>
      </c>
      <c r="Y337" s="172">
        <v>0</v>
      </c>
      <c r="Z337" s="171">
        <f t="shared" si="56"/>
        <v>625070.2000000001</v>
      </c>
    </row>
    <row r="338" spans="1:27" ht="12.75" collapsed="1">
      <c r="A338" s="208" t="s">
        <v>81</v>
      </c>
      <c r="B338" s="209"/>
      <c r="C338" s="208" t="s">
        <v>82</v>
      </c>
      <c r="D338" s="210"/>
      <c r="E338" s="185">
        <v>0</v>
      </c>
      <c r="F338" s="185">
        <v>9086896.55</v>
      </c>
      <c r="G338" s="101">
        <f t="shared" si="50"/>
        <v>9086896.55</v>
      </c>
      <c r="H338" s="101">
        <v>3368119.45</v>
      </c>
      <c r="I338" s="101">
        <v>0</v>
      </c>
      <c r="J338" s="101">
        <v>0</v>
      </c>
      <c r="K338" s="101">
        <v>0</v>
      </c>
      <c r="L338" s="101">
        <f t="shared" si="51"/>
        <v>0</v>
      </c>
      <c r="M338" s="101">
        <v>0</v>
      </c>
      <c r="N338" s="101">
        <v>0</v>
      </c>
      <c r="O338" s="101">
        <v>0</v>
      </c>
      <c r="P338" s="101">
        <f t="shared" si="52"/>
        <v>0</v>
      </c>
      <c r="Q338" s="101">
        <v>5136609.46</v>
      </c>
      <c r="R338" s="101">
        <v>19628878.04</v>
      </c>
      <c r="S338" s="101">
        <v>181756</v>
      </c>
      <c r="T338" s="101">
        <v>-38474792.67</v>
      </c>
      <c r="U338" s="101">
        <f t="shared" si="53"/>
        <v>-13527549.170000002</v>
      </c>
      <c r="V338" s="101">
        <f t="shared" si="54"/>
        <v>-1072533.1700000018</v>
      </c>
      <c r="W338" s="185">
        <v>0</v>
      </c>
      <c r="X338" s="185">
        <f t="shared" si="55"/>
        <v>-1072533.1700000018</v>
      </c>
      <c r="Y338" s="185">
        <v>0</v>
      </c>
      <c r="Z338" s="185">
        <f t="shared" si="56"/>
        <v>-1072533.1700000018</v>
      </c>
      <c r="AA338" s="208"/>
    </row>
    <row r="339" spans="1:26" ht="12.75" hidden="1" outlineLevel="1">
      <c r="A339" s="171" t="s">
        <v>83</v>
      </c>
      <c r="C339" s="172" t="s">
        <v>2392</v>
      </c>
      <c r="D339" s="172" t="s">
        <v>2393</v>
      </c>
      <c r="E339" s="171">
        <v>0</v>
      </c>
      <c r="F339" s="171">
        <v>0</v>
      </c>
      <c r="G339" s="216">
        <f t="shared" si="50"/>
        <v>0</v>
      </c>
      <c r="H339" s="217">
        <v>0</v>
      </c>
      <c r="I339" s="217">
        <v>0</v>
      </c>
      <c r="J339" s="217">
        <v>0</v>
      </c>
      <c r="K339" s="217">
        <v>0</v>
      </c>
      <c r="L339" s="217">
        <f t="shared" si="51"/>
        <v>0</v>
      </c>
      <c r="M339" s="217">
        <v>0</v>
      </c>
      <c r="N339" s="217">
        <v>0</v>
      </c>
      <c r="O339" s="217">
        <v>0</v>
      </c>
      <c r="P339" s="217">
        <f t="shared" si="52"/>
        <v>0</v>
      </c>
      <c r="Q339" s="216">
        <v>0</v>
      </c>
      <c r="R339" s="216">
        <v>0</v>
      </c>
      <c r="S339" s="216">
        <v>0</v>
      </c>
      <c r="T339" s="216">
        <v>4445769.89</v>
      </c>
      <c r="U339" s="216">
        <f t="shared" si="53"/>
        <v>4445769.89</v>
      </c>
      <c r="V339" s="216">
        <f t="shared" si="54"/>
        <v>4445769.89</v>
      </c>
      <c r="W339" s="171">
        <v>0</v>
      </c>
      <c r="X339" s="171">
        <f t="shared" si="55"/>
        <v>4445769.89</v>
      </c>
      <c r="Y339" s="172">
        <v>0</v>
      </c>
      <c r="Z339" s="171">
        <f t="shared" si="56"/>
        <v>4445769.89</v>
      </c>
    </row>
    <row r="340" spans="1:26" ht="12.75" hidden="1" outlineLevel="1">
      <c r="A340" s="171" t="s">
        <v>2394</v>
      </c>
      <c r="C340" s="172" t="s">
        <v>2395</v>
      </c>
      <c r="D340" s="172" t="s">
        <v>2396</v>
      </c>
      <c r="E340" s="171">
        <v>0</v>
      </c>
      <c r="F340" s="171">
        <v>0</v>
      </c>
      <c r="G340" s="216">
        <f t="shared" si="50"/>
        <v>0</v>
      </c>
      <c r="H340" s="217">
        <v>0</v>
      </c>
      <c r="I340" s="217">
        <v>0</v>
      </c>
      <c r="J340" s="217">
        <v>0</v>
      </c>
      <c r="K340" s="217">
        <v>0</v>
      </c>
      <c r="L340" s="217">
        <f t="shared" si="51"/>
        <v>0</v>
      </c>
      <c r="M340" s="217">
        <v>0</v>
      </c>
      <c r="N340" s="217">
        <v>0</v>
      </c>
      <c r="O340" s="217">
        <v>0</v>
      </c>
      <c r="P340" s="217">
        <f t="shared" si="52"/>
        <v>0</v>
      </c>
      <c r="Q340" s="216">
        <v>0</v>
      </c>
      <c r="R340" s="216">
        <v>0</v>
      </c>
      <c r="S340" s="216">
        <v>0</v>
      </c>
      <c r="T340" s="216">
        <v>1833417.8</v>
      </c>
      <c r="U340" s="216">
        <f t="shared" si="53"/>
        <v>1833417.8</v>
      </c>
      <c r="V340" s="216">
        <f t="shared" si="54"/>
        <v>1833417.8</v>
      </c>
      <c r="W340" s="171">
        <v>0</v>
      </c>
      <c r="X340" s="171">
        <f t="shared" si="55"/>
        <v>1833417.8</v>
      </c>
      <c r="Y340" s="172">
        <v>0</v>
      </c>
      <c r="Z340" s="171">
        <f t="shared" si="56"/>
        <v>1833417.8</v>
      </c>
    </row>
    <row r="341" spans="1:26" ht="12.75" hidden="1" outlineLevel="1">
      <c r="A341" s="171" t="s">
        <v>2397</v>
      </c>
      <c r="C341" s="172" t="s">
        <v>2398</v>
      </c>
      <c r="D341" s="172" t="s">
        <v>2399</v>
      </c>
      <c r="E341" s="171">
        <v>0</v>
      </c>
      <c r="F341" s="171">
        <v>0</v>
      </c>
      <c r="G341" s="216">
        <f t="shared" si="50"/>
        <v>0</v>
      </c>
      <c r="H341" s="217">
        <v>0</v>
      </c>
      <c r="I341" s="217">
        <v>0</v>
      </c>
      <c r="J341" s="217">
        <v>0</v>
      </c>
      <c r="K341" s="217">
        <v>0</v>
      </c>
      <c r="L341" s="217">
        <f t="shared" si="51"/>
        <v>0</v>
      </c>
      <c r="M341" s="217">
        <v>0</v>
      </c>
      <c r="N341" s="217">
        <v>0</v>
      </c>
      <c r="O341" s="217">
        <v>0</v>
      </c>
      <c r="P341" s="217">
        <f t="shared" si="52"/>
        <v>0</v>
      </c>
      <c r="Q341" s="216">
        <v>0</v>
      </c>
      <c r="R341" s="216">
        <v>0</v>
      </c>
      <c r="S341" s="216">
        <v>0</v>
      </c>
      <c r="T341" s="216">
        <v>864863.2</v>
      </c>
      <c r="U341" s="216">
        <f t="shared" si="53"/>
        <v>864863.2</v>
      </c>
      <c r="V341" s="216">
        <f t="shared" si="54"/>
        <v>864863.2</v>
      </c>
      <c r="W341" s="171">
        <v>0</v>
      </c>
      <c r="X341" s="171">
        <f t="shared" si="55"/>
        <v>864863.2</v>
      </c>
      <c r="Y341" s="172">
        <v>0</v>
      </c>
      <c r="Z341" s="171">
        <f t="shared" si="56"/>
        <v>864863.2</v>
      </c>
    </row>
    <row r="342" spans="1:27" ht="12.75" collapsed="1">
      <c r="A342" s="208" t="s">
        <v>2400</v>
      </c>
      <c r="B342" s="209"/>
      <c r="C342" s="208" t="s">
        <v>2953</v>
      </c>
      <c r="D342" s="210"/>
      <c r="E342" s="185">
        <v>0</v>
      </c>
      <c r="F342" s="185">
        <v>0</v>
      </c>
      <c r="G342" s="101">
        <f t="shared" si="50"/>
        <v>0</v>
      </c>
      <c r="H342" s="101">
        <v>0</v>
      </c>
      <c r="I342" s="101">
        <v>0</v>
      </c>
      <c r="J342" s="101">
        <v>0</v>
      </c>
      <c r="K342" s="101">
        <v>0</v>
      </c>
      <c r="L342" s="101">
        <f t="shared" si="51"/>
        <v>0</v>
      </c>
      <c r="M342" s="101">
        <v>0</v>
      </c>
      <c r="N342" s="101">
        <v>0</v>
      </c>
      <c r="O342" s="101">
        <v>0</v>
      </c>
      <c r="P342" s="101">
        <f t="shared" si="52"/>
        <v>0</v>
      </c>
      <c r="Q342" s="101">
        <v>0</v>
      </c>
      <c r="R342" s="101">
        <v>0</v>
      </c>
      <c r="S342" s="101">
        <v>0</v>
      </c>
      <c r="T342" s="101">
        <v>7144050.89</v>
      </c>
      <c r="U342" s="101">
        <f t="shared" si="53"/>
        <v>7144050.89</v>
      </c>
      <c r="V342" s="101">
        <f t="shared" si="54"/>
        <v>7144050.89</v>
      </c>
      <c r="W342" s="185">
        <v>0</v>
      </c>
      <c r="X342" s="185">
        <f t="shared" si="55"/>
        <v>7144050.89</v>
      </c>
      <c r="Y342" s="185">
        <v>0</v>
      </c>
      <c r="Z342" s="185">
        <f t="shared" si="56"/>
        <v>7144050.89</v>
      </c>
      <c r="AA342" s="208"/>
    </row>
    <row r="343" spans="1:27" ht="15.75">
      <c r="A343" s="213"/>
      <c r="B343" s="214"/>
      <c r="C343" s="207" t="s">
        <v>2954</v>
      </c>
      <c r="D343" s="62"/>
      <c r="E343" s="151">
        <f aca="true" t="shared" si="57" ref="E343:Z343">E95+E112+E314+E316+E342+E338</f>
        <v>0</v>
      </c>
      <c r="F343" s="151">
        <f t="shared" si="57"/>
        <v>208028331.95999998</v>
      </c>
      <c r="G343" s="103">
        <f t="shared" si="57"/>
        <v>208028331.95999998</v>
      </c>
      <c r="H343" s="103">
        <f t="shared" si="57"/>
        <v>43984890.07</v>
      </c>
      <c r="I343" s="103">
        <f t="shared" si="57"/>
        <v>883.42</v>
      </c>
      <c r="J343" s="103">
        <f t="shared" si="57"/>
        <v>0</v>
      </c>
      <c r="K343" s="103">
        <f t="shared" si="57"/>
        <v>157446.74</v>
      </c>
      <c r="L343" s="103">
        <f t="shared" si="57"/>
        <v>158330.16</v>
      </c>
      <c r="M343" s="103">
        <f t="shared" si="57"/>
        <v>0</v>
      </c>
      <c r="N343" s="103">
        <f t="shared" si="57"/>
        <v>79156.93</v>
      </c>
      <c r="O343" s="103">
        <f t="shared" si="57"/>
        <v>2388</v>
      </c>
      <c r="P343" s="103">
        <f t="shared" si="57"/>
        <v>81544.93</v>
      </c>
      <c r="Q343" s="103">
        <f t="shared" si="57"/>
        <v>4095729.53</v>
      </c>
      <c r="R343" s="103">
        <f t="shared" si="57"/>
        <v>1818397.6499999985</v>
      </c>
      <c r="S343" s="103">
        <f t="shared" si="57"/>
        <v>-268288.65</v>
      </c>
      <c r="T343" s="103">
        <f t="shared" si="57"/>
        <v>-11769743.25</v>
      </c>
      <c r="U343" s="103">
        <f t="shared" si="57"/>
        <v>-6123904.72</v>
      </c>
      <c r="V343" s="103">
        <f t="shared" si="57"/>
        <v>246129192.39999998</v>
      </c>
      <c r="W343" s="151">
        <f t="shared" si="57"/>
        <v>0</v>
      </c>
      <c r="X343" s="151">
        <f t="shared" si="57"/>
        <v>246129192.39999998</v>
      </c>
      <c r="Y343" s="151">
        <f t="shared" si="57"/>
        <v>1898738.3800000001</v>
      </c>
      <c r="Z343" s="151">
        <f t="shared" si="57"/>
        <v>248027930.7799999</v>
      </c>
      <c r="AA343" s="206"/>
    </row>
    <row r="344" spans="2:26" ht="12.75">
      <c r="B344" s="214"/>
      <c r="C344" s="215"/>
      <c r="D344" s="72"/>
      <c r="E344" s="185"/>
      <c r="F344" s="185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85"/>
      <c r="X344" s="185"/>
      <c r="Y344" s="185"/>
      <c r="Z344" s="185"/>
    </row>
    <row r="345" spans="1:27" ht="15">
      <c r="A345" s="206"/>
      <c r="B345" s="214" t="s">
        <v>2401</v>
      </c>
      <c r="C345" s="215"/>
      <c r="D345" s="72"/>
      <c r="E345" s="185"/>
      <c r="F345" s="185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85"/>
      <c r="X345" s="185"/>
      <c r="Y345" s="185"/>
      <c r="Z345" s="185"/>
      <c r="AA345" s="206"/>
    </row>
    <row r="346" spans="1:27" ht="15.75">
      <c r="A346" s="213"/>
      <c r="B346" s="214" t="s">
        <v>962</v>
      </c>
      <c r="C346" s="215"/>
      <c r="D346" s="72"/>
      <c r="E346" s="151">
        <f aca="true" t="shared" si="58" ref="E346:Z346">E75-E343</f>
        <v>0</v>
      </c>
      <c r="F346" s="151">
        <f t="shared" si="58"/>
        <v>-68224422.63999999</v>
      </c>
      <c r="G346" s="103">
        <f t="shared" si="58"/>
        <v>-68224422.63999999</v>
      </c>
      <c r="H346" s="103">
        <f t="shared" si="58"/>
        <v>-12574829.010000002</v>
      </c>
      <c r="I346" s="103">
        <f t="shared" si="58"/>
        <v>10803.42</v>
      </c>
      <c r="J346" s="103">
        <f t="shared" si="58"/>
        <v>0</v>
      </c>
      <c r="K346" s="103">
        <f t="shared" si="58"/>
        <v>188084.85000000003</v>
      </c>
      <c r="L346" s="103">
        <f t="shared" si="58"/>
        <v>198888.27000000005</v>
      </c>
      <c r="M346" s="103">
        <f t="shared" si="58"/>
        <v>0</v>
      </c>
      <c r="N346" s="103">
        <f t="shared" si="58"/>
        <v>-78836.93</v>
      </c>
      <c r="O346" s="103">
        <f t="shared" si="58"/>
        <v>10162</v>
      </c>
      <c r="P346" s="103">
        <f t="shared" si="58"/>
        <v>-68674.93</v>
      </c>
      <c r="Q346" s="103">
        <f t="shared" si="58"/>
        <v>-4095729.53</v>
      </c>
      <c r="R346" s="103">
        <f t="shared" si="58"/>
        <v>-1818397.6499999985</v>
      </c>
      <c r="S346" s="103">
        <f t="shared" si="58"/>
        <v>268288.65</v>
      </c>
      <c r="T346" s="103">
        <f t="shared" si="58"/>
        <v>11769743.25</v>
      </c>
      <c r="U346" s="103">
        <f t="shared" si="58"/>
        <v>6123904.72</v>
      </c>
      <c r="V346" s="103">
        <f t="shared" si="58"/>
        <v>-74545133.58999997</v>
      </c>
      <c r="W346" s="151">
        <f t="shared" si="58"/>
        <v>0</v>
      </c>
      <c r="X346" s="151">
        <f t="shared" si="58"/>
        <v>-74545133.58999997</v>
      </c>
      <c r="Y346" s="151">
        <f t="shared" si="58"/>
        <v>3135943.589999984</v>
      </c>
      <c r="Z346" s="151">
        <f t="shared" si="58"/>
        <v>-71409189.99999991</v>
      </c>
      <c r="AA346" s="206"/>
    </row>
    <row r="347" spans="2:26" ht="12.75">
      <c r="B347" s="209"/>
      <c r="C347" s="208"/>
      <c r="D347" s="210"/>
      <c r="E347" s="185"/>
      <c r="F347" s="185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85"/>
      <c r="X347" s="185"/>
      <c r="Y347" s="185"/>
      <c r="Z347" s="185"/>
    </row>
    <row r="348" spans="1:27" ht="12.75">
      <c r="A348" s="208" t="s">
        <v>726</v>
      </c>
      <c r="B348" s="209"/>
      <c r="C348" s="208" t="s">
        <v>3043</v>
      </c>
      <c r="D348" s="210"/>
      <c r="E348" s="185">
        <v>0</v>
      </c>
      <c r="F348" s="185">
        <v>73328953.97</v>
      </c>
      <c r="G348" s="101">
        <f>E348+F348</f>
        <v>73328953.97</v>
      </c>
      <c r="H348" s="101">
        <v>54675.41</v>
      </c>
      <c r="I348" s="101">
        <v>0</v>
      </c>
      <c r="J348" s="101">
        <v>0</v>
      </c>
      <c r="K348" s="101">
        <v>0</v>
      </c>
      <c r="L348" s="101">
        <f>J348+I348+K348</f>
        <v>0</v>
      </c>
      <c r="M348" s="101">
        <v>0</v>
      </c>
      <c r="N348" s="101">
        <v>0</v>
      </c>
      <c r="O348" s="101">
        <v>0</v>
      </c>
      <c r="P348" s="101">
        <f>M348+N348+O348</f>
        <v>0</v>
      </c>
      <c r="Q348" s="101">
        <v>0</v>
      </c>
      <c r="R348" s="101">
        <v>0</v>
      </c>
      <c r="S348" s="101">
        <v>0</v>
      </c>
      <c r="T348" s="101">
        <v>0</v>
      </c>
      <c r="U348" s="101">
        <f>Q348+R348+S348+T348</f>
        <v>0</v>
      </c>
      <c r="V348" s="101">
        <f>G348+H348+L348+P348+U348</f>
        <v>73383629.38</v>
      </c>
      <c r="W348" s="185">
        <v>0</v>
      </c>
      <c r="X348" s="185">
        <f>V348+W348</f>
        <v>73383629.38</v>
      </c>
      <c r="Y348" s="185">
        <v>0</v>
      </c>
      <c r="Z348" s="185">
        <f>X348+Y348</f>
        <v>73383629.38</v>
      </c>
      <c r="AA348" s="208"/>
    </row>
    <row r="349" spans="2:26" ht="12.75">
      <c r="B349" s="209"/>
      <c r="C349" s="208"/>
      <c r="D349" s="210"/>
      <c r="E349" s="185"/>
      <c r="F349" s="185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85"/>
      <c r="X349" s="185"/>
      <c r="Y349" s="185"/>
      <c r="Z349" s="185"/>
    </row>
    <row r="350" spans="1:27" ht="15">
      <c r="A350" s="206"/>
      <c r="B350" s="214" t="s">
        <v>2402</v>
      </c>
      <c r="C350" s="215"/>
      <c r="D350" s="210"/>
      <c r="E350" s="185"/>
      <c r="F350" s="185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85"/>
      <c r="X350" s="185"/>
      <c r="Y350" s="185"/>
      <c r="Z350" s="185"/>
      <c r="AA350" s="206"/>
    </row>
    <row r="351" spans="1:27" ht="15.75">
      <c r="A351" s="213"/>
      <c r="B351" s="214" t="s">
        <v>963</v>
      </c>
      <c r="C351" s="215"/>
      <c r="D351" s="72"/>
      <c r="E351" s="151">
        <f aca="true" t="shared" si="59" ref="E351:Z351">E346+E348</f>
        <v>0</v>
      </c>
      <c r="F351" s="151">
        <f t="shared" si="59"/>
        <v>5104531.330000013</v>
      </c>
      <c r="G351" s="103">
        <f t="shared" si="59"/>
        <v>5104531.330000013</v>
      </c>
      <c r="H351" s="103">
        <f t="shared" si="59"/>
        <v>-12520153.600000001</v>
      </c>
      <c r="I351" s="103">
        <f t="shared" si="59"/>
        <v>10803.42</v>
      </c>
      <c r="J351" s="103">
        <f t="shared" si="59"/>
        <v>0</v>
      </c>
      <c r="K351" s="103">
        <f t="shared" si="59"/>
        <v>188084.85000000003</v>
      </c>
      <c r="L351" s="103">
        <f t="shared" si="59"/>
        <v>198888.27000000005</v>
      </c>
      <c r="M351" s="103">
        <f t="shared" si="59"/>
        <v>0</v>
      </c>
      <c r="N351" s="103">
        <f t="shared" si="59"/>
        <v>-78836.93</v>
      </c>
      <c r="O351" s="103">
        <f t="shared" si="59"/>
        <v>10162</v>
      </c>
      <c r="P351" s="103">
        <f t="shared" si="59"/>
        <v>-68674.93</v>
      </c>
      <c r="Q351" s="103">
        <f t="shared" si="59"/>
        <v>-4095729.53</v>
      </c>
      <c r="R351" s="103">
        <f t="shared" si="59"/>
        <v>-1818397.6499999985</v>
      </c>
      <c r="S351" s="103">
        <f t="shared" si="59"/>
        <v>268288.65</v>
      </c>
      <c r="T351" s="103">
        <f t="shared" si="59"/>
        <v>11769743.25</v>
      </c>
      <c r="U351" s="103">
        <f t="shared" si="59"/>
        <v>6123904.72</v>
      </c>
      <c r="V351" s="103">
        <f t="shared" si="59"/>
        <v>-1161504.2099999785</v>
      </c>
      <c r="W351" s="151">
        <f t="shared" si="59"/>
        <v>0</v>
      </c>
      <c r="X351" s="151">
        <f t="shared" si="59"/>
        <v>-1161504.2099999785</v>
      </c>
      <c r="Y351" s="151">
        <f t="shared" si="59"/>
        <v>3135943.589999984</v>
      </c>
      <c r="Z351" s="151">
        <f t="shared" si="59"/>
        <v>1974439.3800000846</v>
      </c>
      <c r="AA351" s="206"/>
    </row>
    <row r="352" spans="2:26" ht="12.75">
      <c r="B352" s="209"/>
      <c r="C352" s="208"/>
      <c r="D352" s="210"/>
      <c r="E352" s="185"/>
      <c r="F352" s="185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85"/>
      <c r="X352" s="185"/>
      <c r="Y352" s="185"/>
      <c r="Z352" s="185"/>
    </row>
    <row r="353" spans="1:27" ht="15">
      <c r="A353" s="206"/>
      <c r="B353" s="214" t="s">
        <v>3045</v>
      </c>
      <c r="C353" s="215"/>
      <c r="D353" s="72"/>
      <c r="E353" s="185"/>
      <c r="F353" s="185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85"/>
      <c r="X353" s="185"/>
      <c r="Y353" s="185"/>
      <c r="Z353" s="185"/>
      <c r="AA353" s="206"/>
    </row>
    <row r="354" spans="1:27" ht="12.75">
      <c r="A354" s="208" t="s">
        <v>2403</v>
      </c>
      <c r="B354" s="209"/>
      <c r="C354" s="208" t="s">
        <v>3046</v>
      </c>
      <c r="D354" s="210"/>
      <c r="E354" s="185">
        <v>0</v>
      </c>
      <c r="F354" s="185">
        <v>0</v>
      </c>
      <c r="G354" s="101">
        <f aca="true" t="shared" si="60" ref="G354:G375">E354+F354</f>
        <v>0</v>
      </c>
      <c r="H354" s="101">
        <v>0</v>
      </c>
      <c r="I354" s="101">
        <v>0</v>
      </c>
      <c r="J354" s="101">
        <v>0</v>
      </c>
      <c r="K354" s="101">
        <v>0</v>
      </c>
      <c r="L354" s="101">
        <f aca="true" t="shared" si="61" ref="L354:L375">J354+I354+K354</f>
        <v>0</v>
      </c>
      <c r="M354" s="101">
        <v>0</v>
      </c>
      <c r="N354" s="101">
        <v>0</v>
      </c>
      <c r="O354" s="101">
        <v>0</v>
      </c>
      <c r="P354" s="101">
        <f aca="true" t="shared" si="62" ref="P354:P375">M354+N354+O354</f>
        <v>0</v>
      </c>
      <c r="Q354" s="101">
        <v>0</v>
      </c>
      <c r="R354" s="101">
        <v>0</v>
      </c>
      <c r="S354" s="101">
        <v>0</v>
      </c>
      <c r="T354" s="101">
        <v>0</v>
      </c>
      <c r="U354" s="101">
        <f aca="true" t="shared" si="63" ref="U354:U375">Q354+R354+S354+T354</f>
        <v>0</v>
      </c>
      <c r="V354" s="101">
        <f aca="true" t="shared" si="64" ref="V354:V375">G354+H354+L354+P354+U354</f>
        <v>0</v>
      </c>
      <c r="W354" s="185">
        <v>0</v>
      </c>
      <c r="X354" s="185">
        <f aca="true" t="shared" si="65" ref="X354:X375">V354+W354</f>
        <v>0</v>
      </c>
      <c r="Y354" s="185">
        <v>0</v>
      </c>
      <c r="Z354" s="185">
        <f aca="true" t="shared" si="66" ref="Z354:Z375">X354+Y354</f>
        <v>0</v>
      </c>
      <c r="AA354" s="208"/>
    </row>
    <row r="355" spans="1:26" ht="12.75" hidden="1" outlineLevel="1">
      <c r="A355" s="171" t="s">
        <v>2404</v>
      </c>
      <c r="C355" s="172" t="s">
        <v>2405</v>
      </c>
      <c r="D355" s="172" t="s">
        <v>2406</v>
      </c>
      <c r="E355" s="171">
        <v>0</v>
      </c>
      <c r="F355" s="171">
        <v>0</v>
      </c>
      <c r="G355" s="216">
        <f t="shared" si="60"/>
        <v>0</v>
      </c>
      <c r="H355" s="217">
        <v>0</v>
      </c>
      <c r="I355" s="217">
        <v>0</v>
      </c>
      <c r="J355" s="217">
        <v>0</v>
      </c>
      <c r="K355" s="217">
        <v>0</v>
      </c>
      <c r="L355" s="217">
        <f t="shared" si="61"/>
        <v>0</v>
      </c>
      <c r="M355" s="217">
        <v>0</v>
      </c>
      <c r="N355" s="217">
        <v>907403.32</v>
      </c>
      <c r="O355" s="217">
        <v>412128.78</v>
      </c>
      <c r="P355" s="217">
        <f t="shared" si="62"/>
        <v>1319532.1</v>
      </c>
      <c r="Q355" s="216">
        <v>0</v>
      </c>
      <c r="R355" s="216">
        <v>0</v>
      </c>
      <c r="S355" s="216">
        <v>0</v>
      </c>
      <c r="T355" s="216">
        <v>0</v>
      </c>
      <c r="U355" s="216">
        <f t="shared" si="63"/>
        <v>0</v>
      </c>
      <c r="V355" s="216">
        <f t="shared" si="64"/>
        <v>1319532.1</v>
      </c>
      <c r="W355" s="171">
        <v>0</v>
      </c>
      <c r="X355" s="171">
        <f t="shared" si="65"/>
        <v>1319532.1</v>
      </c>
      <c r="Y355" s="172">
        <v>222173.13</v>
      </c>
      <c r="Z355" s="171">
        <f t="shared" si="66"/>
        <v>1541705.23</v>
      </c>
    </row>
    <row r="356" spans="1:26" ht="12.75" hidden="1" outlineLevel="1">
      <c r="A356" s="171" t="s">
        <v>2407</v>
      </c>
      <c r="C356" s="172" t="s">
        <v>2408</v>
      </c>
      <c r="D356" s="172" t="s">
        <v>2409</v>
      </c>
      <c r="E356" s="171">
        <v>0</v>
      </c>
      <c r="F356" s="171">
        <v>0</v>
      </c>
      <c r="G356" s="216">
        <f t="shared" si="60"/>
        <v>0</v>
      </c>
      <c r="H356" s="217">
        <v>439338.12</v>
      </c>
      <c r="I356" s="217">
        <v>0</v>
      </c>
      <c r="J356" s="217">
        <v>0</v>
      </c>
      <c r="K356" s="217">
        <v>15382.25</v>
      </c>
      <c r="L356" s="217">
        <f t="shared" si="61"/>
        <v>15382.25</v>
      </c>
      <c r="M356" s="217">
        <v>0</v>
      </c>
      <c r="N356" s="217">
        <v>-8419.99</v>
      </c>
      <c r="O356" s="217">
        <v>-1390.24</v>
      </c>
      <c r="P356" s="217">
        <f t="shared" si="62"/>
        <v>-9810.23</v>
      </c>
      <c r="Q356" s="216">
        <v>0</v>
      </c>
      <c r="R356" s="216">
        <v>0</v>
      </c>
      <c r="S356" s="216">
        <v>0</v>
      </c>
      <c r="T356" s="216">
        <v>0</v>
      </c>
      <c r="U356" s="216">
        <f t="shared" si="63"/>
        <v>0</v>
      </c>
      <c r="V356" s="216">
        <f t="shared" si="64"/>
        <v>444910.14</v>
      </c>
      <c r="W356" s="171">
        <v>0</v>
      </c>
      <c r="X356" s="171">
        <f t="shared" si="65"/>
        <v>444910.14</v>
      </c>
      <c r="Y356" s="172">
        <v>0</v>
      </c>
      <c r="Z356" s="171">
        <f t="shared" si="66"/>
        <v>444910.14</v>
      </c>
    </row>
    <row r="357" spans="1:26" ht="12.75" hidden="1" outlineLevel="1">
      <c r="A357" s="171" t="s">
        <v>2410</v>
      </c>
      <c r="C357" s="172" t="s">
        <v>2411</v>
      </c>
      <c r="D357" s="172" t="s">
        <v>2412</v>
      </c>
      <c r="E357" s="171">
        <v>0</v>
      </c>
      <c r="F357" s="171">
        <v>125675.8</v>
      </c>
      <c r="G357" s="216">
        <f t="shared" si="60"/>
        <v>125675.8</v>
      </c>
      <c r="H357" s="217">
        <v>3478726.32</v>
      </c>
      <c r="I357" s="217">
        <v>0</v>
      </c>
      <c r="J357" s="217">
        <v>0</v>
      </c>
      <c r="K357" s="217">
        <v>40234.92</v>
      </c>
      <c r="L357" s="217">
        <f t="shared" si="61"/>
        <v>40234.92</v>
      </c>
      <c r="M357" s="217">
        <v>0</v>
      </c>
      <c r="N357" s="217">
        <v>-2087084.88</v>
      </c>
      <c r="O357" s="217">
        <v>-1111121.9</v>
      </c>
      <c r="P357" s="217">
        <f t="shared" si="62"/>
        <v>-3198206.78</v>
      </c>
      <c r="Q357" s="216">
        <v>0</v>
      </c>
      <c r="R357" s="216">
        <v>0</v>
      </c>
      <c r="S357" s="216">
        <v>0</v>
      </c>
      <c r="T357" s="216">
        <v>0</v>
      </c>
      <c r="U357" s="216">
        <f t="shared" si="63"/>
        <v>0</v>
      </c>
      <c r="V357" s="216">
        <f t="shared" si="64"/>
        <v>446430.2599999998</v>
      </c>
      <c r="W357" s="171">
        <v>0</v>
      </c>
      <c r="X357" s="171">
        <f t="shared" si="65"/>
        <v>446430.2599999998</v>
      </c>
      <c r="Y357" s="172">
        <v>0</v>
      </c>
      <c r="Z357" s="171">
        <f t="shared" si="66"/>
        <v>446430.2599999998</v>
      </c>
    </row>
    <row r="358" spans="1:26" ht="12.75" hidden="1" outlineLevel="1">
      <c r="A358" s="171" t="s">
        <v>2413</v>
      </c>
      <c r="C358" s="172" t="s">
        <v>2414</v>
      </c>
      <c r="D358" s="172" t="s">
        <v>2415</v>
      </c>
      <c r="E358" s="171">
        <v>0</v>
      </c>
      <c r="F358" s="171">
        <v>0</v>
      </c>
      <c r="G358" s="216">
        <f t="shared" si="60"/>
        <v>0</v>
      </c>
      <c r="H358" s="217">
        <v>2396654.99</v>
      </c>
      <c r="I358" s="217">
        <v>0</v>
      </c>
      <c r="J358" s="217">
        <v>0</v>
      </c>
      <c r="K358" s="217">
        <v>0</v>
      </c>
      <c r="L358" s="217">
        <f t="shared" si="61"/>
        <v>0</v>
      </c>
      <c r="M358" s="217">
        <v>0</v>
      </c>
      <c r="N358" s="217">
        <v>0</v>
      </c>
      <c r="O358" s="217">
        <v>0</v>
      </c>
      <c r="P358" s="217">
        <f t="shared" si="62"/>
        <v>0</v>
      </c>
      <c r="Q358" s="216">
        <v>0</v>
      </c>
      <c r="R358" s="216">
        <v>0</v>
      </c>
      <c r="S358" s="216">
        <v>0</v>
      </c>
      <c r="T358" s="216">
        <v>0</v>
      </c>
      <c r="U358" s="216">
        <f t="shared" si="63"/>
        <v>0</v>
      </c>
      <c r="V358" s="216">
        <f t="shared" si="64"/>
        <v>2396654.99</v>
      </c>
      <c r="W358" s="171">
        <v>0</v>
      </c>
      <c r="X358" s="171">
        <f t="shared" si="65"/>
        <v>2396654.99</v>
      </c>
      <c r="Y358" s="172">
        <v>0</v>
      </c>
      <c r="Z358" s="171">
        <f t="shared" si="66"/>
        <v>2396654.99</v>
      </c>
    </row>
    <row r="359" spans="1:26" ht="12.75" hidden="1" outlineLevel="1">
      <c r="A359" s="171" t="s">
        <v>2416</v>
      </c>
      <c r="C359" s="172" t="s">
        <v>2417</v>
      </c>
      <c r="D359" s="172" t="s">
        <v>2418</v>
      </c>
      <c r="E359" s="171">
        <v>0</v>
      </c>
      <c r="F359" s="171">
        <v>0</v>
      </c>
      <c r="G359" s="216">
        <f t="shared" si="60"/>
        <v>0</v>
      </c>
      <c r="H359" s="217">
        <v>16102.77</v>
      </c>
      <c r="I359" s="217">
        <v>0</v>
      </c>
      <c r="J359" s="217">
        <v>0</v>
      </c>
      <c r="K359" s="217">
        <v>0</v>
      </c>
      <c r="L359" s="217">
        <f t="shared" si="61"/>
        <v>0</v>
      </c>
      <c r="M359" s="217">
        <v>0</v>
      </c>
      <c r="N359" s="217">
        <v>12606.2</v>
      </c>
      <c r="O359" s="217">
        <v>1791.91</v>
      </c>
      <c r="P359" s="217">
        <f t="shared" si="62"/>
        <v>14398.11</v>
      </c>
      <c r="Q359" s="216">
        <v>0</v>
      </c>
      <c r="R359" s="216">
        <v>0</v>
      </c>
      <c r="S359" s="216">
        <v>0</v>
      </c>
      <c r="T359" s="216">
        <v>0</v>
      </c>
      <c r="U359" s="216">
        <f t="shared" si="63"/>
        <v>0</v>
      </c>
      <c r="V359" s="216">
        <f t="shared" si="64"/>
        <v>30500.88</v>
      </c>
      <c r="W359" s="171">
        <v>0</v>
      </c>
      <c r="X359" s="171">
        <f t="shared" si="65"/>
        <v>30500.88</v>
      </c>
      <c r="Y359" s="172">
        <v>0</v>
      </c>
      <c r="Z359" s="171">
        <f t="shared" si="66"/>
        <v>30500.88</v>
      </c>
    </row>
    <row r="360" spans="1:26" ht="12.75" hidden="1" outlineLevel="1">
      <c r="A360" s="171" t="s">
        <v>2419</v>
      </c>
      <c r="C360" s="172" t="s">
        <v>2420</v>
      </c>
      <c r="D360" s="172" t="s">
        <v>2421</v>
      </c>
      <c r="E360" s="171">
        <v>0</v>
      </c>
      <c r="F360" s="171">
        <v>0</v>
      </c>
      <c r="G360" s="216">
        <f t="shared" si="60"/>
        <v>0</v>
      </c>
      <c r="H360" s="217">
        <v>256.77</v>
      </c>
      <c r="I360" s="217">
        <v>0</v>
      </c>
      <c r="J360" s="217">
        <v>0</v>
      </c>
      <c r="K360" s="217">
        <v>0</v>
      </c>
      <c r="L360" s="217">
        <f t="shared" si="61"/>
        <v>0</v>
      </c>
      <c r="M360" s="217">
        <v>0</v>
      </c>
      <c r="N360" s="217">
        <v>0.61</v>
      </c>
      <c r="O360" s="217">
        <v>339.51</v>
      </c>
      <c r="P360" s="217">
        <f t="shared" si="62"/>
        <v>340.12</v>
      </c>
      <c r="Q360" s="216">
        <v>0</v>
      </c>
      <c r="R360" s="216">
        <v>0</v>
      </c>
      <c r="S360" s="216">
        <v>0</v>
      </c>
      <c r="T360" s="216">
        <v>0</v>
      </c>
      <c r="U360" s="216">
        <f t="shared" si="63"/>
        <v>0</v>
      </c>
      <c r="V360" s="216">
        <f t="shared" si="64"/>
        <v>596.89</v>
      </c>
      <c r="W360" s="171">
        <v>0</v>
      </c>
      <c r="X360" s="171">
        <f t="shared" si="65"/>
        <v>596.89</v>
      </c>
      <c r="Y360" s="172">
        <v>1.38</v>
      </c>
      <c r="Z360" s="171">
        <f t="shared" si="66"/>
        <v>598.27</v>
      </c>
    </row>
    <row r="361" spans="1:26" ht="12.75" hidden="1" outlineLevel="1">
      <c r="A361" s="171" t="s">
        <v>2422</v>
      </c>
      <c r="C361" s="172" t="s">
        <v>2423</v>
      </c>
      <c r="D361" s="172" t="s">
        <v>2424</v>
      </c>
      <c r="E361" s="171">
        <v>0</v>
      </c>
      <c r="F361" s="171">
        <v>237596.99</v>
      </c>
      <c r="G361" s="216">
        <f t="shared" si="60"/>
        <v>237596.99</v>
      </c>
      <c r="H361" s="217">
        <v>554559.57</v>
      </c>
      <c r="I361" s="217">
        <v>6298.82</v>
      </c>
      <c r="J361" s="217">
        <v>0</v>
      </c>
      <c r="K361" s="217">
        <v>138915.75</v>
      </c>
      <c r="L361" s="217">
        <f t="shared" si="61"/>
        <v>145214.57</v>
      </c>
      <c r="M361" s="217">
        <v>0</v>
      </c>
      <c r="N361" s="217">
        <v>26363.02</v>
      </c>
      <c r="O361" s="217">
        <v>3065.33</v>
      </c>
      <c r="P361" s="217">
        <f t="shared" si="62"/>
        <v>29428.35</v>
      </c>
      <c r="Q361" s="216">
        <v>10713.49</v>
      </c>
      <c r="R361" s="216">
        <v>268288.58</v>
      </c>
      <c r="S361" s="216">
        <v>11508.25</v>
      </c>
      <c r="T361" s="216">
        <v>0</v>
      </c>
      <c r="U361" s="216">
        <f t="shared" si="63"/>
        <v>290510.32</v>
      </c>
      <c r="V361" s="216">
        <f t="shared" si="64"/>
        <v>1257309.7999999998</v>
      </c>
      <c r="W361" s="171">
        <v>0</v>
      </c>
      <c r="X361" s="171">
        <f t="shared" si="65"/>
        <v>1257309.7999999998</v>
      </c>
      <c r="Y361" s="172">
        <v>15495.91</v>
      </c>
      <c r="Z361" s="171">
        <f t="shared" si="66"/>
        <v>1272805.7099999997</v>
      </c>
    </row>
    <row r="362" spans="1:26" ht="12.75" hidden="1" outlineLevel="1">
      <c r="A362" s="171" t="s">
        <v>2425</v>
      </c>
      <c r="C362" s="172" t="s">
        <v>2426</v>
      </c>
      <c r="D362" s="172" t="s">
        <v>2427</v>
      </c>
      <c r="E362" s="171">
        <v>0</v>
      </c>
      <c r="F362" s="171">
        <v>0</v>
      </c>
      <c r="G362" s="216">
        <f t="shared" si="60"/>
        <v>0</v>
      </c>
      <c r="H362" s="217">
        <v>2883.86</v>
      </c>
      <c r="I362" s="217">
        <v>0</v>
      </c>
      <c r="J362" s="217">
        <v>0</v>
      </c>
      <c r="K362" s="217">
        <v>0</v>
      </c>
      <c r="L362" s="217">
        <f t="shared" si="61"/>
        <v>0</v>
      </c>
      <c r="M362" s="217">
        <v>0</v>
      </c>
      <c r="N362" s="217">
        <v>3146826.95</v>
      </c>
      <c r="O362" s="217">
        <v>1465860.17</v>
      </c>
      <c r="P362" s="217">
        <f t="shared" si="62"/>
        <v>4612687.12</v>
      </c>
      <c r="Q362" s="216">
        <v>243854.4</v>
      </c>
      <c r="R362" s="216">
        <v>0</v>
      </c>
      <c r="S362" s="216">
        <v>0</v>
      </c>
      <c r="T362" s="216">
        <v>0</v>
      </c>
      <c r="U362" s="216">
        <f t="shared" si="63"/>
        <v>243854.4</v>
      </c>
      <c r="V362" s="216">
        <f t="shared" si="64"/>
        <v>4859425.380000001</v>
      </c>
      <c r="W362" s="171">
        <v>0</v>
      </c>
      <c r="X362" s="171">
        <f t="shared" si="65"/>
        <v>4859425.380000001</v>
      </c>
      <c r="Y362" s="172">
        <v>1915442.36</v>
      </c>
      <c r="Z362" s="171">
        <f t="shared" si="66"/>
        <v>6774867.740000001</v>
      </c>
    </row>
    <row r="363" spans="1:26" ht="12.75" hidden="1" outlineLevel="1">
      <c r="A363" s="171" t="s">
        <v>2428</v>
      </c>
      <c r="C363" s="172" t="s">
        <v>2429</v>
      </c>
      <c r="D363" s="172" t="s">
        <v>2430</v>
      </c>
      <c r="E363" s="171">
        <v>0</v>
      </c>
      <c r="F363" s="171">
        <v>0</v>
      </c>
      <c r="G363" s="216">
        <f t="shared" si="60"/>
        <v>0</v>
      </c>
      <c r="H363" s="217">
        <v>0</v>
      </c>
      <c r="I363" s="217">
        <v>0</v>
      </c>
      <c r="J363" s="217">
        <v>0</v>
      </c>
      <c r="K363" s="217">
        <v>0</v>
      </c>
      <c r="L363" s="217">
        <f t="shared" si="61"/>
        <v>0</v>
      </c>
      <c r="M363" s="217">
        <v>0</v>
      </c>
      <c r="N363" s="217">
        <v>3521765.07</v>
      </c>
      <c r="O363" s="217">
        <v>2019302.7</v>
      </c>
      <c r="P363" s="217">
        <f t="shared" si="62"/>
        <v>5541067.77</v>
      </c>
      <c r="Q363" s="216">
        <v>0</v>
      </c>
      <c r="R363" s="216">
        <v>0</v>
      </c>
      <c r="S363" s="216">
        <v>0</v>
      </c>
      <c r="T363" s="216">
        <v>0</v>
      </c>
      <c r="U363" s="216">
        <f t="shared" si="63"/>
        <v>0</v>
      </c>
      <c r="V363" s="216">
        <f t="shared" si="64"/>
        <v>5541067.77</v>
      </c>
      <c r="W363" s="171">
        <v>0</v>
      </c>
      <c r="X363" s="171">
        <f t="shared" si="65"/>
        <v>5541067.77</v>
      </c>
      <c r="Y363" s="172">
        <v>-1795262.9</v>
      </c>
      <c r="Z363" s="171">
        <f t="shared" si="66"/>
        <v>3745804.8699999996</v>
      </c>
    </row>
    <row r="364" spans="1:27" ht="12.75" collapsed="1">
      <c r="A364" s="208" t="s">
        <v>2431</v>
      </c>
      <c r="B364" s="209"/>
      <c r="C364" s="208" t="s">
        <v>2432</v>
      </c>
      <c r="D364" s="210"/>
      <c r="E364" s="185">
        <v>0</v>
      </c>
      <c r="F364" s="185">
        <v>363272.79</v>
      </c>
      <c r="G364" s="101">
        <f t="shared" si="60"/>
        <v>363272.79</v>
      </c>
      <c r="H364" s="101">
        <v>6888522.399999999</v>
      </c>
      <c r="I364" s="101">
        <v>6298.82</v>
      </c>
      <c r="J364" s="101">
        <v>0</v>
      </c>
      <c r="K364" s="101">
        <v>194532.92</v>
      </c>
      <c r="L364" s="101">
        <f t="shared" si="61"/>
        <v>200831.74000000002</v>
      </c>
      <c r="M364" s="101">
        <v>0</v>
      </c>
      <c r="N364" s="101">
        <v>5519460.300000001</v>
      </c>
      <c r="O364" s="101">
        <v>2789976.26</v>
      </c>
      <c r="P364" s="101">
        <f t="shared" si="62"/>
        <v>8309436.5600000005</v>
      </c>
      <c r="Q364" s="101">
        <v>254567.89</v>
      </c>
      <c r="R364" s="101">
        <v>268288.58</v>
      </c>
      <c r="S364" s="101">
        <v>11508.25</v>
      </c>
      <c r="T364" s="101">
        <v>0</v>
      </c>
      <c r="U364" s="101">
        <f t="shared" si="63"/>
        <v>534364.72</v>
      </c>
      <c r="V364" s="101">
        <f t="shared" si="64"/>
        <v>16296428.21</v>
      </c>
      <c r="W364" s="185">
        <v>0</v>
      </c>
      <c r="X364" s="185">
        <f t="shared" si="65"/>
        <v>16296428.21</v>
      </c>
      <c r="Y364" s="185">
        <v>357849.88</v>
      </c>
      <c r="Z364" s="185">
        <f t="shared" si="66"/>
        <v>16654278.090000002</v>
      </c>
      <c r="AA364" s="208"/>
    </row>
    <row r="365" spans="1:27" ht="12.75">
      <c r="A365" s="208" t="s">
        <v>726</v>
      </c>
      <c r="B365" s="209"/>
      <c r="C365" s="208" t="s">
        <v>3048</v>
      </c>
      <c r="D365" s="210"/>
      <c r="E365" s="185">
        <v>0</v>
      </c>
      <c r="F365" s="185">
        <v>100488.69</v>
      </c>
      <c r="G365" s="101">
        <f t="shared" si="60"/>
        <v>100488.69</v>
      </c>
      <c r="H365" s="101">
        <v>12532443.83</v>
      </c>
      <c r="I365" s="101">
        <v>0</v>
      </c>
      <c r="J365" s="101">
        <v>0</v>
      </c>
      <c r="K365" s="101">
        <v>2844.5</v>
      </c>
      <c r="L365" s="101">
        <f t="shared" si="61"/>
        <v>2844.5</v>
      </c>
      <c r="M365" s="101">
        <v>0</v>
      </c>
      <c r="N365" s="101">
        <v>0</v>
      </c>
      <c r="O365" s="101">
        <v>0</v>
      </c>
      <c r="P365" s="101">
        <f t="shared" si="62"/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f t="shared" si="63"/>
        <v>0</v>
      </c>
      <c r="V365" s="101">
        <f t="shared" si="64"/>
        <v>12635777.02</v>
      </c>
      <c r="W365" s="185">
        <v>0</v>
      </c>
      <c r="X365" s="185">
        <f t="shared" si="65"/>
        <v>12635777.02</v>
      </c>
      <c r="Y365" s="185">
        <v>13239534.23</v>
      </c>
      <c r="Z365" s="185">
        <f t="shared" si="66"/>
        <v>25875311.25</v>
      </c>
      <c r="AA365" s="208"/>
    </row>
    <row r="366" spans="1:26" ht="12.75" hidden="1" outlineLevel="1">
      <c r="A366" s="171" t="s">
        <v>2433</v>
      </c>
      <c r="C366" s="172" t="s">
        <v>2434</v>
      </c>
      <c r="D366" s="172" t="s">
        <v>2435</v>
      </c>
      <c r="E366" s="171">
        <v>0</v>
      </c>
      <c r="F366" s="171">
        <v>0</v>
      </c>
      <c r="G366" s="216">
        <f t="shared" si="60"/>
        <v>0</v>
      </c>
      <c r="H366" s="217">
        <v>0</v>
      </c>
      <c r="I366" s="217">
        <v>0</v>
      </c>
      <c r="J366" s="217">
        <v>0</v>
      </c>
      <c r="K366" s="217">
        <v>0</v>
      </c>
      <c r="L366" s="217">
        <f t="shared" si="61"/>
        <v>0</v>
      </c>
      <c r="M366" s="217">
        <v>0</v>
      </c>
      <c r="N366" s="217">
        <v>0</v>
      </c>
      <c r="O366" s="217">
        <v>0</v>
      </c>
      <c r="P366" s="217">
        <f t="shared" si="62"/>
        <v>0</v>
      </c>
      <c r="Q366" s="216">
        <v>0</v>
      </c>
      <c r="R366" s="216">
        <v>0</v>
      </c>
      <c r="S366" s="216">
        <v>-10773.72</v>
      </c>
      <c r="T366" s="216">
        <v>867369.28</v>
      </c>
      <c r="U366" s="216">
        <f t="shared" si="63"/>
        <v>856595.56</v>
      </c>
      <c r="V366" s="216">
        <f t="shared" si="64"/>
        <v>856595.56</v>
      </c>
      <c r="W366" s="171">
        <v>0</v>
      </c>
      <c r="X366" s="171">
        <f t="shared" si="65"/>
        <v>856595.56</v>
      </c>
      <c r="Y366" s="172">
        <v>0</v>
      </c>
      <c r="Z366" s="171">
        <f t="shared" si="66"/>
        <v>856595.56</v>
      </c>
    </row>
    <row r="367" spans="1:26" ht="12.75" hidden="1" outlineLevel="1">
      <c r="A367" s="171" t="s">
        <v>2436</v>
      </c>
      <c r="C367" s="172" t="s">
        <v>2437</v>
      </c>
      <c r="D367" s="172" t="s">
        <v>2438</v>
      </c>
      <c r="E367" s="171">
        <v>0</v>
      </c>
      <c r="F367" s="171">
        <v>0</v>
      </c>
      <c r="G367" s="216">
        <f t="shared" si="60"/>
        <v>0</v>
      </c>
      <c r="H367" s="217">
        <v>0</v>
      </c>
      <c r="I367" s="217">
        <v>0</v>
      </c>
      <c r="J367" s="217">
        <v>0</v>
      </c>
      <c r="K367" s="217">
        <v>0</v>
      </c>
      <c r="L367" s="217">
        <f t="shared" si="61"/>
        <v>0</v>
      </c>
      <c r="M367" s="217">
        <v>0</v>
      </c>
      <c r="N367" s="217">
        <v>0</v>
      </c>
      <c r="O367" s="217">
        <v>0</v>
      </c>
      <c r="P367" s="217">
        <f t="shared" si="62"/>
        <v>0</v>
      </c>
      <c r="Q367" s="216">
        <v>0</v>
      </c>
      <c r="R367" s="216">
        <v>0</v>
      </c>
      <c r="S367" s="216">
        <v>-856594.56</v>
      </c>
      <c r="T367" s="216">
        <v>0</v>
      </c>
      <c r="U367" s="216">
        <f t="shared" si="63"/>
        <v>-856594.56</v>
      </c>
      <c r="V367" s="216">
        <f t="shared" si="64"/>
        <v>-856594.56</v>
      </c>
      <c r="W367" s="171">
        <v>0</v>
      </c>
      <c r="X367" s="171">
        <f t="shared" si="65"/>
        <v>-856594.56</v>
      </c>
      <c r="Y367" s="172">
        <v>0</v>
      </c>
      <c r="Z367" s="171">
        <f t="shared" si="66"/>
        <v>-856594.56</v>
      </c>
    </row>
    <row r="368" spans="1:26" ht="12.75" hidden="1" outlineLevel="1">
      <c r="A368" s="171" t="s">
        <v>2439</v>
      </c>
      <c r="C368" s="172" t="s">
        <v>2440</v>
      </c>
      <c r="D368" s="172" t="s">
        <v>2441</v>
      </c>
      <c r="E368" s="171">
        <v>0</v>
      </c>
      <c r="F368" s="171">
        <v>0</v>
      </c>
      <c r="G368" s="216">
        <f t="shared" si="60"/>
        <v>0</v>
      </c>
      <c r="H368" s="217">
        <v>0</v>
      </c>
      <c r="I368" s="217">
        <v>0</v>
      </c>
      <c r="J368" s="217">
        <v>0</v>
      </c>
      <c r="K368" s="217">
        <v>0</v>
      </c>
      <c r="L368" s="217">
        <f t="shared" si="61"/>
        <v>0</v>
      </c>
      <c r="M368" s="217">
        <v>0</v>
      </c>
      <c r="N368" s="217">
        <v>0</v>
      </c>
      <c r="O368" s="217">
        <v>0</v>
      </c>
      <c r="P368" s="217">
        <f t="shared" si="62"/>
        <v>0</v>
      </c>
      <c r="Q368" s="216">
        <v>0</v>
      </c>
      <c r="R368" s="216">
        <v>0</v>
      </c>
      <c r="S368" s="216">
        <v>-1426683.69</v>
      </c>
      <c r="T368" s="216">
        <v>0</v>
      </c>
      <c r="U368" s="216">
        <f t="shared" si="63"/>
        <v>-1426683.69</v>
      </c>
      <c r="V368" s="216">
        <f t="shared" si="64"/>
        <v>-1426683.69</v>
      </c>
      <c r="W368" s="171">
        <v>0</v>
      </c>
      <c r="X368" s="171">
        <f t="shared" si="65"/>
        <v>-1426683.69</v>
      </c>
      <c r="Y368" s="172">
        <v>0</v>
      </c>
      <c r="Z368" s="171">
        <f t="shared" si="66"/>
        <v>-1426683.69</v>
      </c>
    </row>
    <row r="369" spans="1:26" ht="12.75" hidden="1" outlineLevel="1">
      <c r="A369" s="171" t="s">
        <v>2442</v>
      </c>
      <c r="C369" s="172" t="s">
        <v>2443</v>
      </c>
      <c r="D369" s="172" t="s">
        <v>2444</v>
      </c>
      <c r="E369" s="171">
        <v>0</v>
      </c>
      <c r="F369" s="171">
        <v>0</v>
      </c>
      <c r="G369" s="216">
        <f t="shared" si="60"/>
        <v>0</v>
      </c>
      <c r="H369" s="217">
        <v>0</v>
      </c>
      <c r="I369" s="217">
        <v>0</v>
      </c>
      <c r="J369" s="217">
        <v>0</v>
      </c>
      <c r="K369" s="217">
        <v>0</v>
      </c>
      <c r="L369" s="217">
        <f t="shared" si="61"/>
        <v>0</v>
      </c>
      <c r="M369" s="217">
        <v>0</v>
      </c>
      <c r="N369" s="217">
        <v>0</v>
      </c>
      <c r="O369" s="217">
        <v>0</v>
      </c>
      <c r="P369" s="217">
        <f t="shared" si="62"/>
        <v>0</v>
      </c>
      <c r="Q369" s="216">
        <v>0</v>
      </c>
      <c r="R369" s="216">
        <v>0</v>
      </c>
      <c r="S369" s="216">
        <v>19620.09</v>
      </c>
      <c r="T369" s="216">
        <v>0</v>
      </c>
      <c r="U369" s="216">
        <f t="shared" si="63"/>
        <v>19620.09</v>
      </c>
      <c r="V369" s="216">
        <f t="shared" si="64"/>
        <v>19620.09</v>
      </c>
      <c r="W369" s="171">
        <v>0</v>
      </c>
      <c r="X369" s="171">
        <f t="shared" si="65"/>
        <v>19620.09</v>
      </c>
      <c r="Y369" s="172">
        <v>0</v>
      </c>
      <c r="Z369" s="171">
        <f t="shared" si="66"/>
        <v>19620.09</v>
      </c>
    </row>
    <row r="370" spans="1:26" ht="12.75" hidden="1" outlineLevel="1">
      <c r="A370" s="171" t="s">
        <v>2445</v>
      </c>
      <c r="C370" s="172" t="s">
        <v>2446</v>
      </c>
      <c r="D370" s="172" t="s">
        <v>2447</v>
      </c>
      <c r="E370" s="171">
        <v>0</v>
      </c>
      <c r="F370" s="171">
        <v>0</v>
      </c>
      <c r="G370" s="216">
        <f t="shared" si="60"/>
        <v>0</v>
      </c>
      <c r="H370" s="217">
        <v>0</v>
      </c>
      <c r="I370" s="217">
        <v>0</v>
      </c>
      <c r="J370" s="217">
        <v>0</v>
      </c>
      <c r="K370" s="217">
        <v>0</v>
      </c>
      <c r="L370" s="217">
        <f t="shared" si="61"/>
        <v>0</v>
      </c>
      <c r="M370" s="217">
        <v>0</v>
      </c>
      <c r="N370" s="217">
        <v>0</v>
      </c>
      <c r="O370" s="217">
        <v>0</v>
      </c>
      <c r="P370" s="217">
        <f t="shared" si="62"/>
        <v>0</v>
      </c>
      <c r="Q370" s="216">
        <v>0</v>
      </c>
      <c r="R370" s="216">
        <v>0</v>
      </c>
      <c r="S370" s="216">
        <v>-8846.37</v>
      </c>
      <c r="T370" s="216">
        <v>0</v>
      </c>
      <c r="U370" s="216">
        <f t="shared" si="63"/>
        <v>-8846.37</v>
      </c>
      <c r="V370" s="216">
        <f t="shared" si="64"/>
        <v>-8846.37</v>
      </c>
      <c r="W370" s="171">
        <v>0</v>
      </c>
      <c r="X370" s="171">
        <f t="shared" si="65"/>
        <v>-8846.37</v>
      </c>
      <c r="Y370" s="172">
        <v>0</v>
      </c>
      <c r="Z370" s="171">
        <f t="shared" si="66"/>
        <v>-8846.37</v>
      </c>
    </row>
    <row r="371" spans="1:26" ht="12.75" hidden="1" outlineLevel="1">
      <c r="A371" s="171" t="s">
        <v>2448</v>
      </c>
      <c r="C371" s="172" t="s">
        <v>2449</v>
      </c>
      <c r="D371" s="172" t="s">
        <v>2450</v>
      </c>
      <c r="E371" s="171">
        <v>0</v>
      </c>
      <c r="F371" s="171">
        <v>0</v>
      </c>
      <c r="G371" s="216">
        <f t="shared" si="60"/>
        <v>0</v>
      </c>
      <c r="H371" s="217">
        <v>0</v>
      </c>
      <c r="I371" s="217">
        <v>0</v>
      </c>
      <c r="J371" s="217">
        <v>0</v>
      </c>
      <c r="K371" s="217">
        <v>0</v>
      </c>
      <c r="L371" s="217">
        <f t="shared" si="61"/>
        <v>0</v>
      </c>
      <c r="M371" s="217">
        <v>0</v>
      </c>
      <c r="N371" s="217">
        <v>0</v>
      </c>
      <c r="O371" s="217">
        <v>0</v>
      </c>
      <c r="P371" s="217">
        <f t="shared" si="62"/>
        <v>0</v>
      </c>
      <c r="Q371" s="216">
        <v>0</v>
      </c>
      <c r="R371" s="216">
        <v>0</v>
      </c>
      <c r="S371" s="216">
        <v>-22270.32</v>
      </c>
      <c r="T371" s="216">
        <v>0</v>
      </c>
      <c r="U371" s="216">
        <f t="shared" si="63"/>
        <v>-22270.32</v>
      </c>
      <c r="V371" s="216">
        <f t="shared" si="64"/>
        <v>-22270.32</v>
      </c>
      <c r="W371" s="171">
        <v>0</v>
      </c>
      <c r="X371" s="171">
        <f t="shared" si="65"/>
        <v>-22270.32</v>
      </c>
      <c r="Y371" s="172">
        <v>0</v>
      </c>
      <c r="Z371" s="171">
        <f t="shared" si="66"/>
        <v>-22270.32</v>
      </c>
    </row>
    <row r="372" spans="1:27" ht="12.75" collapsed="1">
      <c r="A372" s="208" t="s">
        <v>2451</v>
      </c>
      <c r="B372" s="209"/>
      <c r="C372" s="208" t="s">
        <v>3049</v>
      </c>
      <c r="D372" s="210"/>
      <c r="E372" s="185">
        <v>0</v>
      </c>
      <c r="F372" s="185">
        <v>0</v>
      </c>
      <c r="G372" s="101">
        <f t="shared" si="60"/>
        <v>0</v>
      </c>
      <c r="H372" s="101">
        <v>0</v>
      </c>
      <c r="I372" s="101">
        <v>0</v>
      </c>
      <c r="J372" s="101">
        <v>0</v>
      </c>
      <c r="K372" s="101">
        <v>0</v>
      </c>
      <c r="L372" s="101">
        <f t="shared" si="61"/>
        <v>0</v>
      </c>
      <c r="M372" s="101">
        <v>0</v>
      </c>
      <c r="N372" s="101">
        <v>0</v>
      </c>
      <c r="O372" s="101">
        <v>0</v>
      </c>
      <c r="P372" s="101">
        <f t="shared" si="62"/>
        <v>0</v>
      </c>
      <c r="Q372" s="101">
        <v>0</v>
      </c>
      <c r="R372" s="101">
        <v>0</v>
      </c>
      <c r="S372" s="101">
        <v>-2305548.57</v>
      </c>
      <c r="T372" s="101">
        <v>867369.28</v>
      </c>
      <c r="U372" s="101">
        <f t="shared" si="63"/>
        <v>-1438179.2899999998</v>
      </c>
      <c r="V372" s="101">
        <f t="shared" si="64"/>
        <v>-1438179.2899999998</v>
      </c>
      <c r="W372" s="185">
        <v>0</v>
      </c>
      <c r="X372" s="185">
        <f t="shared" si="65"/>
        <v>-1438179.2899999998</v>
      </c>
      <c r="Y372" s="185">
        <v>0</v>
      </c>
      <c r="Z372" s="185">
        <f t="shared" si="66"/>
        <v>-1438179.2899999998</v>
      </c>
      <c r="AA372" s="208"/>
    </row>
    <row r="373" spans="1:27" ht="12.75">
      <c r="A373" s="208" t="s">
        <v>2452</v>
      </c>
      <c r="B373" s="209"/>
      <c r="C373" s="208" t="s">
        <v>2453</v>
      </c>
      <c r="D373" s="210"/>
      <c r="E373" s="185">
        <v>0</v>
      </c>
      <c r="F373" s="185">
        <v>0</v>
      </c>
      <c r="G373" s="101">
        <f t="shared" si="60"/>
        <v>0</v>
      </c>
      <c r="H373" s="101">
        <v>0</v>
      </c>
      <c r="I373" s="101">
        <v>0</v>
      </c>
      <c r="J373" s="101">
        <v>0</v>
      </c>
      <c r="K373" s="101">
        <v>0</v>
      </c>
      <c r="L373" s="101">
        <f t="shared" si="61"/>
        <v>0</v>
      </c>
      <c r="M373" s="101">
        <v>0</v>
      </c>
      <c r="N373" s="101">
        <v>0</v>
      </c>
      <c r="O373" s="101">
        <v>0</v>
      </c>
      <c r="P373" s="101">
        <f t="shared" si="62"/>
        <v>0</v>
      </c>
      <c r="Q373" s="101">
        <v>0</v>
      </c>
      <c r="R373" s="101">
        <v>0</v>
      </c>
      <c r="S373" s="101">
        <v>0</v>
      </c>
      <c r="T373" s="101">
        <v>0</v>
      </c>
      <c r="U373" s="101">
        <f t="shared" si="63"/>
        <v>0</v>
      </c>
      <c r="V373" s="101">
        <f t="shared" si="64"/>
        <v>0</v>
      </c>
      <c r="W373" s="185">
        <v>0</v>
      </c>
      <c r="X373" s="185">
        <f t="shared" si="65"/>
        <v>0</v>
      </c>
      <c r="Y373" s="185">
        <v>0</v>
      </c>
      <c r="Z373" s="185">
        <f t="shared" si="66"/>
        <v>0</v>
      </c>
      <c r="AA373" s="208"/>
    </row>
    <row r="374" spans="1:26" ht="12.75" hidden="1" outlineLevel="1">
      <c r="A374" s="171" t="s">
        <v>2454</v>
      </c>
      <c r="C374" s="172" t="s">
        <v>2455</v>
      </c>
      <c r="D374" s="172" t="s">
        <v>2456</v>
      </c>
      <c r="E374" s="171">
        <v>0</v>
      </c>
      <c r="F374" s="171">
        <v>0</v>
      </c>
      <c r="G374" s="216">
        <f t="shared" si="60"/>
        <v>0</v>
      </c>
      <c r="H374" s="217">
        <v>0</v>
      </c>
      <c r="I374" s="217">
        <v>0</v>
      </c>
      <c r="J374" s="217">
        <v>0</v>
      </c>
      <c r="K374" s="217">
        <v>0</v>
      </c>
      <c r="L374" s="217">
        <f t="shared" si="61"/>
        <v>0</v>
      </c>
      <c r="M374" s="217">
        <v>0</v>
      </c>
      <c r="N374" s="217">
        <v>0</v>
      </c>
      <c r="O374" s="217">
        <v>-2934.2</v>
      </c>
      <c r="P374" s="217">
        <f t="shared" si="62"/>
        <v>-2934.2</v>
      </c>
      <c r="Q374" s="216">
        <v>0</v>
      </c>
      <c r="R374" s="216">
        <v>0</v>
      </c>
      <c r="S374" s="216">
        <v>0</v>
      </c>
      <c r="T374" s="216">
        <v>0</v>
      </c>
      <c r="U374" s="216">
        <f t="shared" si="63"/>
        <v>0</v>
      </c>
      <c r="V374" s="216">
        <f t="shared" si="64"/>
        <v>-2934.2</v>
      </c>
      <c r="W374" s="171">
        <v>0</v>
      </c>
      <c r="X374" s="171">
        <f t="shared" si="65"/>
        <v>-2934.2</v>
      </c>
      <c r="Y374" s="172">
        <v>0</v>
      </c>
      <c r="Z374" s="171">
        <f t="shared" si="66"/>
        <v>-2934.2</v>
      </c>
    </row>
    <row r="375" spans="1:27" ht="12.75" collapsed="1">
      <c r="A375" s="208" t="s">
        <v>2457</v>
      </c>
      <c r="B375" s="209"/>
      <c r="C375" s="208" t="s">
        <v>2458</v>
      </c>
      <c r="D375" s="210"/>
      <c r="E375" s="185">
        <v>0</v>
      </c>
      <c r="F375" s="185">
        <v>0</v>
      </c>
      <c r="G375" s="101">
        <f t="shared" si="60"/>
        <v>0</v>
      </c>
      <c r="H375" s="101">
        <v>0</v>
      </c>
      <c r="I375" s="101">
        <v>0</v>
      </c>
      <c r="J375" s="101">
        <v>0</v>
      </c>
      <c r="K375" s="101">
        <v>0</v>
      </c>
      <c r="L375" s="101">
        <f t="shared" si="61"/>
        <v>0</v>
      </c>
      <c r="M375" s="101">
        <v>0</v>
      </c>
      <c r="N375" s="101">
        <v>0</v>
      </c>
      <c r="O375" s="101">
        <v>-2934.2</v>
      </c>
      <c r="P375" s="101">
        <f t="shared" si="62"/>
        <v>-2934.2</v>
      </c>
      <c r="Q375" s="101">
        <v>0</v>
      </c>
      <c r="R375" s="101">
        <v>0</v>
      </c>
      <c r="S375" s="101">
        <v>0</v>
      </c>
      <c r="T375" s="101">
        <v>0</v>
      </c>
      <c r="U375" s="101">
        <f t="shared" si="63"/>
        <v>0</v>
      </c>
      <c r="V375" s="101">
        <f t="shared" si="64"/>
        <v>-2934.2</v>
      </c>
      <c r="W375" s="185">
        <v>0</v>
      </c>
      <c r="X375" s="185">
        <f t="shared" si="65"/>
        <v>-2934.2</v>
      </c>
      <c r="Y375" s="185">
        <v>0</v>
      </c>
      <c r="Z375" s="185">
        <f t="shared" si="66"/>
        <v>-2934.2</v>
      </c>
      <c r="AA375" s="208"/>
    </row>
    <row r="376" spans="2:26" ht="12.75">
      <c r="B376" s="209"/>
      <c r="C376" s="208"/>
      <c r="D376" s="210"/>
      <c r="E376" s="185"/>
      <c r="F376" s="185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85"/>
      <c r="X376" s="185"/>
      <c r="Y376" s="185"/>
      <c r="Z376" s="185"/>
    </row>
    <row r="377" spans="1:27" s="593" customFormat="1" ht="15.75">
      <c r="A377" s="213"/>
      <c r="B377" s="214"/>
      <c r="C377" s="215" t="s">
        <v>2459</v>
      </c>
      <c r="D377" s="72"/>
      <c r="E377" s="151"/>
      <c r="F377" s="151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51"/>
      <c r="X377" s="151"/>
      <c r="Y377" s="151"/>
      <c r="Z377" s="151"/>
      <c r="AA377" s="213"/>
    </row>
    <row r="378" spans="1:27" s="593" customFormat="1" ht="15.75">
      <c r="A378" s="213"/>
      <c r="B378" s="214"/>
      <c r="C378" s="215" t="s">
        <v>3052</v>
      </c>
      <c r="D378" s="72"/>
      <c r="E378" s="151">
        <f aca="true" t="shared" si="67" ref="E378:Z378">E375+E372+E365+E364+E354+E373</f>
        <v>0</v>
      </c>
      <c r="F378" s="151">
        <f t="shared" si="67"/>
        <v>463761.48</v>
      </c>
      <c r="G378" s="103">
        <f t="shared" si="67"/>
        <v>463761.48</v>
      </c>
      <c r="H378" s="103">
        <f t="shared" si="67"/>
        <v>19420966.23</v>
      </c>
      <c r="I378" s="103">
        <f t="shared" si="67"/>
        <v>6298.82</v>
      </c>
      <c r="J378" s="103">
        <f t="shared" si="67"/>
        <v>0</v>
      </c>
      <c r="K378" s="103">
        <f t="shared" si="67"/>
        <v>197377.42</v>
      </c>
      <c r="L378" s="103">
        <f t="shared" si="67"/>
        <v>203676.24000000002</v>
      </c>
      <c r="M378" s="103">
        <f t="shared" si="67"/>
        <v>0</v>
      </c>
      <c r="N378" s="103">
        <f t="shared" si="67"/>
        <v>5519460.300000001</v>
      </c>
      <c r="O378" s="103">
        <f t="shared" si="67"/>
        <v>2787042.0599999996</v>
      </c>
      <c r="P378" s="103">
        <f t="shared" si="67"/>
        <v>8306502.36</v>
      </c>
      <c r="Q378" s="103">
        <f t="shared" si="67"/>
        <v>254567.89</v>
      </c>
      <c r="R378" s="103">
        <f t="shared" si="67"/>
        <v>268288.58</v>
      </c>
      <c r="S378" s="103">
        <f t="shared" si="67"/>
        <v>-2294040.32</v>
      </c>
      <c r="T378" s="103">
        <f t="shared" si="67"/>
        <v>867369.28</v>
      </c>
      <c r="U378" s="103">
        <f t="shared" si="67"/>
        <v>-903814.5699999998</v>
      </c>
      <c r="V378" s="103">
        <f t="shared" si="67"/>
        <v>27491091.740000002</v>
      </c>
      <c r="W378" s="151">
        <f t="shared" si="67"/>
        <v>0</v>
      </c>
      <c r="X378" s="151">
        <f t="shared" si="67"/>
        <v>27491091.740000002</v>
      </c>
      <c r="Y378" s="151">
        <f t="shared" si="67"/>
        <v>13597384.110000001</v>
      </c>
      <c r="Z378" s="151">
        <f t="shared" si="67"/>
        <v>41088475.85</v>
      </c>
      <c r="AA378" s="213"/>
    </row>
    <row r="379" spans="2:26" ht="12.75">
      <c r="B379" s="209"/>
      <c r="C379" s="208"/>
      <c r="D379" s="210"/>
      <c r="E379" s="185"/>
      <c r="F379" s="185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85"/>
      <c r="X379" s="185"/>
      <c r="Y379" s="185"/>
      <c r="Z379" s="185"/>
    </row>
    <row r="380" spans="1:27" ht="12.75">
      <c r="A380" s="208"/>
      <c r="B380" s="209"/>
      <c r="C380" s="208" t="s">
        <v>2969</v>
      </c>
      <c r="D380" s="210"/>
      <c r="E380" s="185">
        <v>0</v>
      </c>
      <c r="F380" s="185">
        <v>0</v>
      </c>
      <c r="G380" s="101">
        <f>E380+F380</f>
        <v>0</v>
      </c>
      <c r="H380" s="101">
        <v>0</v>
      </c>
      <c r="I380" s="101">
        <v>0</v>
      </c>
      <c r="J380" s="101">
        <v>0</v>
      </c>
      <c r="K380" s="101">
        <v>0</v>
      </c>
      <c r="L380" s="101">
        <f>J380+I380+K380</f>
        <v>0</v>
      </c>
      <c r="M380" s="101">
        <v>0</v>
      </c>
      <c r="N380" s="101">
        <v>0</v>
      </c>
      <c r="O380" s="101">
        <v>0</v>
      </c>
      <c r="P380" s="101">
        <f>M380+N380+O380</f>
        <v>0</v>
      </c>
      <c r="Q380" s="101">
        <v>0</v>
      </c>
      <c r="R380" s="101">
        <v>1799037.06</v>
      </c>
      <c r="S380" s="101">
        <v>0</v>
      </c>
      <c r="T380" s="101">
        <v>0</v>
      </c>
      <c r="U380" s="101">
        <f>Q380+R380+S380+T380</f>
        <v>1799037.06</v>
      </c>
      <c r="V380" s="101">
        <f>G380+H380+L380+P380+U380</f>
        <v>1799037.06</v>
      </c>
      <c r="W380" s="185">
        <v>0</v>
      </c>
      <c r="X380" s="185">
        <f>V380+W380</f>
        <v>1799037.06</v>
      </c>
      <c r="Y380" s="185">
        <v>0</v>
      </c>
      <c r="Z380" s="185">
        <f>X380+Y380</f>
        <v>1799037.06</v>
      </c>
      <c r="AA380" s="208"/>
    </row>
    <row r="381" spans="1:27" ht="12.75">
      <c r="A381" s="208"/>
      <c r="B381" s="209"/>
      <c r="C381" s="208" t="s">
        <v>964</v>
      </c>
      <c r="D381" s="210"/>
      <c r="E381" s="185">
        <v>0</v>
      </c>
      <c r="F381" s="185">
        <v>0</v>
      </c>
      <c r="G381" s="101">
        <f>E381+F381</f>
        <v>0</v>
      </c>
      <c r="H381" s="101">
        <v>0</v>
      </c>
      <c r="I381" s="101">
        <v>0</v>
      </c>
      <c r="J381" s="101">
        <v>0</v>
      </c>
      <c r="K381" s="101">
        <v>0</v>
      </c>
      <c r="L381" s="101">
        <f>J381+I381+K381</f>
        <v>0</v>
      </c>
      <c r="M381" s="101">
        <v>0</v>
      </c>
      <c r="N381" s="101">
        <v>0</v>
      </c>
      <c r="O381" s="101">
        <v>0</v>
      </c>
      <c r="P381" s="101">
        <f>M381+N381+O381</f>
        <v>0</v>
      </c>
      <c r="Q381" s="101">
        <v>0</v>
      </c>
      <c r="R381" s="101">
        <v>0</v>
      </c>
      <c r="S381" s="101">
        <v>0</v>
      </c>
      <c r="T381" s="101">
        <v>0</v>
      </c>
      <c r="U381" s="101">
        <f>Q381+R381+S381+T381</f>
        <v>0</v>
      </c>
      <c r="V381" s="101">
        <f>G381+H381+L381+P381+U381</f>
        <v>0</v>
      </c>
      <c r="W381" s="185">
        <v>0</v>
      </c>
      <c r="X381" s="185">
        <f>V381+W381</f>
        <v>0</v>
      </c>
      <c r="Y381" s="185">
        <v>0</v>
      </c>
      <c r="Z381" s="185">
        <f>X381+Y381</f>
        <v>0</v>
      </c>
      <c r="AA381" s="208"/>
    </row>
    <row r="382" spans="1:27" ht="12.75">
      <c r="A382" s="219"/>
      <c r="B382" s="209"/>
      <c r="C382" s="208" t="s">
        <v>965</v>
      </c>
      <c r="D382" s="210"/>
      <c r="E382" s="185">
        <v>0</v>
      </c>
      <c r="F382" s="185">
        <v>0</v>
      </c>
      <c r="G382" s="101">
        <f>E382+F382</f>
        <v>0</v>
      </c>
      <c r="H382" s="101">
        <v>0</v>
      </c>
      <c r="I382" s="101">
        <v>0</v>
      </c>
      <c r="J382" s="101">
        <v>0</v>
      </c>
      <c r="K382" s="101">
        <v>0</v>
      </c>
      <c r="L382" s="101">
        <f>J382+I382+K382</f>
        <v>0</v>
      </c>
      <c r="M382" s="101">
        <v>0</v>
      </c>
      <c r="N382" s="101">
        <v>0</v>
      </c>
      <c r="O382" s="101">
        <v>0</v>
      </c>
      <c r="P382" s="101">
        <f>M382+N382+O382</f>
        <v>0</v>
      </c>
      <c r="Q382" s="101">
        <v>0</v>
      </c>
      <c r="R382" s="101">
        <v>0</v>
      </c>
      <c r="S382" s="101">
        <v>0</v>
      </c>
      <c r="T382" s="101">
        <v>0</v>
      </c>
      <c r="U382" s="101">
        <f>Q382+R382+S382+T382</f>
        <v>0</v>
      </c>
      <c r="V382" s="101">
        <f>G382+H382+L382+P382+U382</f>
        <v>0</v>
      </c>
      <c r="W382" s="185">
        <v>0</v>
      </c>
      <c r="X382" s="185">
        <f>V382+W382</f>
        <v>0</v>
      </c>
      <c r="Y382" s="185">
        <v>0</v>
      </c>
      <c r="Z382" s="185">
        <f>X382+Y382</f>
        <v>0</v>
      </c>
      <c r="AA382" s="219"/>
    </row>
    <row r="383" spans="1:27" ht="12.75">
      <c r="A383" s="219" t="s">
        <v>726</v>
      </c>
      <c r="B383" s="209"/>
      <c r="C383" s="208" t="s">
        <v>3055</v>
      </c>
      <c r="D383" s="210"/>
      <c r="E383" s="185">
        <v>0</v>
      </c>
      <c r="F383" s="185">
        <v>0</v>
      </c>
      <c r="G383" s="101">
        <f>E383+F383</f>
        <v>0</v>
      </c>
      <c r="H383" s="101">
        <v>0</v>
      </c>
      <c r="I383" s="101">
        <v>0</v>
      </c>
      <c r="J383" s="101">
        <v>0</v>
      </c>
      <c r="K383" s="101">
        <v>0</v>
      </c>
      <c r="L383" s="101">
        <f>J383+I383+K383</f>
        <v>0</v>
      </c>
      <c r="M383" s="101">
        <v>0</v>
      </c>
      <c r="N383" s="101">
        <v>2816866.32</v>
      </c>
      <c r="O383" s="101">
        <v>69954.65</v>
      </c>
      <c r="P383" s="101">
        <f>M383+N383+O383</f>
        <v>2886820.9699999997</v>
      </c>
      <c r="Q383" s="101">
        <v>0</v>
      </c>
      <c r="R383" s="101">
        <v>0</v>
      </c>
      <c r="S383" s="101">
        <v>0</v>
      </c>
      <c r="T383" s="101">
        <v>0</v>
      </c>
      <c r="U383" s="101">
        <f>Q383+R383+S383+T383</f>
        <v>0</v>
      </c>
      <c r="V383" s="101">
        <f>G383+H383+L383+P383+U383</f>
        <v>2886820.9699999997</v>
      </c>
      <c r="W383" s="185">
        <v>0</v>
      </c>
      <c r="X383" s="185">
        <f>V383+W383</f>
        <v>2886820.9699999997</v>
      </c>
      <c r="Y383" s="185">
        <v>0</v>
      </c>
      <c r="Z383" s="185">
        <f>X383+Y383</f>
        <v>2886820.9699999997</v>
      </c>
      <c r="AA383" s="219"/>
    </row>
    <row r="384" spans="1:27" ht="12.75">
      <c r="A384" s="183"/>
      <c r="B384" s="214"/>
      <c r="C384" s="215"/>
      <c r="D384" s="72"/>
      <c r="E384" s="151"/>
      <c r="F384" s="151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51"/>
      <c r="X384" s="151"/>
      <c r="Y384" s="151"/>
      <c r="Z384" s="151"/>
      <c r="AA384" s="183"/>
    </row>
    <row r="385" spans="1:27" ht="12.75">
      <c r="A385" s="183"/>
      <c r="B385" s="214"/>
      <c r="C385" s="215" t="s">
        <v>2478</v>
      </c>
      <c r="D385" s="72"/>
      <c r="E385" s="151">
        <f aca="true" t="shared" si="68" ref="E385:Z385">E378+E380+E381+E382+E383</f>
        <v>0</v>
      </c>
      <c r="F385" s="151">
        <f t="shared" si="68"/>
        <v>463761.48</v>
      </c>
      <c r="G385" s="103">
        <f t="shared" si="68"/>
        <v>463761.48</v>
      </c>
      <c r="H385" s="103">
        <f t="shared" si="68"/>
        <v>19420966.23</v>
      </c>
      <c r="I385" s="103">
        <f t="shared" si="68"/>
        <v>6298.82</v>
      </c>
      <c r="J385" s="103">
        <f t="shared" si="68"/>
        <v>0</v>
      </c>
      <c r="K385" s="103">
        <f t="shared" si="68"/>
        <v>197377.42</v>
      </c>
      <c r="L385" s="103">
        <f t="shared" si="68"/>
        <v>203676.24000000002</v>
      </c>
      <c r="M385" s="103">
        <f t="shared" si="68"/>
        <v>0</v>
      </c>
      <c r="N385" s="103">
        <f t="shared" si="68"/>
        <v>8336326.620000001</v>
      </c>
      <c r="O385" s="103">
        <f t="shared" si="68"/>
        <v>2856996.7099999995</v>
      </c>
      <c r="P385" s="103">
        <f t="shared" si="68"/>
        <v>11193323.33</v>
      </c>
      <c r="Q385" s="103">
        <f t="shared" si="68"/>
        <v>254567.89</v>
      </c>
      <c r="R385" s="103">
        <f t="shared" si="68"/>
        <v>2067325.6400000001</v>
      </c>
      <c r="S385" s="103">
        <f t="shared" si="68"/>
        <v>-2294040.32</v>
      </c>
      <c r="T385" s="103">
        <f t="shared" si="68"/>
        <v>867369.28</v>
      </c>
      <c r="U385" s="103">
        <f t="shared" si="68"/>
        <v>895222.4900000002</v>
      </c>
      <c r="V385" s="103">
        <f t="shared" si="68"/>
        <v>32176949.77</v>
      </c>
      <c r="W385" s="151">
        <f t="shared" si="68"/>
        <v>0</v>
      </c>
      <c r="X385" s="151">
        <f t="shared" si="68"/>
        <v>32176949.77</v>
      </c>
      <c r="Y385" s="151">
        <f t="shared" si="68"/>
        <v>13597384.110000001</v>
      </c>
      <c r="Z385" s="151">
        <f t="shared" si="68"/>
        <v>45774333.88</v>
      </c>
      <c r="AA385" s="183"/>
    </row>
    <row r="386" spans="1:27" ht="12.75">
      <c r="A386" s="183"/>
      <c r="B386" s="214"/>
      <c r="C386" s="215"/>
      <c r="D386" s="72"/>
      <c r="E386" s="151"/>
      <c r="F386" s="151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51"/>
      <c r="X386" s="151"/>
      <c r="Y386" s="151"/>
      <c r="Z386" s="151"/>
      <c r="AA386" s="183"/>
    </row>
    <row r="387" spans="1:26" ht="12.75" hidden="1" outlineLevel="1">
      <c r="A387" s="171" t="s">
        <v>2460</v>
      </c>
      <c r="C387" s="172" t="s">
        <v>2461</v>
      </c>
      <c r="D387" s="172" t="s">
        <v>2462</v>
      </c>
      <c r="E387" s="171">
        <v>0</v>
      </c>
      <c r="F387" s="171">
        <v>0</v>
      </c>
      <c r="G387" s="216">
        <f aca="true" t="shared" si="69" ref="G387:G409">E387+F387</f>
        <v>0</v>
      </c>
      <c r="H387" s="217">
        <v>12734.98</v>
      </c>
      <c r="I387" s="217">
        <v>0</v>
      </c>
      <c r="J387" s="217">
        <v>0</v>
      </c>
      <c r="K387" s="217">
        <v>0</v>
      </c>
      <c r="L387" s="217">
        <f aca="true" t="shared" si="70" ref="L387:L409">J387+I387+K387</f>
        <v>0</v>
      </c>
      <c r="M387" s="217">
        <v>0</v>
      </c>
      <c r="N387" s="217">
        <v>0</v>
      </c>
      <c r="O387" s="217">
        <v>0</v>
      </c>
      <c r="P387" s="217">
        <f aca="true" t="shared" si="71" ref="P387:P409">M387+N387+O387</f>
        <v>0</v>
      </c>
      <c r="Q387" s="216">
        <v>0</v>
      </c>
      <c r="R387" s="216">
        <v>0</v>
      </c>
      <c r="S387" s="216">
        <v>0</v>
      </c>
      <c r="T387" s="216">
        <v>0</v>
      </c>
      <c r="U387" s="216">
        <f aca="true" t="shared" si="72" ref="U387:U409">Q387+R387+S387+T387</f>
        <v>0</v>
      </c>
      <c r="V387" s="216">
        <f aca="true" t="shared" si="73" ref="V387:V409">G387+H387+L387+P387+U387</f>
        <v>12734.98</v>
      </c>
      <c r="W387" s="171">
        <v>0</v>
      </c>
      <c r="X387" s="171">
        <f aca="true" t="shared" si="74" ref="X387:X409">V387+W387</f>
        <v>12734.98</v>
      </c>
      <c r="Y387" s="172">
        <v>0</v>
      </c>
      <c r="Z387" s="171">
        <f aca="true" t="shared" si="75" ref="Z387:Z409">X387+Y387</f>
        <v>12734.98</v>
      </c>
    </row>
    <row r="388" spans="1:26" ht="12.75" hidden="1" outlineLevel="1">
      <c r="A388" s="171" t="s">
        <v>2463</v>
      </c>
      <c r="C388" s="172" t="s">
        <v>2464</v>
      </c>
      <c r="D388" s="172" t="s">
        <v>2465</v>
      </c>
      <c r="E388" s="171">
        <v>0</v>
      </c>
      <c r="F388" s="171">
        <v>0</v>
      </c>
      <c r="G388" s="216">
        <f t="shared" si="69"/>
        <v>0</v>
      </c>
      <c r="H388" s="217">
        <v>0</v>
      </c>
      <c r="I388" s="217">
        <v>0</v>
      </c>
      <c r="J388" s="217">
        <v>0</v>
      </c>
      <c r="K388" s="217">
        <v>0</v>
      </c>
      <c r="L388" s="217">
        <f t="shared" si="70"/>
        <v>0</v>
      </c>
      <c r="M388" s="217">
        <v>0</v>
      </c>
      <c r="N388" s="217">
        <v>0</v>
      </c>
      <c r="O388" s="217">
        <v>0</v>
      </c>
      <c r="P388" s="217">
        <f t="shared" si="71"/>
        <v>0</v>
      </c>
      <c r="Q388" s="216">
        <v>0</v>
      </c>
      <c r="R388" s="216">
        <v>0</v>
      </c>
      <c r="S388" s="216">
        <v>2465034.25</v>
      </c>
      <c r="T388" s="216">
        <v>0</v>
      </c>
      <c r="U388" s="216">
        <f t="shared" si="72"/>
        <v>2465034.25</v>
      </c>
      <c r="V388" s="216">
        <f t="shared" si="73"/>
        <v>2465034.25</v>
      </c>
      <c r="W388" s="171">
        <v>0</v>
      </c>
      <c r="X388" s="171">
        <f t="shared" si="74"/>
        <v>2465034.25</v>
      </c>
      <c r="Y388" s="172">
        <v>0</v>
      </c>
      <c r="Z388" s="171">
        <f t="shared" si="75"/>
        <v>2465034.25</v>
      </c>
    </row>
    <row r="389" spans="1:26" ht="12.75" hidden="1" outlineLevel="1">
      <c r="A389" s="171" t="s">
        <v>2466</v>
      </c>
      <c r="C389" s="172" t="s">
        <v>2467</v>
      </c>
      <c r="D389" s="172" t="s">
        <v>2468</v>
      </c>
      <c r="E389" s="171">
        <v>0</v>
      </c>
      <c r="F389" s="171">
        <v>0</v>
      </c>
      <c r="G389" s="216">
        <f t="shared" si="69"/>
        <v>0</v>
      </c>
      <c r="H389" s="217">
        <v>0</v>
      </c>
      <c r="I389" s="217">
        <v>0</v>
      </c>
      <c r="J389" s="217">
        <v>0</v>
      </c>
      <c r="K389" s="217">
        <v>23304</v>
      </c>
      <c r="L389" s="217">
        <f t="shared" si="70"/>
        <v>23304</v>
      </c>
      <c r="M389" s="217">
        <v>0</v>
      </c>
      <c r="N389" s="217">
        <v>110168.24</v>
      </c>
      <c r="O389" s="217">
        <v>0</v>
      </c>
      <c r="P389" s="217">
        <f t="shared" si="71"/>
        <v>110168.24</v>
      </c>
      <c r="Q389" s="216">
        <v>0</v>
      </c>
      <c r="R389" s="216">
        <v>0</v>
      </c>
      <c r="S389" s="216">
        <v>0</v>
      </c>
      <c r="T389" s="216">
        <v>0</v>
      </c>
      <c r="U389" s="216">
        <f t="shared" si="72"/>
        <v>0</v>
      </c>
      <c r="V389" s="216">
        <f t="shared" si="73"/>
        <v>133472.24</v>
      </c>
      <c r="W389" s="171">
        <v>0</v>
      </c>
      <c r="X389" s="171">
        <f t="shared" si="74"/>
        <v>133472.24</v>
      </c>
      <c r="Y389" s="172">
        <v>0</v>
      </c>
      <c r="Z389" s="171">
        <f t="shared" si="75"/>
        <v>133472.24</v>
      </c>
    </row>
    <row r="390" spans="1:26" ht="12.75" hidden="1" outlineLevel="1">
      <c r="A390" s="171" t="s">
        <v>2469</v>
      </c>
      <c r="C390" s="172" t="s">
        <v>2470</v>
      </c>
      <c r="D390" s="172" t="s">
        <v>2471</v>
      </c>
      <c r="E390" s="171">
        <v>0</v>
      </c>
      <c r="F390" s="171">
        <v>0</v>
      </c>
      <c r="G390" s="216">
        <f t="shared" si="69"/>
        <v>0</v>
      </c>
      <c r="H390" s="217">
        <v>0</v>
      </c>
      <c r="I390" s="217">
        <v>0</v>
      </c>
      <c r="J390" s="217">
        <v>0</v>
      </c>
      <c r="K390" s="217">
        <v>0</v>
      </c>
      <c r="L390" s="217">
        <f t="shared" si="70"/>
        <v>0</v>
      </c>
      <c r="M390" s="217">
        <v>0</v>
      </c>
      <c r="N390" s="217">
        <v>-12734.98</v>
      </c>
      <c r="O390" s="217">
        <v>0</v>
      </c>
      <c r="P390" s="217">
        <f t="shared" si="71"/>
        <v>-12734.98</v>
      </c>
      <c r="Q390" s="216">
        <v>0</v>
      </c>
      <c r="R390" s="216">
        <v>0</v>
      </c>
      <c r="S390" s="216">
        <v>0</v>
      </c>
      <c r="T390" s="216">
        <v>0</v>
      </c>
      <c r="U390" s="216">
        <f t="shared" si="72"/>
        <v>0</v>
      </c>
      <c r="V390" s="216">
        <f t="shared" si="73"/>
        <v>-12734.98</v>
      </c>
      <c r="W390" s="171">
        <v>0</v>
      </c>
      <c r="X390" s="171">
        <f t="shared" si="74"/>
        <v>-12734.98</v>
      </c>
      <c r="Y390" s="172">
        <v>0</v>
      </c>
      <c r="Z390" s="171">
        <f t="shared" si="75"/>
        <v>-12734.98</v>
      </c>
    </row>
    <row r="391" spans="1:26" ht="12.75" hidden="1" outlineLevel="1">
      <c r="A391" s="171" t="s">
        <v>2472</v>
      </c>
      <c r="C391" s="172" t="s">
        <v>2473</v>
      </c>
      <c r="D391" s="172" t="s">
        <v>2474</v>
      </c>
      <c r="E391" s="171">
        <v>0</v>
      </c>
      <c r="F391" s="171">
        <v>-1920673</v>
      </c>
      <c r="G391" s="216">
        <f t="shared" si="69"/>
        <v>-1920673</v>
      </c>
      <c r="H391" s="217">
        <v>0</v>
      </c>
      <c r="I391" s="217">
        <v>0</v>
      </c>
      <c r="J391" s="217">
        <v>0</v>
      </c>
      <c r="K391" s="217">
        <v>0</v>
      </c>
      <c r="L391" s="217">
        <f t="shared" si="70"/>
        <v>0</v>
      </c>
      <c r="M391" s="217">
        <v>0</v>
      </c>
      <c r="N391" s="217">
        <v>0</v>
      </c>
      <c r="O391" s="217">
        <v>0</v>
      </c>
      <c r="P391" s="217">
        <f t="shared" si="71"/>
        <v>0</v>
      </c>
      <c r="Q391" s="216">
        <v>0</v>
      </c>
      <c r="R391" s="216">
        <v>0</v>
      </c>
      <c r="S391" s="216">
        <v>-450044.65</v>
      </c>
      <c r="T391" s="216">
        <v>0</v>
      </c>
      <c r="U391" s="216">
        <f t="shared" si="72"/>
        <v>-450044.65</v>
      </c>
      <c r="V391" s="216">
        <f t="shared" si="73"/>
        <v>-2370717.65</v>
      </c>
      <c r="W391" s="171">
        <v>0</v>
      </c>
      <c r="X391" s="171">
        <f t="shared" si="74"/>
        <v>-2370717.65</v>
      </c>
      <c r="Y391" s="172">
        <v>0</v>
      </c>
      <c r="Z391" s="171">
        <f t="shared" si="75"/>
        <v>-2370717.65</v>
      </c>
    </row>
    <row r="392" spans="1:26" ht="12.75" hidden="1" outlineLevel="1">
      <c r="A392" s="171" t="s">
        <v>2475</v>
      </c>
      <c r="C392" s="172" t="s">
        <v>2476</v>
      </c>
      <c r="D392" s="172" t="s">
        <v>2477</v>
      </c>
      <c r="E392" s="171">
        <v>0</v>
      </c>
      <c r="F392" s="171">
        <v>-23647</v>
      </c>
      <c r="G392" s="216">
        <f t="shared" si="69"/>
        <v>-23647</v>
      </c>
      <c r="H392" s="217">
        <v>0</v>
      </c>
      <c r="I392" s="217">
        <v>0</v>
      </c>
      <c r="J392" s="217">
        <v>0</v>
      </c>
      <c r="K392" s="217">
        <v>343</v>
      </c>
      <c r="L392" s="217">
        <f t="shared" si="70"/>
        <v>343</v>
      </c>
      <c r="M392" s="217">
        <v>0</v>
      </c>
      <c r="N392" s="217">
        <v>0</v>
      </c>
      <c r="O392" s="217">
        <v>-110168.24</v>
      </c>
      <c r="P392" s="217">
        <f t="shared" si="71"/>
        <v>-110168.24</v>
      </c>
      <c r="Q392" s="216">
        <v>0</v>
      </c>
      <c r="R392" s="216">
        <v>0</v>
      </c>
      <c r="S392" s="216">
        <v>0</v>
      </c>
      <c r="T392" s="216">
        <v>0</v>
      </c>
      <c r="U392" s="216">
        <f t="shared" si="72"/>
        <v>0</v>
      </c>
      <c r="V392" s="216">
        <f t="shared" si="73"/>
        <v>-133472.24</v>
      </c>
      <c r="W392" s="171">
        <v>0</v>
      </c>
      <c r="X392" s="171">
        <f t="shared" si="74"/>
        <v>-133472.24</v>
      </c>
      <c r="Y392" s="172">
        <v>0</v>
      </c>
      <c r="Z392" s="171">
        <f t="shared" si="75"/>
        <v>-133472.24</v>
      </c>
    </row>
    <row r="393" spans="1:27" ht="12.75" collapsed="1">
      <c r="A393" s="208" t="s">
        <v>2479</v>
      </c>
      <c r="B393" s="209"/>
      <c r="C393" s="208" t="s">
        <v>3056</v>
      </c>
      <c r="D393" s="210"/>
      <c r="E393" s="185">
        <v>0</v>
      </c>
      <c r="F393" s="185">
        <v>-1944320</v>
      </c>
      <c r="G393" s="101">
        <f t="shared" si="69"/>
        <v>-1944320</v>
      </c>
      <c r="H393" s="101">
        <v>12734.98</v>
      </c>
      <c r="I393" s="101">
        <v>0</v>
      </c>
      <c r="J393" s="101">
        <v>0</v>
      </c>
      <c r="K393" s="101">
        <v>23647</v>
      </c>
      <c r="L393" s="101">
        <f t="shared" si="70"/>
        <v>23647</v>
      </c>
      <c r="M393" s="101">
        <v>0</v>
      </c>
      <c r="N393" s="101">
        <v>97433.26</v>
      </c>
      <c r="O393" s="101">
        <v>-110168.24</v>
      </c>
      <c r="P393" s="101">
        <f t="shared" si="71"/>
        <v>-12734.98000000001</v>
      </c>
      <c r="Q393" s="101">
        <v>0</v>
      </c>
      <c r="R393" s="101">
        <v>0</v>
      </c>
      <c r="S393" s="101">
        <v>2014989.6</v>
      </c>
      <c r="T393" s="101">
        <v>0</v>
      </c>
      <c r="U393" s="101">
        <f t="shared" si="72"/>
        <v>2014989.6</v>
      </c>
      <c r="V393" s="101">
        <f t="shared" si="73"/>
        <v>94316.6000000001</v>
      </c>
      <c r="W393" s="185">
        <v>0</v>
      </c>
      <c r="X393" s="185">
        <f t="shared" si="74"/>
        <v>94316.6000000001</v>
      </c>
      <c r="Y393" s="185">
        <v>0</v>
      </c>
      <c r="Z393" s="185">
        <f t="shared" si="75"/>
        <v>94316.6000000001</v>
      </c>
      <c r="AA393" s="208"/>
    </row>
    <row r="394" spans="1:26" ht="12.75" hidden="1" outlineLevel="1">
      <c r="A394" s="171" t="s">
        <v>2480</v>
      </c>
      <c r="C394" s="172" t="s">
        <v>2481</v>
      </c>
      <c r="D394" s="172" t="s">
        <v>2482</v>
      </c>
      <c r="E394" s="171">
        <v>0</v>
      </c>
      <c r="F394" s="171">
        <v>1501197.07</v>
      </c>
      <c r="G394" s="216">
        <f t="shared" si="69"/>
        <v>1501197.07</v>
      </c>
      <c r="H394" s="217">
        <v>575583.75</v>
      </c>
      <c r="I394" s="217">
        <v>0</v>
      </c>
      <c r="J394" s="217">
        <v>0</v>
      </c>
      <c r="K394" s="217">
        <v>83000</v>
      </c>
      <c r="L394" s="217">
        <f t="shared" si="70"/>
        <v>83000</v>
      </c>
      <c r="M394" s="217">
        <v>0</v>
      </c>
      <c r="N394" s="217">
        <v>66.23</v>
      </c>
      <c r="O394" s="217">
        <v>0</v>
      </c>
      <c r="P394" s="217">
        <f t="shared" si="71"/>
        <v>66.23</v>
      </c>
      <c r="Q394" s="216">
        <v>0</v>
      </c>
      <c r="R394" s="216">
        <v>4125644</v>
      </c>
      <c r="S394" s="216">
        <v>0</v>
      </c>
      <c r="T394" s="216">
        <v>0</v>
      </c>
      <c r="U394" s="216">
        <f t="shared" si="72"/>
        <v>4125644</v>
      </c>
      <c r="V394" s="216">
        <f t="shared" si="73"/>
        <v>6285491.050000001</v>
      </c>
      <c r="W394" s="171">
        <v>0</v>
      </c>
      <c r="X394" s="171">
        <f t="shared" si="74"/>
        <v>6285491.050000001</v>
      </c>
      <c r="Y394" s="172">
        <v>0</v>
      </c>
      <c r="Z394" s="171">
        <f t="shared" si="75"/>
        <v>6285491.050000001</v>
      </c>
    </row>
    <row r="395" spans="1:26" ht="12.75" hidden="1" outlineLevel="1">
      <c r="A395" s="171" t="s">
        <v>2483</v>
      </c>
      <c r="C395" s="172" t="s">
        <v>2484</v>
      </c>
      <c r="D395" s="172" t="s">
        <v>2485</v>
      </c>
      <c r="E395" s="171">
        <v>0</v>
      </c>
      <c r="F395" s="171">
        <v>7188.82</v>
      </c>
      <c r="G395" s="216">
        <f t="shared" si="69"/>
        <v>7188.82</v>
      </c>
      <c r="H395" s="217">
        <v>0</v>
      </c>
      <c r="I395" s="217">
        <v>0</v>
      </c>
      <c r="J395" s="217">
        <v>0</v>
      </c>
      <c r="K395" s="217">
        <v>0</v>
      </c>
      <c r="L395" s="217">
        <f t="shared" si="70"/>
        <v>0</v>
      </c>
      <c r="M395" s="217">
        <v>0</v>
      </c>
      <c r="N395" s="217">
        <v>0</v>
      </c>
      <c r="O395" s="217">
        <v>0</v>
      </c>
      <c r="P395" s="217">
        <f t="shared" si="71"/>
        <v>0</v>
      </c>
      <c r="Q395" s="216">
        <v>613472</v>
      </c>
      <c r="R395" s="216">
        <v>0</v>
      </c>
      <c r="S395" s="216">
        <v>0</v>
      </c>
      <c r="T395" s="216">
        <v>0</v>
      </c>
      <c r="U395" s="216">
        <f t="shared" si="72"/>
        <v>613472</v>
      </c>
      <c r="V395" s="216">
        <f t="shared" si="73"/>
        <v>620660.82</v>
      </c>
      <c r="W395" s="171">
        <v>0</v>
      </c>
      <c r="X395" s="171">
        <f t="shared" si="74"/>
        <v>620660.82</v>
      </c>
      <c r="Y395" s="172">
        <v>0</v>
      </c>
      <c r="Z395" s="171">
        <f t="shared" si="75"/>
        <v>620660.82</v>
      </c>
    </row>
    <row r="396" spans="1:26" ht="12.75" hidden="1" outlineLevel="1">
      <c r="A396" s="171" t="s">
        <v>966</v>
      </c>
      <c r="C396" s="172" t="s">
        <v>967</v>
      </c>
      <c r="D396" s="172" t="s">
        <v>968</v>
      </c>
      <c r="E396" s="171">
        <v>0</v>
      </c>
      <c r="F396" s="171">
        <v>0</v>
      </c>
      <c r="G396" s="216">
        <f t="shared" si="69"/>
        <v>0</v>
      </c>
      <c r="H396" s="217">
        <v>3466.16</v>
      </c>
      <c r="I396" s="217">
        <v>0</v>
      </c>
      <c r="J396" s="217">
        <v>0</v>
      </c>
      <c r="K396" s="217">
        <v>0</v>
      </c>
      <c r="L396" s="217">
        <f t="shared" si="70"/>
        <v>0</v>
      </c>
      <c r="M396" s="217">
        <v>0</v>
      </c>
      <c r="N396" s="217">
        <v>0</v>
      </c>
      <c r="O396" s="217">
        <v>0</v>
      </c>
      <c r="P396" s="217">
        <f t="shared" si="71"/>
        <v>0</v>
      </c>
      <c r="Q396" s="216">
        <v>0</v>
      </c>
      <c r="R396" s="216">
        <v>0</v>
      </c>
      <c r="S396" s="216">
        <v>0</v>
      </c>
      <c r="T396" s="216">
        <v>0</v>
      </c>
      <c r="U396" s="216">
        <f t="shared" si="72"/>
        <v>0</v>
      </c>
      <c r="V396" s="216">
        <f t="shared" si="73"/>
        <v>3466.16</v>
      </c>
      <c r="W396" s="171">
        <v>0</v>
      </c>
      <c r="X396" s="171">
        <f t="shared" si="74"/>
        <v>3466.16</v>
      </c>
      <c r="Y396" s="172">
        <v>0</v>
      </c>
      <c r="Z396" s="171">
        <f t="shared" si="75"/>
        <v>3466.16</v>
      </c>
    </row>
    <row r="397" spans="1:26" ht="12.75" hidden="1" outlineLevel="1">
      <c r="A397" s="171" t="s">
        <v>2486</v>
      </c>
      <c r="C397" s="172" t="s">
        <v>2487</v>
      </c>
      <c r="D397" s="172" t="s">
        <v>2488</v>
      </c>
      <c r="E397" s="171">
        <v>0</v>
      </c>
      <c r="F397" s="171">
        <v>-4320.95</v>
      </c>
      <c r="G397" s="216">
        <f t="shared" si="69"/>
        <v>-4320.95</v>
      </c>
      <c r="H397" s="217">
        <v>-450</v>
      </c>
      <c r="I397" s="217">
        <v>0</v>
      </c>
      <c r="J397" s="217">
        <v>0</v>
      </c>
      <c r="K397" s="217">
        <v>0</v>
      </c>
      <c r="L397" s="217">
        <f t="shared" si="70"/>
        <v>0</v>
      </c>
      <c r="M397" s="217">
        <v>0</v>
      </c>
      <c r="N397" s="217">
        <v>-8011.75</v>
      </c>
      <c r="O397" s="217">
        <v>-4275644</v>
      </c>
      <c r="P397" s="217">
        <f t="shared" si="71"/>
        <v>-4283655.75</v>
      </c>
      <c r="Q397" s="216">
        <v>-1893982</v>
      </c>
      <c r="R397" s="216">
        <v>0</v>
      </c>
      <c r="S397" s="216">
        <v>0</v>
      </c>
      <c r="T397" s="216">
        <v>0</v>
      </c>
      <c r="U397" s="216">
        <f t="shared" si="72"/>
        <v>-1893982</v>
      </c>
      <c r="V397" s="216">
        <f t="shared" si="73"/>
        <v>-6182408.7</v>
      </c>
      <c r="W397" s="171">
        <v>0</v>
      </c>
      <c r="X397" s="171">
        <f t="shared" si="74"/>
        <v>-6182408.7</v>
      </c>
      <c r="Y397" s="172">
        <v>0</v>
      </c>
      <c r="Z397" s="171">
        <f t="shared" si="75"/>
        <v>-6182408.7</v>
      </c>
    </row>
    <row r="398" spans="1:26" ht="12.75" hidden="1" outlineLevel="1">
      <c r="A398" s="171" t="s">
        <v>2489</v>
      </c>
      <c r="C398" s="172" t="s">
        <v>2490</v>
      </c>
      <c r="D398" s="172" t="s">
        <v>2491</v>
      </c>
      <c r="E398" s="171">
        <v>0</v>
      </c>
      <c r="F398" s="171">
        <v>-56501.16</v>
      </c>
      <c r="G398" s="216">
        <f t="shared" si="69"/>
        <v>-56501.16</v>
      </c>
      <c r="H398" s="217">
        <v>0</v>
      </c>
      <c r="I398" s="217">
        <v>0</v>
      </c>
      <c r="J398" s="217">
        <v>0</v>
      </c>
      <c r="K398" s="217">
        <v>0</v>
      </c>
      <c r="L398" s="217">
        <f t="shared" si="70"/>
        <v>0</v>
      </c>
      <c r="M398" s="217">
        <v>0</v>
      </c>
      <c r="N398" s="217">
        <v>0</v>
      </c>
      <c r="O398" s="217">
        <v>0</v>
      </c>
      <c r="P398" s="217">
        <f t="shared" si="71"/>
        <v>0</v>
      </c>
      <c r="Q398" s="216">
        <v>0</v>
      </c>
      <c r="R398" s="216">
        <v>0</v>
      </c>
      <c r="S398" s="216">
        <v>0</v>
      </c>
      <c r="T398" s="216">
        <v>0</v>
      </c>
      <c r="U398" s="216">
        <f t="shared" si="72"/>
        <v>0</v>
      </c>
      <c r="V398" s="216">
        <f t="shared" si="73"/>
        <v>-56501.16</v>
      </c>
      <c r="W398" s="171">
        <v>0</v>
      </c>
      <c r="X398" s="171">
        <f t="shared" si="74"/>
        <v>-56501.16</v>
      </c>
      <c r="Y398" s="172">
        <v>0</v>
      </c>
      <c r="Z398" s="171">
        <f t="shared" si="75"/>
        <v>-56501.16</v>
      </c>
    </row>
    <row r="399" spans="1:26" ht="12.75" hidden="1" outlineLevel="1">
      <c r="A399" s="171" t="s">
        <v>2492</v>
      </c>
      <c r="C399" s="172" t="s">
        <v>2493</v>
      </c>
      <c r="D399" s="172" t="s">
        <v>2494</v>
      </c>
      <c r="E399" s="171">
        <v>0</v>
      </c>
      <c r="F399" s="171">
        <v>-3727.57</v>
      </c>
      <c r="G399" s="216">
        <f t="shared" si="69"/>
        <v>-3727.57</v>
      </c>
      <c r="H399" s="217">
        <v>0</v>
      </c>
      <c r="I399" s="217">
        <v>0</v>
      </c>
      <c r="J399" s="217">
        <v>0</v>
      </c>
      <c r="K399" s="217">
        <v>0</v>
      </c>
      <c r="L399" s="217">
        <f t="shared" si="70"/>
        <v>0</v>
      </c>
      <c r="M399" s="217">
        <v>0</v>
      </c>
      <c r="N399" s="217">
        <v>0</v>
      </c>
      <c r="O399" s="217">
        <v>0</v>
      </c>
      <c r="P399" s="217">
        <f t="shared" si="71"/>
        <v>0</v>
      </c>
      <c r="Q399" s="216">
        <v>0</v>
      </c>
      <c r="R399" s="216">
        <v>0</v>
      </c>
      <c r="S399" s="216">
        <v>0</v>
      </c>
      <c r="T399" s="216">
        <v>0</v>
      </c>
      <c r="U399" s="216">
        <f t="shared" si="72"/>
        <v>0</v>
      </c>
      <c r="V399" s="216">
        <f t="shared" si="73"/>
        <v>-3727.57</v>
      </c>
      <c r="W399" s="171">
        <v>0</v>
      </c>
      <c r="X399" s="171">
        <f t="shared" si="74"/>
        <v>-3727.57</v>
      </c>
      <c r="Y399" s="172">
        <v>0</v>
      </c>
      <c r="Z399" s="171">
        <f t="shared" si="75"/>
        <v>-3727.57</v>
      </c>
    </row>
    <row r="400" spans="1:26" ht="12.75" hidden="1" outlineLevel="1">
      <c r="A400" s="171" t="s">
        <v>969</v>
      </c>
      <c r="C400" s="172" t="s">
        <v>970</v>
      </c>
      <c r="D400" s="172" t="s">
        <v>971</v>
      </c>
      <c r="E400" s="171">
        <v>0</v>
      </c>
      <c r="F400" s="171">
        <v>0</v>
      </c>
      <c r="G400" s="216">
        <f t="shared" si="69"/>
        <v>0</v>
      </c>
      <c r="H400" s="217">
        <v>0</v>
      </c>
      <c r="I400" s="217">
        <v>0</v>
      </c>
      <c r="J400" s="217">
        <v>0</v>
      </c>
      <c r="K400" s="217">
        <v>-3466.16</v>
      </c>
      <c r="L400" s="217">
        <f t="shared" si="70"/>
        <v>-3466.16</v>
      </c>
      <c r="M400" s="217">
        <v>0</v>
      </c>
      <c r="N400" s="217">
        <v>0</v>
      </c>
      <c r="O400" s="217">
        <v>0</v>
      </c>
      <c r="P400" s="217">
        <f t="shared" si="71"/>
        <v>0</v>
      </c>
      <c r="Q400" s="216">
        <v>0</v>
      </c>
      <c r="R400" s="216">
        <v>0</v>
      </c>
      <c r="S400" s="216">
        <v>0</v>
      </c>
      <c r="T400" s="216">
        <v>0</v>
      </c>
      <c r="U400" s="216">
        <f t="shared" si="72"/>
        <v>0</v>
      </c>
      <c r="V400" s="216">
        <f t="shared" si="73"/>
        <v>-3466.16</v>
      </c>
      <c r="W400" s="171">
        <v>0</v>
      </c>
      <c r="X400" s="171">
        <f t="shared" si="74"/>
        <v>-3466.16</v>
      </c>
      <c r="Y400" s="172">
        <v>0</v>
      </c>
      <c r="Z400" s="171">
        <f t="shared" si="75"/>
        <v>-3466.16</v>
      </c>
    </row>
    <row r="401" spans="1:27" ht="12.75" collapsed="1">
      <c r="A401" s="208" t="s">
        <v>2495</v>
      </c>
      <c r="B401" s="209"/>
      <c r="C401" s="208" t="s">
        <v>3057</v>
      </c>
      <c r="D401" s="210"/>
      <c r="E401" s="185">
        <v>0</v>
      </c>
      <c r="F401" s="185">
        <v>1443836.21</v>
      </c>
      <c r="G401" s="101">
        <f t="shared" si="69"/>
        <v>1443836.21</v>
      </c>
      <c r="H401" s="101">
        <v>578599.91</v>
      </c>
      <c r="I401" s="101">
        <v>0</v>
      </c>
      <c r="J401" s="101">
        <v>0</v>
      </c>
      <c r="K401" s="101">
        <v>79533.84</v>
      </c>
      <c r="L401" s="101">
        <f t="shared" si="70"/>
        <v>79533.84</v>
      </c>
      <c r="M401" s="101">
        <v>0</v>
      </c>
      <c r="N401" s="101">
        <v>-7945.52</v>
      </c>
      <c r="O401" s="101">
        <v>-4275644</v>
      </c>
      <c r="P401" s="101">
        <f t="shared" si="71"/>
        <v>-4283589.52</v>
      </c>
      <c r="Q401" s="101">
        <v>-1280510</v>
      </c>
      <c r="R401" s="101">
        <v>4125644</v>
      </c>
      <c r="S401" s="101">
        <v>0</v>
      </c>
      <c r="T401" s="101">
        <v>0</v>
      </c>
      <c r="U401" s="101">
        <f t="shared" si="72"/>
        <v>2845134</v>
      </c>
      <c r="V401" s="101">
        <f t="shared" si="73"/>
        <v>663514.4400000004</v>
      </c>
      <c r="W401" s="185">
        <v>0</v>
      </c>
      <c r="X401" s="185">
        <f t="shared" si="74"/>
        <v>663514.4400000004</v>
      </c>
      <c r="Y401" s="185">
        <v>0</v>
      </c>
      <c r="Z401" s="185">
        <f t="shared" si="75"/>
        <v>663514.4400000004</v>
      </c>
      <c r="AA401" s="208"/>
    </row>
    <row r="402" spans="1:26" ht="12.75" hidden="1" outlineLevel="1">
      <c r="A402" s="171" t="s">
        <v>972</v>
      </c>
      <c r="C402" s="172" t="s">
        <v>973</v>
      </c>
      <c r="D402" s="172" t="s">
        <v>974</v>
      </c>
      <c r="E402" s="171">
        <v>0</v>
      </c>
      <c r="F402" s="171">
        <v>-12925.48</v>
      </c>
      <c r="G402" s="216">
        <f t="shared" si="69"/>
        <v>-12925.48</v>
      </c>
      <c r="H402" s="217">
        <v>12925.48</v>
      </c>
      <c r="I402" s="217">
        <v>0</v>
      </c>
      <c r="J402" s="217">
        <v>0</v>
      </c>
      <c r="K402" s="217">
        <v>0</v>
      </c>
      <c r="L402" s="217">
        <f t="shared" si="70"/>
        <v>0</v>
      </c>
      <c r="M402" s="217">
        <v>0</v>
      </c>
      <c r="N402" s="217">
        <v>0</v>
      </c>
      <c r="O402" s="217">
        <v>0</v>
      </c>
      <c r="P402" s="217">
        <f t="shared" si="71"/>
        <v>0</v>
      </c>
      <c r="Q402" s="216">
        <v>0</v>
      </c>
      <c r="R402" s="216">
        <v>0</v>
      </c>
      <c r="S402" s="216">
        <v>0</v>
      </c>
      <c r="T402" s="216">
        <v>0</v>
      </c>
      <c r="U402" s="216">
        <f t="shared" si="72"/>
        <v>0</v>
      </c>
      <c r="V402" s="216">
        <f t="shared" si="73"/>
        <v>0</v>
      </c>
      <c r="W402" s="171">
        <v>0</v>
      </c>
      <c r="X402" s="171">
        <f t="shared" si="74"/>
        <v>0</v>
      </c>
      <c r="Y402" s="172">
        <v>0</v>
      </c>
      <c r="Z402" s="171">
        <f t="shared" si="75"/>
        <v>0</v>
      </c>
    </row>
    <row r="403" spans="1:26" ht="12.75" hidden="1" outlineLevel="1">
      <c r="A403" s="171" t="s">
        <v>831</v>
      </c>
      <c r="C403" s="172" t="s">
        <v>832</v>
      </c>
      <c r="D403" s="172" t="s">
        <v>833</v>
      </c>
      <c r="E403" s="171">
        <v>0</v>
      </c>
      <c r="F403" s="171">
        <v>43517704.11000001</v>
      </c>
      <c r="G403" s="216">
        <f t="shared" si="69"/>
        <v>43517704.11000001</v>
      </c>
      <c r="H403" s="217">
        <v>2894121.61</v>
      </c>
      <c r="I403" s="217">
        <v>0</v>
      </c>
      <c r="J403" s="217">
        <v>0</v>
      </c>
      <c r="K403" s="217">
        <v>0</v>
      </c>
      <c r="L403" s="217">
        <f t="shared" si="70"/>
        <v>0</v>
      </c>
      <c r="M403" s="217">
        <v>0</v>
      </c>
      <c r="N403" s="217">
        <v>225006.39</v>
      </c>
      <c r="O403" s="217">
        <v>103086.42</v>
      </c>
      <c r="P403" s="217">
        <f t="shared" si="71"/>
        <v>328092.81</v>
      </c>
      <c r="Q403" s="216">
        <v>4894029.78</v>
      </c>
      <c r="R403" s="216">
        <v>150000</v>
      </c>
      <c r="S403" s="216">
        <v>0</v>
      </c>
      <c r="T403" s="216">
        <v>0</v>
      </c>
      <c r="U403" s="216">
        <f t="shared" si="72"/>
        <v>5044029.78</v>
      </c>
      <c r="V403" s="216">
        <f t="shared" si="73"/>
        <v>51783948.31000001</v>
      </c>
      <c r="W403" s="171">
        <v>0</v>
      </c>
      <c r="X403" s="171">
        <f t="shared" si="74"/>
        <v>51783948.31000001</v>
      </c>
      <c r="Y403" s="172">
        <v>4080</v>
      </c>
      <c r="Z403" s="171">
        <f t="shared" si="75"/>
        <v>51788028.31000001</v>
      </c>
    </row>
    <row r="404" spans="1:26" ht="12.75" hidden="1" outlineLevel="1">
      <c r="A404" s="171" t="s">
        <v>2321</v>
      </c>
      <c r="C404" s="172" t="s">
        <v>2322</v>
      </c>
      <c r="D404" s="172" t="s">
        <v>2323</v>
      </c>
      <c r="E404" s="171">
        <v>0</v>
      </c>
      <c r="F404" s="171">
        <v>-44761313.41</v>
      </c>
      <c r="G404" s="216">
        <f t="shared" si="69"/>
        <v>-44761313.41</v>
      </c>
      <c r="H404" s="217">
        <v>-1896668.38</v>
      </c>
      <c r="I404" s="217">
        <v>0</v>
      </c>
      <c r="J404" s="217">
        <v>0</v>
      </c>
      <c r="K404" s="217">
        <v>-79977.64</v>
      </c>
      <c r="L404" s="217">
        <f t="shared" si="70"/>
        <v>-79977.64</v>
      </c>
      <c r="M404" s="217">
        <v>0</v>
      </c>
      <c r="N404" s="217">
        <v>-190199.69</v>
      </c>
      <c r="O404" s="217">
        <v>-45167.11</v>
      </c>
      <c r="P404" s="217">
        <f t="shared" si="71"/>
        <v>-235366.8</v>
      </c>
      <c r="Q404" s="216">
        <v>-3617133.96</v>
      </c>
      <c r="R404" s="216">
        <v>0</v>
      </c>
      <c r="S404" s="216">
        <v>0</v>
      </c>
      <c r="T404" s="216">
        <v>0</v>
      </c>
      <c r="U404" s="216">
        <f t="shared" si="72"/>
        <v>-3617133.96</v>
      </c>
      <c r="V404" s="216">
        <f t="shared" si="73"/>
        <v>-50590460.19</v>
      </c>
      <c r="W404" s="171">
        <v>0</v>
      </c>
      <c r="X404" s="171">
        <f t="shared" si="74"/>
        <v>-50590460.19</v>
      </c>
      <c r="Y404" s="172">
        <v>-8780</v>
      </c>
      <c r="Z404" s="171">
        <f t="shared" si="75"/>
        <v>-50599240.19</v>
      </c>
    </row>
    <row r="405" spans="1:26" ht="12.75" hidden="1" outlineLevel="1">
      <c r="A405" s="171" t="s">
        <v>6</v>
      </c>
      <c r="C405" s="172" t="s">
        <v>7</v>
      </c>
      <c r="D405" s="172" t="s">
        <v>8</v>
      </c>
      <c r="E405" s="171">
        <v>0</v>
      </c>
      <c r="F405" s="171">
        <v>-439969.78</v>
      </c>
      <c r="G405" s="216">
        <f t="shared" si="69"/>
        <v>-439969.78</v>
      </c>
      <c r="H405" s="217">
        <v>441088.16</v>
      </c>
      <c r="I405" s="217">
        <v>0</v>
      </c>
      <c r="J405" s="217">
        <v>0</v>
      </c>
      <c r="K405" s="217">
        <v>-1118.38</v>
      </c>
      <c r="L405" s="217">
        <f t="shared" si="70"/>
        <v>-1118.38</v>
      </c>
      <c r="M405" s="217">
        <v>0</v>
      </c>
      <c r="N405" s="217">
        <v>0</v>
      </c>
      <c r="O405" s="217">
        <v>0</v>
      </c>
      <c r="P405" s="217">
        <f t="shared" si="71"/>
        <v>0</v>
      </c>
      <c r="Q405" s="216">
        <v>0</v>
      </c>
      <c r="R405" s="216">
        <v>0</v>
      </c>
      <c r="S405" s="216">
        <v>0</v>
      </c>
      <c r="T405" s="216">
        <v>0</v>
      </c>
      <c r="U405" s="216">
        <f t="shared" si="72"/>
        <v>0</v>
      </c>
      <c r="V405" s="216">
        <f t="shared" si="73"/>
        <v>-5.3660187404602766E-11</v>
      </c>
      <c r="W405" s="171">
        <v>0</v>
      </c>
      <c r="X405" s="171">
        <f t="shared" si="74"/>
        <v>-5.3660187404602766E-11</v>
      </c>
      <c r="Y405" s="172">
        <v>0</v>
      </c>
      <c r="Z405" s="171">
        <f t="shared" si="75"/>
        <v>-5.3660187404602766E-11</v>
      </c>
    </row>
    <row r="406" spans="1:26" ht="12.75" hidden="1" outlineLevel="1">
      <c r="A406" s="171" t="s">
        <v>9</v>
      </c>
      <c r="C406" s="172" t="s">
        <v>10</v>
      </c>
      <c r="D406" s="172" t="s">
        <v>11</v>
      </c>
      <c r="E406" s="171">
        <v>0</v>
      </c>
      <c r="F406" s="171">
        <v>37797.04</v>
      </c>
      <c r="G406" s="216">
        <f t="shared" si="69"/>
        <v>37797.04</v>
      </c>
      <c r="H406" s="217">
        <v>-409847.92</v>
      </c>
      <c r="I406" s="217">
        <v>0</v>
      </c>
      <c r="J406" s="217">
        <v>0</v>
      </c>
      <c r="K406" s="217">
        <v>0</v>
      </c>
      <c r="L406" s="217">
        <f t="shared" si="70"/>
        <v>0</v>
      </c>
      <c r="M406" s="217">
        <v>0</v>
      </c>
      <c r="N406" s="217">
        <v>0</v>
      </c>
      <c r="O406" s="217">
        <v>0</v>
      </c>
      <c r="P406" s="217">
        <f t="shared" si="71"/>
        <v>0</v>
      </c>
      <c r="Q406" s="216">
        <v>0</v>
      </c>
      <c r="R406" s="216">
        <v>0</v>
      </c>
      <c r="S406" s="216">
        <v>0</v>
      </c>
      <c r="T406" s="216">
        <v>0</v>
      </c>
      <c r="U406" s="216">
        <f t="shared" si="72"/>
        <v>0</v>
      </c>
      <c r="V406" s="216">
        <f t="shared" si="73"/>
        <v>-372050.88</v>
      </c>
      <c r="W406" s="171">
        <v>0</v>
      </c>
      <c r="X406" s="171">
        <f t="shared" si="74"/>
        <v>-372050.88</v>
      </c>
      <c r="Y406" s="172">
        <v>0</v>
      </c>
      <c r="Z406" s="171">
        <f t="shared" si="75"/>
        <v>-372050.88</v>
      </c>
    </row>
    <row r="407" spans="1:26" ht="12.75" hidden="1" outlineLevel="1">
      <c r="A407" s="171" t="s">
        <v>12</v>
      </c>
      <c r="C407" s="172" t="s">
        <v>13</v>
      </c>
      <c r="D407" s="172" t="s">
        <v>14</v>
      </c>
      <c r="E407" s="171">
        <v>0</v>
      </c>
      <c r="F407" s="171">
        <v>-15000</v>
      </c>
      <c r="G407" s="216">
        <f t="shared" si="69"/>
        <v>-15000</v>
      </c>
      <c r="H407" s="217">
        <v>0</v>
      </c>
      <c r="I407" s="217">
        <v>0</v>
      </c>
      <c r="J407" s="217">
        <v>0</v>
      </c>
      <c r="K407" s="217">
        <v>0</v>
      </c>
      <c r="L407" s="217">
        <f t="shared" si="70"/>
        <v>0</v>
      </c>
      <c r="M407" s="217">
        <v>0</v>
      </c>
      <c r="N407" s="217">
        <v>0</v>
      </c>
      <c r="O407" s="217">
        <v>0</v>
      </c>
      <c r="P407" s="217">
        <f t="shared" si="71"/>
        <v>0</v>
      </c>
      <c r="Q407" s="216">
        <v>0</v>
      </c>
      <c r="R407" s="216">
        <v>0</v>
      </c>
      <c r="S407" s="216">
        <v>0</v>
      </c>
      <c r="T407" s="216">
        <v>0</v>
      </c>
      <c r="U407" s="216">
        <f t="shared" si="72"/>
        <v>0</v>
      </c>
      <c r="V407" s="216">
        <f t="shared" si="73"/>
        <v>-15000</v>
      </c>
      <c r="W407" s="171">
        <v>0</v>
      </c>
      <c r="X407" s="171">
        <f t="shared" si="74"/>
        <v>-15000</v>
      </c>
      <c r="Y407" s="172">
        <v>0</v>
      </c>
      <c r="Z407" s="171">
        <f t="shared" si="75"/>
        <v>-15000</v>
      </c>
    </row>
    <row r="408" spans="1:27" ht="12.75" collapsed="1">
      <c r="A408" s="172" t="s">
        <v>975</v>
      </c>
      <c r="B408" s="209"/>
      <c r="C408" s="208" t="s">
        <v>2970</v>
      </c>
      <c r="D408" s="210"/>
      <c r="E408" s="185">
        <v>0</v>
      </c>
      <c r="F408" s="185">
        <v>-1673707.5199999863</v>
      </c>
      <c r="G408" s="101">
        <f t="shared" si="69"/>
        <v>-1673707.5199999863</v>
      </c>
      <c r="H408" s="101">
        <v>1041618.95</v>
      </c>
      <c r="I408" s="101">
        <v>0</v>
      </c>
      <c r="J408" s="101">
        <v>0</v>
      </c>
      <c r="K408" s="101">
        <v>-81096.02</v>
      </c>
      <c r="L408" s="101">
        <f t="shared" si="70"/>
        <v>-81096.02</v>
      </c>
      <c r="M408" s="101">
        <v>0</v>
      </c>
      <c r="N408" s="101">
        <v>34806.7</v>
      </c>
      <c r="O408" s="101">
        <v>57919.31</v>
      </c>
      <c r="P408" s="101">
        <f t="shared" si="71"/>
        <v>92726.01</v>
      </c>
      <c r="Q408" s="101">
        <v>1276895.82</v>
      </c>
      <c r="R408" s="101">
        <v>150000</v>
      </c>
      <c r="S408" s="101">
        <v>0</v>
      </c>
      <c r="T408" s="101">
        <v>0</v>
      </c>
      <c r="U408" s="101">
        <f t="shared" si="72"/>
        <v>1426895.82</v>
      </c>
      <c r="V408" s="101">
        <f t="shared" si="73"/>
        <v>806437.2400000137</v>
      </c>
      <c r="W408" s="185">
        <v>0</v>
      </c>
      <c r="X408" s="185">
        <f t="shared" si="74"/>
        <v>806437.2400000137</v>
      </c>
      <c r="Y408" s="185">
        <v>-4700</v>
      </c>
      <c r="Z408" s="185">
        <f t="shared" si="75"/>
        <v>801737.2400000137</v>
      </c>
      <c r="AA408" s="172"/>
    </row>
    <row r="409" spans="1:27" ht="12.75">
      <c r="A409" s="172" t="s">
        <v>2496</v>
      </c>
      <c r="B409" s="209"/>
      <c r="C409" s="208" t="s">
        <v>2497</v>
      </c>
      <c r="D409" s="210"/>
      <c r="E409" s="185">
        <v>0</v>
      </c>
      <c r="F409" s="185">
        <v>0</v>
      </c>
      <c r="G409" s="101">
        <f t="shared" si="69"/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f t="shared" si="70"/>
        <v>0</v>
      </c>
      <c r="M409" s="101">
        <v>0</v>
      </c>
      <c r="N409" s="101">
        <v>0</v>
      </c>
      <c r="O409" s="101">
        <v>0</v>
      </c>
      <c r="P409" s="101">
        <f t="shared" si="71"/>
        <v>0</v>
      </c>
      <c r="Q409" s="101">
        <v>0</v>
      </c>
      <c r="R409" s="101">
        <v>0</v>
      </c>
      <c r="S409" s="101">
        <v>0</v>
      </c>
      <c r="T409" s="101">
        <v>0</v>
      </c>
      <c r="U409" s="101">
        <f t="shared" si="72"/>
        <v>0</v>
      </c>
      <c r="V409" s="101">
        <f t="shared" si="73"/>
        <v>0</v>
      </c>
      <c r="W409" s="185">
        <v>0</v>
      </c>
      <c r="X409" s="185">
        <f t="shared" si="74"/>
        <v>0</v>
      </c>
      <c r="Y409" s="185">
        <v>0</v>
      </c>
      <c r="Z409" s="185">
        <f t="shared" si="75"/>
        <v>0</v>
      </c>
      <c r="AA409" s="172"/>
    </row>
    <row r="410" spans="1:27" ht="15">
      <c r="A410" s="206"/>
      <c r="B410" s="209"/>
      <c r="C410" s="208"/>
      <c r="D410" s="210"/>
      <c r="E410" s="185"/>
      <c r="F410" s="185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85"/>
      <c r="X410" s="185"/>
      <c r="Y410" s="185"/>
      <c r="Z410" s="185"/>
      <c r="AA410" s="206"/>
    </row>
    <row r="411" spans="1:27" s="593" customFormat="1" ht="15.75">
      <c r="A411" s="213"/>
      <c r="B411" s="214"/>
      <c r="C411" s="215" t="s">
        <v>976</v>
      </c>
      <c r="D411" s="72"/>
      <c r="E411" s="151">
        <f aca="true" t="shared" si="76" ref="E411:Z411">E385+E393+E401+E408+E409</f>
        <v>0</v>
      </c>
      <c r="F411" s="151">
        <f t="shared" si="76"/>
        <v>-1710429.8299999863</v>
      </c>
      <c r="G411" s="103">
        <f t="shared" si="76"/>
        <v>-1710429.8299999863</v>
      </c>
      <c r="H411" s="103">
        <f t="shared" si="76"/>
        <v>21053920.07</v>
      </c>
      <c r="I411" s="103">
        <f t="shared" si="76"/>
        <v>6298.82</v>
      </c>
      <c r="J411" s="103">
        <f t="shared" si="76"/>
        <v>0</v>
      </c>
      <c r="K411" s="103">
        <f t="shared" si="76"/>
        <v>219462.24</v>
      </c>
      <c r="L411" s="103">
        <f t="shared" si="76"/>
        <v>225761.06</v>
      </c>
      <c r="M411" s="103">
        <f t="shared" si="76"/>
        <v>0</v>
      </c>
      <c r="N411" s="103">
        <f t="shared" si="76"/>
        <v>8460621.06</v>
      </c>
      <c r="O411" s="103">
        <f t="shared" si="76"/>
        <v>-1470896.2200000007</v>
      </c>
      <c r="P411" s="103">
        <f t="shared" si="76"/>
        <v>6989724.84</v>
      </c>
      <c r="Q411" s="103">
        <f t="shared" si="76"/>
        <v>250953.71000000008</v>
      </c>
      <c r="R411" s="103">
        <f t="shared" si="76"/>
        <v>6342969.640000001</v>
      </c>
      <c r="S411" s="103">
        <f t="shared" si="76"/>
        <v>-279050.71999999974</v>
      </c>
      <c r="T411" s="103">
        <f t="shared" si="76"/>
        <v>867369.28</v>
      </c>
      <c r="U411" s="103">
        <f t="shared" si="76"/>
        <v>7182241.91</v>
      </c>
      <c r="V411" s="103">
        <f t="shared" si="76"/>
        <v>33741218.05000002</v>
      </c>
      <c r="W411" s="151">
        <f t="shared" si="76"/>
        <v>0</v>
      </c>
      <c r="X411" s="151">
        <f t="shared" si="76"/>
        <v>33741218.05000002</v>
      </c>
      <c r="Y411" s="151">
        <f t="shared" si="76"/>
        <v>13592684.110000001</v>
      </c>
      <c r="Z411" s="151">
        <f t="shared" si="76"/>
        <v>47333902.16000002</v>
      </c>
      <c r="AA411" s="213"/>
    </row>
    <row r="412" spans="1:27" ht="15">
      <c r="A412" s="206"/>
      <c r="B412" s="209"/>
      <c r="C412" s="215"/>
      <c r="D412" s="210"/>
      <c r="E412" s="185"/>
      <c r="F412" s="185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85"/>
      <c r="X412" s="185"/>
      <c r="Y412" s="185"/>
      <c r="Z412" s="185"/>
      <c r="AA412" s="206"/>
    </row>
    <row r="413" spans="1:27" ht="15.75">
      <c r="A413" s="218"/>
      <c r="B413" s="214"/>
      <c r="C413" s="215" t="s">
        <v>2498</v>
      </c>
      <c r="D413" s="72"/>
      <c r="E413" s="151">
        <f aca="true" t="shared" si="77" ref="E413:Z413">E411+E351</f>
        <v>0</v>
      </c>
      <c r="F413" s="151">
        <f t="shared" si="77"/>
        <v>3394101.500000027</v>
      </c>
      <c r="G413" s="103">
        <f t="shared" si="77"/>
        <v>3394101.500000027</v>
      </c>
      <c r="H413" s="103">
        <f t="shared" si="77"/>
        <v>8533766.469999999</v>
      </c>
      <c r="I413" s="103">
        <f t="shared" si="77"/>
        <v>17102.239999999998</v>
      </c>
      <c r="J413" s="103">
        <f t="shared" si="77"/>
        <v>0</v>
      </c>
      <c r="K413" s="103">
        <f t="shared" si="77"/>
        <v>407547.09</v>
      </c>
      <c r="L413" s="103">
        <f t="shared" si="77"/>
        <v>424649.3300000001</v>
      </c>
      <c r="M413" s="103">
        <f t="shared" si="77"/>
        <v>0</v>
      </c>
      <c r="N413" s="103">
        <f t="shared" si="77"/>
        <v>8381784.130000001</v>
      </c>
      <c r="O413" s="103">
        <f t="shared" si="77"/>
        <v>-1460734.2200000007</v>
      </c>
      <c r="P413" s="103">
        <f t="shared" si="77"/>
        <v>6921049.91</v>
      </c>
      <c r="Q413" s="103">
        <f t="shared" si="77"/>
        <v>-3844775.82</v>
      </c>
      <c r="R413" s="103">
        <f t="shared" si="77"/>
        <v>4524571.990000002</v>
      </c>
      <c r="S413" s="103">
        <f t="shared" si="77"/>
        <v>-10762.069999999716</v>
      </c>
      <c r="T413" s="103">
        <f t="shared" si="77"/>
        <v>12637112.53</v>
      </c>
      <c r="U413" s="103">
        <f t="shared" si="77"/>
        <v>13306146.629999999</v>
      </c>
      <c r="V413" s="103">
        <f t="shared" si="77"/>
        <v>32579713.84000004</v>
      </c>
      <c r="W413" s="151">
        <f t="shared" si="77"/>
        <v>0</v>
      </c>
      <c r="X413" s="151">
        <f t="shared" si="77"/>
        <v>32579713.84000004</v>
      </c>
      <c r="Y413" s="151">
        <f t="shared" si="77"/>
        <v>16728627.699999984</v>
      </c>
      <c r="Z413" s="151">
        <f t="shared" si="77"/>
        <v>49308341.5400001</v>
      </c>
      <c r="AA413" s="220"/>
    </row>
    <row r="414" spans="1:27" ht="15">
      <c r="A414" s="206"/>
      <c r="B414" s="209"/>
      <c r="C414" s="208"/>
      <c r="D414" s="210"/>
      <c r="E414" s="185"/>
      <c r="F414" s="185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85"/>
      <c r="X414" s="185"/>
      <c r="Y414" s="185"/>
      <c r="Z414" s="185"/>
      <c r="AA414" s="206"/>
    </row>
    <row r="415" spans="1:26" ht="12.75" hidden="1" outlineLevel="1">
      <c r="A415" s="171" t="s">
        <v>2499</v>
      </c>
      <c r="C415" s="172" t="s">
        <v>2500</v>
      </c>
      <c r="D415" s="172" t="s">
        <v>2501</v>
      </c>
      <c r="E415" s="171">
        <v>138639.72</v>
      </c>
      <c r="F415" s="171">
        <v>20660864.82</v>
      </c>
      <c r="G415" s="216">
        <f>E415+F415</f>
        <v>20799504.54</v>
      </c>
      <c r="H415" s="217">
        <v>19725795.78</v>
      </c>
      <c r="I415" s="217">
        <v>467264.82</v>
      </c>
      <c r="J415" s="217">
        <v>0</v>
      </c>
      <c r="K415" s="217">
        <v>21187583.8</v>
      </c>
      <c r="L415" s="217">
        <f>J415+I415+K415</f>
        <v>21654848.62</v>
      </c>
      <c r="M415" s="217">
        <v>0</v>
      </c>
      <c r="N415" s="217">
        <v>53488510.64</v>
      </c>
      <c r="O415" s="217">
        <v>23150412.360000003</v>
      </c>
      <c r="P415" s="217">
        <f>M415+N415+O415</f>
        <v>76638923</v>
      </c>
      <c r="Q415" s="216">
        <v>7211025.92</v>
      </c>
      <c r="R415" s="216">
        <v>-1677685.24</v>
      </c>
      <c r="S415" s="216">
        <v>88774.49</v>
      </c>
      <c r="T415" s="216">
        <v>132291681.93</v>
      </c>
      <c r="U415" s="216">
        <f>Q415+R415+S415+T415</f>
        <v>137913797.1</v>
      </c>
      <c r="V415" s="216">
        <f>G415+H415+L415+P415+U415</f>
        <v>276732869.03999996</v>
      </c>
      <c r="W415" s="171">
        <v>0</v>
      </c>
      <c r="X415" s="171">
        <f>V415+W415</f>
        <v>276732869.03999996</v>
      </c>
      <c r="Y415" s="172">
        <v>1289542.87</v>
      </c>
      <c r="Z415" s="171">
        <f>X415+Y415</f>
        <v>278022411.90999997</v>
      </c>
    </row>
    <row r="416" spans="1:27" ht="15.75" collapsed="1">
      <c r="A416" s="213" t="s">
        <v>2502</v>
      </c>
      <c r="B416" s="209"/>
      <c r="C416" s="215" t="s">
        <v>2503</v>
      </c>
      <c r="D416" s="72"/>
      <c r="E416" s="151">
        <v>138639.72</v>
      </c>
      <c r="F416" s="151">
        <v>20660864.82</v>
      </c>
      <c r="G416" s="103">
        <f>E416+F416</f>
        <v>20799504.54</v>
      </c>
      <c r="H416" s="103">
        <v>19725795.78</v>
      </c>
      <c r="I416" s="103">
        <v>467264.82</v>
      </c>
      <c r="J416" s="103">
        <v>0</v>
      </c>
      <c r="K416" s="103">
        <v>21187583.8</v>
      </c>
      <c r="L416" s="103">
        <f>J416+I416+K416</f>
        <v>21654848.62</v>
      </c>
      <c r="M416" s="103">
        <v>0</v>
      </c>
      <c r="N416" s="103">
        <v>53488510.64</v>
      </c>
      <c r="O416" s="103">
        <v>23150412.360000003</v>
      </c>
      <c r="P416" s="103">
        <f>M416+N416+O416</f>
        <v>76638923</v>
      </c>
      <c r="Q416" s="103">
        <v>7211025.92</v>
      </c>
      <c r="R416" s="103">
        <v>-1677685.24</v>
      </c>
      <c r="S416" s="103">
        <v>88774.49</v>
      </c>
      <c r="T416" s="103">
        <v>132291681.93</v>
      </c>
      <c r="U416" s="103">
        <f>Q416+R416+S416+T416</f>
        <v>137913797.1</v>
      </c>
      <c r="V416" s="103">
        <f>G416+H416+L416+P416+U416</f>
        <v>276732869.03999996</v>
      </c>
      <c r="W416" s="151">
        <v>0</v>
      </c>
      <c r="X416" s="151">
        <f>V416+W416</f>
        <v>276732869.03999996</v>
      </c>
      <c r="Y416" s="151">
        <v>1289542.87</v>
      </c>
      <c r="Z416" s="151">
        <f>X416+Y416</f>
        <v>278022411.90999997</v>
      </c>
      <c r="AA416" s="213"/>
    </row>
    <row r="417" spans="1:27" ht="15.75">
      <c r="A417" s="213"/>
      <c r="B417" s="209"/>
      <c r="C417" s="215"/>
      <c r="D417" s="72"/>
      <c r="E417" s="151"/>
      <c r="F417" s="151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51"/>
      <c r="X417" s="151"/>
      <c r="Y417" s="151"/>
      <c r="Z417" s="151"/>
      <c r="AA417" s="213"/>
    </row>
    <row r="418" spans="1:27" ht="15.75">
      <c r="A418" s="213"/>
      <c r="B418" s="209"/>
      <c r="C418" s="215" t="s">
        <v>3060</v>
      </c>
      <c r="D418" s="72"/>
      <c r="E418" s="151" t="e">
        <f>E413+#REF!</f>
        <v>#REF!</v>
      </c>
      <c r="F418" s="151" t="e">
        <f>F413+#REF!</f>
        <v>#REF!</v>
      </c>
      <c r="G418" s="221">
        <f aca="true" t="shared" si="78" ref="G418:V418">G413+G416</f>
        <v>24193606.040000025</v>
      </c>
      <c r="H418" s="221">
        <f t="shared" si="78"/>
        <v>28259562.25</v>
      </c>
      <c r="I418" s="221">
        <f t="shared" si="78"/>
        <v>484367.06</v>
      </c>
      <c r="J418" s="221">
        <f t="shared" si="78"/>
        <v>0</v>
      </c>
      <c r="K418" s="221">
        <f t="shared" si="78"/>
        <v>21595130.89</v>
      </c>
      <c r="L418" s="221">
        <f t="shared" si="78"/>
        <v>22079497.950000003</v>
      </c>
      <c r="M418" s="221">
        <f t="shared" si="78"/>
        <v>0</v>
      </c>
      <c r="N418" s="221">
        <f t="shared" si="78"/>
        <v>61870294.77</v>
      </c>
      <c r="O418" s="221">
        <f t="shared" si="78"/>
        <v>21689678.14</v>
      </c>
      <c r="P418" s="221">
        <f t="shared" si="78"/>
        <v>83559972.91</v>
      </c>
      <c r="Q418" s="221">
        <f t="shared" si="78"/>
        <v>3366250.1</v>
      </c>
      <c r="R418" s="221">
        <f t="shared" si="78"/>
        <v>2846886.750000002</v>
      </c>
      <c r="S418" s="221">
        <f t="shared" si="78"/>
        <v>78012.42000000029</v>
      </c>
      <c r="T418" s="221">
        <f t="shared" si="78"/>
        <v>144928794.46</v>
      </c>
      <c r="U418" s="221">
        <f t="shared" si="78"/>
        <v>151219943.73</v>
      </c>
      <c r="V418" s="221">
        <f t="shared" si="78"/>
        <v>309312582.88</v>
      </c>
      <c r="W418" s="222" t="e">
        <f>W413+#REF!</f>
        <v>#REF!</v>
      </c>
      <c r="X418" s="222" t="e">
        <f>X413+#REF!</f>
        <v>#REF!</v>
      </c>
      <c r="Y418" s="222" t="e">
        <f>Y413+#REF!</f>
        <v>#REF!</v>
      </c>
      <c r="Z418" s="222" t="e">
        <f>Z413+#REF!</f>
        <v>#REF!</v>
      </c>
      <c r="AA418" s="213"/>
    </row>
    <row r="419" spans="5:25" ht="12.75">
      <c r="E419" s="594"/>
      <c r="F419" s="594"/>
      <c r="G419" s="171"/>
      <c r="U419" s="171"/>
      <c r="V419" s="171"/>
      <c r="Y419" s="171"/>
    </row>
    <row r="420" spans="5:25" ht="12.75">
      <c r="E420" s="594"/>
      <c r="F420" s="594"/>
      <c r="G420" s="171"/>
      <c r="U420" s="171"/>
      <c r="V420" s="171"/>
      <c r="Y420" s="171"/>
    </row>
    <row r="421" spans="5:25" ht="12.75">
      <c r="E421" s="594"/>
      <c r="F421" s="594"/>
      <c r="G421" s="171"/>
      <c r="I421" s="594"/>
      <c r="J421" s="594"/>
      <c r="K421" s="594"/>
      <c r="M421" s="594"/>
      <c r="N421" s="594"/>
      <c r="O421" s="594"/>
      <c r="Q421" s="594"/>
      <c r="R421" s="594"/>
      <c r="S421" s="594"/>
      <c r="T421" s="594"/>
      <c r="U421" s="171"/>
      <c r="V421" s="171"/>
      <c r="Y421" s="171"/>
    </row>
    <row r="422" spans="5:25" ht="12.75">
      <c r="E422" s="594"/>
      <c r="F422" s="594"/>
      <c r="G422" s="171"/>
      <c r="I422" s="594"/>
      <c r="J422" s="594"/>
      <c r="K422" s="594"/>
      <c r="M422" s="594"/>
      <c r="N422" s="594"/>
      <c r="O422" s="594"/>
      <c r="Q422" s="594"/>
      <c r="R422" s="594"/>
      <c r="S422" s="594"/>
      <c r="T422" s="594"/>
      <c r="U422" s="171"/>
      <c r="V422" s="171"/>
      <c r="Y422" s="171"/>
    </row>
    <row r="423" spans="5:25" ht="12.75">
      <c r="E423" s="594"/>
      <c r="F423" s="594"/>
      <c r="G423" s="171"/>
      <c r="I423" s="594"/>
      <c r="J423" s="594"/>
      <c r="K423" s="594"/>
      <c r="M423" s="594"/>
      <c r="N423" s="594"/>
      <c r="O423" s="594"/>
      <c r="Q423" s="594"/>
      <c r="R423" s="594"/>
      <c r="S423" s="594"/>
      <c r="T423" s="594"/>
      <c r="U423" s="171"/>
      <c r="V423" s="171"/>
      <c r="Y423" s="171"/>
    </row>
    <row r="424" spans="5:25" ht="12.75">
      <c r="E424" s="594"/>
      <c r="F424" s="594"/>
      <c r="G424" s="171"/>
      <c r="I424" s="594"/>
      <c r="J424" s="594"/>
      <c r="K424" s="594"/>
      <c r="M424" s="594"/>
      <c r="N424" s="594"/>
      <c r="O424" s="594"/>
      <c r="Q424" s="594"/>
      <c r="R424" s="594"/>
      <c r="S424" s="594"/>
      <c r="T424" s="594"/>
      <c r="U424" s="171"/>
      <c r="V424" s="171"/>
      <c r="Y424" s="171"/>
    </row>
    <row r="425" spans="5:25" ht="12.75">
      <c r="E425" s="594"/>
      <c r="F425" s="594"/>
      <c r="G425" s="171"/>
      <c r="I425" s="594"/>
      <c r="J425" s="594"/>
      <c r="K425" s="594"/>
      <c r="M425" s="594"/>
      <c r="N425" s="594"/>
      <c r="O425" s="594"/>
      <c r="Q425" s="594"/>
      <c r="R425" s="594"/>
      <c r="S425" s="594"/>
      <c r="T425" s="594"/>
      <c r="U425" s="171"/>
      <c r="V425" s="171"/>
      <c r="Y425" s="171"/>
    </row>
    <row r="426" spans="5:25" ht="12.75">
      <c r="E426" s="594"/>
      <c r="F426" s="594"/>
      <c r="G426" s="171"/>
      <c r="I426" s="594"/>
      <c r="J426" s="594"/>
      <c r="K426" s="594"/>
      <c r="M426" s="594"/>
      <c r="N426" s="594"/>
      <c r="O426" s="594"/>
      <c r="Q426" s="594"/>
      <c r="R426" s="594"/>
      <c r="S426" s="594"/>
      <c r="T426" s="594"/>
      <c r="U426" s="171"/>
      <c r="V426" s="171"/>
      <c r="Y426" s="171"/>
    </row>
    <row r="427" spans="5:25" ht="12.75">
      <c r="E427" s="594"/>
      <c r="F427" s="594"/>
      <c r="G427" s="171"/>
      <c r="I427" s="594"/>
      <c r="J427" s="594"/>
      <c r="K427" s="594"/>
      <c r="M427" s="594"/>
      <c r="N427" s="594"/>
      <c r="O427" s="594"/>
      <c r="Q427" s="594"/>
      <c r="R427" s="594"/>
      <c r="S427" s="594"/>
      <c r="T427" s="594"/>
      <c r="U427" s="171"/>
      <c r="V427" s="171"/>
      <c r="Y427" s="171"/>
    </row>
    <row r="428" spans="5:25" ht="12.75">
      <c r="E428" s="594"/>
      <c r="F428" s="594"/>
      <c r="G428" s="171"/>
      <c r="I428" s="594"/>
      <c r="J428" s="594"/>
      <c r="K428" s="594"/>
      <c r="M428" s="594"/>
      <c r="N428" s="594"/>
      <c r="O428" s="594"/>
      <c r="Q428" s="594"/>
      <c r="R428" s="594"/>
      <c r="S428" s="594"/>
      <c r="T428" s="594"/>
      <c r="U428" s="171"/>
      <c r="V428" s="171"/>
      <c r="Y428" s="171"/>
    </row>
    <row r="429" spans="5:25" ht="12.75">
      <c r="E429" s="594"/>
      <c r="F429" s="594"/>
      <c r="G429" s="171"/>
      <c r="I429" s="594"/>
      <c r="J429" s="594"/>
      <c r="K429" s="594"/>
      <c r="M429" s="594"/>
      <c r="N429" s="594"/>
      <c r="O429" s="594"/>
      <c r="Q429" s="594"/>
      <c r="R429" s="594"/>
      <c r="S429" s="594"/>
      <c r="T429" s="594"/>
      <c r="U429" s="171"/>
      <c r="V429" s="171"/>
      <c r="Y429" s="171"/>
    </row>
    <row r="430" spans="5:25" ht="12.75">
      <c r="E430" s="594"/>
      <c r="F430" s="594"/>
      <c r="G430" s="171"/>
      <c r="I430" s="594"/>
      <c r="J430" s="594"/>
      <c r="K430" s="594"/>
      <c r="M430" s="594"/>
      <c r="N430" s="594"/>
      <c r="O430" s="594"/>
      <c r="Q430" s="594"/>
      <c r="R430" s="594"/>
      <c r="S430" s="594"/>
      <c r="T430" s="594"/>
      <c r="U430" s="171"/>
      <c r="V430" s="171"/>
      <c r="Y430" s="171"/>
    </row>
    <row r="431" spans="5:25" ht="12.75">
      <c r="E431" s="594"/>
      <c r="F431" s="594"/>
      <c r="G431" s="171"/>
      <c r="I431" s="594"/>
      <c r="J431" s="594"/>
      <c r="K431" s="594"/>
      <c r="M431" s="594"/>
      <c r="N431" s="594"/>
      <c r="O431" s="594"/>
      <c r="Q431" s="594"/>
      <c r="R431" s="594"/>
      <c r="S431" s="594"/>
      <c r="T431" s="594"/>
      <c r="U431" s="171"/>
      <c r="V431" s="171"/>
      <c r="Y431" s="171"/>
    </row>
    <row r="432" spans="5:25" ht="12.75">
      <c r="E432" s="594"/>
      <c r="F432" s="594"/>
      <c r="G432" s="171"/>
      <c r="I432" s="594"/>
      <c r="J432" s="594"/>
      <c r="K432" s="594"/>
      <c r="M432" s="594"/>
      <c r="N432" s="594"/>
      <c r="O432" s="594"/>
      <c r="Q432" s="594"/>
      <c r="R432" s="594"/>
      <c r="S432" s="594"/>
      <c r="T432" s="594"/>
      <c r="U432" s="171"/>
      <c r="V432" s="171"/>
      <c r="Y432" s="171"/>
    </row>
    <row r="433" spans="5:25" ht="12.75">
      <c r="E433" s="594"/>
      <c r="F433" s="594"/>
      <c r="G433" s="171"/>
      <c r="I433" s="594"/>
      <c r="J433" s="594"/>
      <c r="K433" s="594"/>
      <c r="M433" s="594"/>
      <c r="N433" s="594"/>
      <c r="O433" s="594"/>
      <c r="Q433" s="594"/>
      <c r="R433" s="594"/>
      <c r="S433" s="594"/>
      <c r="T433" s="594"/>
      <c r="U433" s="171"/>
      <c r="V433" s="171"/>
      <c r="Y433" s="171"/>
    </row>
    <row r="434" spans="5:25" ht="12.75">
      <c r="E434" s="594"/>
      <c r="F434" s="594"/>
      <c r="G434" s="171"/>
      <c r="I434" s="594"/>
      <c r="J434" s="594"/>
      <c r="K434" s="594"/>
      <c r="M434" s="594"/>
      <c r="N434" s="594"/>
      <c r="O434" s="594"/>
      <c r="Q434" s="594"/>
      <c r="R434" s="594"/>
      <c r="S434" s="594"/>
      <c r="T434" s="594"/>
      <c r="U434" s="171"/>
      <c r="V434" s="171"/>
      <c r="Y434" s="171"/>
    </row>
    <row r="435" spans="5:25" ht="12.75">
      <c r="E435" s="594"/>
      <c r="F435" s="594"/>
      <c r="G435" s="171"/>
      <c r="I435" s="594"/>
      <c r="J435" s="594"/>
      <c r="K435" s="594"/>
      <c r="M435" s="594"/>
      <c r="N435" s="594"/>
      <c r="O435" s="594"/>
      <c r="Q435" s="594"/>
      <c r="R435" s="594"/>
      <c r="S435" s="594"/>
      <c r="T435" s="594"/>
      <c r="U435" s="171"/>
      <c r="V435" s="171"/>
      <c r="Y435" s="171"/>
    </row>
    <row r="436" spans="5:25" ht="12.75">
      <c r="E436" s="594"/>
      <c r="F436" s="594"/>
      <c r="G436" s="171"/>
      <c r="I436" s="594"/>
      <c r="J436" s="594"/>
      <c r="K436" s="594"/>
      <c r="M436" s="594"/>
      <c r="N436" s="594"/>
      <c r="O436" s="594"/>
      <c r="Q436" s="594"/>
      <c r="R436" s="594"/>
      <c r="S436" s="594"/>
      <c r="T436" s="594"/>
      <c r="U436" s="171"/>
      <c r="V436" s="171"/>
      <c r="Y436" s="171"/>
    </row>
    <row r="437" spans="5:25" ht="12.75">
      <c r="E437" s="594"/>
      <c r="F437" s="594"/>
      <c r="G437" s="171"/>
      <c r="I437" s="594"/>
      <c r="J437" s="594"/>
      <c r="K437" s="594"/>
      <c r="M437" s="594"/>
      <c r="N437" s="594"/>
      <c r="O437" s="594"/>
      <c r="Q437" s="594"/>
      <c r="R437" s="594"/>
      <c r="S437" s="594"/>
      <c r="T437" s="594"/>
      <c r="U437" s="171"/>
      <c r="V437" s="171"/>
      <c r="Y437" s="171"/>
    </row>
    <row r="438" spans="5:25" ht="12.75">
      <c r="E438" s="594"/>
      <c r="F438" s="594"/>
      <c r="G438" s="171"/>
      <c r="I438" s="594"/>
      <c r="J438" s="594"/>
      <c r="K438" s="594"/>
      <c r="M438" s="594"/>
      <c r="N438" s="594"/>
      <c r="O438" s="594"/>
      <c r="Q438" s="594"/>
      <c r="R438" s="594"/>
      <c r="S438" s="594"/>
      <c r="T438" s="594"/>
      <c r="U438" s="171"/>
      <c r="V438" s="171"/>
      <c r="Y438" s="171"/>
    </row>
    <row r="439" spans="5:25" ht="12.75">
      <c r="E439" s="594"/>
      <c r="F439" s="594"/>
      <c r="G439" s="171"/>
      <c r="I439" s="594"/>
      <c r="J439" s="594"/>
      <c r="K439" s="594"/>
      <c r="M439" s="594"/>
      <c r="N439" s="594"/>
      <c r="O439" s="594"/>
      <c r="Q439" s="594"/>
      <c r="R439" s="594"/>
      <c r="S439" s="594"/>
      <c r="T439" s="594"/>
      <c r="U439" s="171"/>
      <c r="V439" s="171"/>
      <c r="Y439" s="171"/>
    </row>
    <row r="440" spans="5:25" ht="12.75">
      <c r="E440" s="594"/>
      <c r="F440" s="594"/>
      <c r="G440" s="171"/>
      <c r="I440" s="594"/>
      <c r="J440" s="594"/>
      <c r="K440" s="594"/>
      <c r="M440" s="594"/>
      <c r="N440" s="594"/>
      <c r="O440" s="594"/>
      <c r="Q440" s="594"/>
      <c r="R440" s="594"/>
      <c r="S440" s="594"/>
      <c r="T440" s="594"/>
      <c r="U440" s="171"/>
      <c r="V440" s="171"/>
      <c r="Y440" s="171"/>
    </row>
    <row r="441" spans="5:25" ht="12.75">
      <c r="E441" s="594"/>
      <c r="F441" s="594"/>
      <c r="G441" s="171"/>
      <c r="I441" s="594"/>
      <c r="J441" s="594"/>
      <c r="K441" s="594"/>
      <c r="M441" s="594"/>
      <c r="N441" s="594"/>
      <c r="O441" s="594"/>
      <c r="Q441" s="594"/>
      <c r="R441" s="594"/>
      <c r="S441" s="594"/>
      <c r="T441" s="594"/>
      <c r="U441" s="171"/>
      <c r="V441" s="171"/>
      <c r="Y441" s="171"/>
    </row>
    <row r="442" spans="5:25" ht="12.75">
      <c r="E442" s="594"/>
      <c r="F442" s="594"/>
      <c r="G442" s="171"/>
      <c r="I442" s="594"/>
      <c r="J442" s="594"/>
      <c r="K442" s="594"/>
      <c r="M442" s="594"/>
      <c r="N442" s="594"/>
      <c r="O442" s="594"/>
      <c r="Q442" s="594"/>
      <c r="R442" s="594"/>
      <c r="S442" s="594"/>
      <c r="T442" s="594"/>
      <c r="U442" s="171"/>
      <c r="V442" s="171"/>
      <c r="Y442" s="171"/>
    </row>
    <row r="443" spans="5:25" ht="12.75">
      <c r="E443" s="594"/>
      <c r="F443" s="594"/>
      <c r="G443" s="171"/>
      <c r="I443" s="594"/>
      <c r="J443" s="594"/>
      <c r="K443" s="594"/>
      <c r="M443" s="594"/>
      <c r="N443" s="594"/>
      <c r="O443" s="594"/>
      <c r="Q443" s="594"/>
      <c r="R443" s="594"/>
      <c r="S443" s="594"/>
      <c r="T443" s="594"/>
      <c r="U443" s="171"/>
      <c r="V443" s="171"/>
      <c r="Y443" s="171"/>
    </row>
    <row r="444" spans="5:25" ht="12.75">
      <c r="E444" s="594"/>
      <c r="F444" s="594"/>
      <c r="G444" s="171"/>
      <c r="I444" s="594"/>
      <c r="J444" s="594"/>
      <c r="K444" s="594"/>
      <c r="M444" s="594"/>
      <c r="N444" s="594"/>
      <c r="O444" s="594"/>
      <c r="Q444" s="594"/>
      <c r="R444" s="594"/>
      <c r="S444" s="594"/>
      <c r="T444" s="594"/>
      <c r="U444" s="171"/>
      <c r="V444" s="171"/>
      <c r="Y444" s="171"/>
    </row>
    <row r="445" spans="5:25" ht="12.75">
      <c r="E445" s="594"/>
      <c r="F445" s="594"/>
      <c r="G445" s="171"/>
      <c r="I445" s="594"/>
      <c r="J445" s="594"/>
      <c r="K445" s="594"/>
      <c r="M445" s="594"/>
      <c r="N445" s="594"/>
      <c r="O445" s="594"/>
      <c r="Q445" s="594"/>
      <c r="R445" s="594"/>
      <c r="S445" s="594"/>
      <c r="T445" s="594"/>
      <c r="U445" s="171"/>
      <c r="V445" s="171"/>
      <c r="Y445" s="171"/>
    </row>
    <row r="446" spans="5:25" ht="12.75">
      <c r="E446" s="594"/>
      <c r="F446" s="594"/>
      <c r="G446" s="171"/>
      <c r="I446" s="594"/>
      <c r="J446" s="594"/>
      <c r="K446" s="594"/>
      <c r="M446" s="594"/>
      <c r="N446" s="594"/>
      <c r="O446" s="594"/>
      <c r="Q446" s="594"/>
      <c r="R446" s="594"/>
      <c r="S446" s="594"/>
      <c r="T446" s="594"/>
      <c r="U446" s="171"/>
      <c r="V446" s="171"/>
      <c r="Y446" s="171"/>
    </row>
    <row r="447" spans="5:25" ht="12.75">
      <c r="E447" s="594"/>
      <c r="F447" s="594"/>
      <c r="G447" s="171"/>
      <c r="I447" s="594"/>
      <c r="J447" s="594"/>
      <c r="K447" s="594"/>
      <c r="M447" s="594"/>
      <c r="N447" s="594"/>
      <c r="O447" s="594"/>
      <c r="Q447" s="594"/>
      <c r="R447" s="594"/>
      <c r="S447" s="594"/>
      <c r="T447" s="594"/>
      <c r="U447" s="171"/>
      <c r="V447" s="171"/>
      <c r="Y447" s="171"/>
    </row>
    <row r="448" spans="5:25" ht="12.75">
      <c r="E448" s="594"/>
      <c r="F448" s="594"/>
      <c r="G448" s="171"/>
      <c r="I448" s="594"/>
      <c r="J448" s="594"/>
      <c r="K448" s="594"/>
      <c r="M448" s="594"/>
      <c r="N448" s="594"/>
      <c r="O448" s="594"/>
      <c r="Q448" s="594"/>
      <c r="R448" s="594"/>
      <c r="S448" s="594"/>
      <c r="T448" s="594"/>
      <c r="U448" s="171"/>
      <c r="V448" s="171"/>
      <c r="Y448" s="171"/>
    </row>
    <row r="449" spans="5:25" ht="12.75">
      <c r="E449" s="594"/>
      <c r="F449" s="594"/>
      <c r="G449" s="171"/>
      <c r="I449" s="594"/>
      <c r="J449" s="594"/>
      <c r="K449" s="594"/>
      <c r="M449" s="594"/>
      <c r="N449" s="594"/>
      <c r="O449" s="594"/>
      <c r="Q449" s="594"/>
      <c r="R449" s="594"/>
      <c r="S449" s="594"/>
      <c r="T449" s="594"/>
      <c r="U449" s="171"/>
      <c r="V449" s="171"/>
      <c r="Y449" s="171"/>
    </row>
    <row r="450" spans="5:25" ht="12.75">
      <c r="E450" s="594"/>
      <c r="F450" s="594"/>
      <c r="G450" s="171"/>
      <c r="I450" s="594"/>
      <c r="J450" s="594"/>
      <c r="K450" s="594"/>
      <c r="M450" s="594"/>
      <c r="N450" s="594"/>
      <c r="O450" s="594"/>
      <c r="Q450" s="594"/>
      <c r="R450" s="594"/>
      <c r="S450" s="594"/>
      <c r="T450" s="594"/>
      <c r="U450" s="171"/>
      <c r="V450" s="171"/>
      <c r="Y450" s="171"/>
    </row>
    <row r="451" spans="5:25" ht="12.75">
      <c r="E451" s="594"/>
      <c r="F451" s="594"/>
      <c r="G451" s="171"/>
      <c r="I451" s="594"/>
      <c r="J451" s="594"/>
      <c r="K451" s="594"/>
      <c r="M451" s="594"/>
      <c r="N451" s="594"/>
      <c r="O451" s="594"/>
      <c r="Q451" s="594"/>
      <c r="R451" s="594"/>
      <c r="S451" s="594"/>
      <c r="T451" s="594"/>
      <c r="U451" s="171"/>
      <c r="V451" s="171"/>
      <c r="Y451" s="171"/>
    </row>
    <row r="452" spans="5:25" ht="12.75">
      <c r="E452" s="594"/>
      <c r="F452" s="594"/>
      <c r="G452" s="171"/>
      <c r="I452" s="594"/>
      <c r="J452" s="594"/>
      <c r="K452" s="594"/>
      <c r="M452" s="594"/>
      <c r="N452" s="594"/>
      <c r="O452" s="594"/>
      <c r="Q452" s="594"/>
      <c r="R452" s="594"/>
      <c r="S452" s="594"/>
      <c r="T452" s="594"/>
      <c r="U452" s="171"/>
      <c r="V452" s="171"/>
      <c r="Y452" s="171"/>
    </row>
    <row r="453" spans="5:25" ht="12.75">
      <c r="E453" s="594"/>
      <c r="F453" s="594"/>
      <c r="G453" s="171"/>
      <c r="I453" s="594"/>
      <c r="J453" s="594"/>
      <c r="K453" s="594"/>
      <c r="M453" s="594"/>
      <c r="N453" s="594"/>
      <c r="O453" s="594"/>
      <c r="Q453" s="594"/>
      <c r="R453" s="594"/>
      <c r="S453" s="594"/>
      <c r="T453" s="594"/>
      <c r="U453" s="171"/>
      <c r="V453" s="171"/>
      <c r="Y453" s="171"/>
    </row>
    <row r="454" spans="5:25" ht="12.75">
      <c r="E454" s="594"/>
      <c r="F454" s="594"/>
      <c r="G454" s="171"/>
      <c r="I454" s="594"/>
      <c r="J454" s="594"/>
      <c r="K454" s="594"/>
      <c r="M454" s="594"/>
      <c r="N454" s="594"/>
      <c r="O454" s="594"/>
      <c r="Q454" s="594"/>
      <c r="R454" s="594"/>
      <c r="S454" s="594"/>
      <c r="T454" s="594"/>
      <c r="U454" s="171"/>
      <c r="V454" s="171"/>
      <c r="Y454" s="171"/>
    </row>
    <row r="455" spans="5:25" ht="12.75">
      <c r="E455" s="594"/>
      <c r="F455" s="594"/>
      <c r="G455" s="171"/>
      <c r="I455" s="594"/>
      <c r="J455" s="594"/>
      <c r="K455" s="594"/>
      <c r="M455" s="594"/>
      <c r="N455" s="594"/>
      <c r="O455" s="594"/>
      <c r="Q455" s="594"/>
      <c r="R455" s="594"/>
      <c r="S455" s="594"/>
      <c r="T455" s="594"/>
      <c r="U455" s="171"/>
      <c r="V455" s="171"/>
      <c r="Y455" s="171"/>
    </row>
    <row r="456" spans="5:25" ht="12.75">
      <c r="E456" s="594"/>
      <c r="F456" s="594"/>
      <c r="G456" s="171"/>
      <c r="I456" s="594"/>
      <c r="J456" s="594"/>
      <c r="K456" s="594"/>
      <c r="M456" s="594"/>
      <c r="N456" s="594"/>
      <c r="O456" s="594"/>
      <c r="Q456" s="594"/>
      <c r="R456" s="594"/>
      <c r="S456" s="594"/>
      <c r="T456" s="594"/>
      <c r="U456" s="171"/>
      <c r="V456" s="171"/>
      <c r="Y456" s="171"/>
    </row>
    <row r="457" spans="5:25" ht="12.75">
      <c r="E457" s="594"/>
      <c r="F457" s="594"/>
      <c r="G457" s="171"/>
      <c r="I457" s="594"/>
      <c r="J457" s="594"/>
      <c r="K457" s="594"/>
      <c r="M457" s="594"/>
      <c r="N457" s="594"/>
      <c r="O457" s="594"/>
      <c r="Q457" s="594"/>
      <c r="R457" s="594"/>
      <c r="S457" s="594"/>
      <c r="T457" s="594"/>
      <c r="U457" s="171"/>
      <c r="V457" s="171"/>
      <c r="Y457" s="171"/>
    </row>
    <row r="458" spans="5:25" ht="12.75">
      <c r="E458" s="594"/>
      <c r="F458" s="594"/>
      <c r="G458" s="171"/>
      <c r="I458" s="594"/>
      <c r="J458" s="594"/>
      <c r="K458" s="594"/>
      <c r="M458" s="594"/>
      <c r="N458" s="594"/>
      <c r="O458" s="594"/>
      <c r="Q458" s="594"/>
      <c r="R458" s="594"/>
      <c r="S458" s="594"/>
      <c r="T458" s="594"/>
      <c r="U458" s="171"/>
      <c r="V458" s="171"/>
      <c r="Y458" s="171"/>
    </row>
    <row r="459" spans="5:25" ht="12.75">
      <c r="E459" s="594"/>
      <c r="F459" s="594"/>
      <c r="G459" s="171"/>
      <c r="I459" s="594"/>
      <c r="J459" s="594"/>
      <c r="K459" s="594"/>
      <c r="M459" s="594"/>
      <c r="N459" s="594"/>
      <c r="O459" s="594"/>
      <c r="Q459" s="594"/>
      <c r="R459" s="594"/>
      <c r="S459" s="594"/>
      <c r="T459" s="594"/>
      <c r="U459" s="171"/>
      <c r="V459" s="171"/>
      <c r="Y459" s="171"/>
    </row>
    <row r="460" spans="5:25" ht="12.75">
      <c r="E460" s="594"/>
      <c r="F460" s="594"/>
      <c r="G460" s="171"/>
      <c r="I460" s="594"/>
      <c r="J460" s="594"/>
      <c r="K460" s="594"/>
      <c r="M460" s="594"/>
      <c r="N460" s="594"/>
      <c r="O460" s="594"/>
      <c r="Q460" s="594"/>
      <c r="R460" s="594"/>
      <c r="S460" s="594"/>
      <c r="T460" s="594"/>
      <c r="U460" s="171"/>
      <c r="V460" s="171"/>
      <c r="Y460" s="171"/>
    </row>
    <row r="461" spans="5:25" ht="12.75">
      <c r="E461" s="594"/>
      <c r="F461" s="594"/>
      <c r="G461" s="171"/>
      <c r="I461" s="594"/>
      <c r="J461" s="594"/>
      <c r="K461" s="594"/>
      <c r="M461" s="594"/>
      <c r="N461" s="594"/>
      <c r="O461" s="594"/>
      <c r="Q461" s="594"/>
      <c r="R461" s="594"/>
      <c r="S461" s="594"/>
      <c r="T461" s="594"/>
      <c r="U461" s="171"/>
      <c r="V461" s="171"/>
      <c r="Y461" s="171"/>
    </row>
    <row r="462" spans="5:25" ht="12.75">
      <c r="E462" s="594"/>
      <c r="F462" s="594"/>
      <c r="G462" s="171"/>
      <c r="I462" s="594"/>
      <c r="J462" s="594"/>
      <c r="K462" s="594"/>
      <c r="M462" s="594"/>
      <c r="N462" s="594"/>
      <c r="O462" s="594"/>
      <c r="Q462" s="594"/>
      <c r="R462" s="594"/>
      <c r="S462" s="594"/>
      <c r="T462" s="594"/>
      <c r="U462" s="171"/>
      <c r="V462" s="171"/>
      <c r="Y462" s="171"/>
    </row>
    <row r="463" spans="5:25" ht="12.75">
      <c r="E463" s="594"/>
      <c r="F463" s="594"/>
      <c r="G463" s="171"/>
      <c r="I463" s="594"/>
      <c r="J463" s="594"/>
      <c r="K463" s="594"/>
      <c r="M463" s="594"/>
      <c r="N463" s="594"/>
      <c r="O463" s="594"/>
      <c r="Q463" s="594"/>
      <c r="R463" s="594"/>
      <c r="S463" s="594"/>
      <c r="T463" s="594"/>
      <c r="U463" s="171"/>
      <c r="V463" s="171"/>
      <c r="Y463" s="171"/>
    </row>
    <row r="464" spans="5:25" ht="12.75">
      <c r="E464" s="594"/>
      <c r="F464" s="594"/>
      <c r="G464" s="171"/>
      <c r="I464" s="594"/>
      <c r="J464" s="594"/>
      <c r="K464" s="594"/>
      <c r="M464" s="594"/>
      <c r="N464" s="594"/>
      <c r="O464" s="594"/>
      <c r="Q464" s="594"/>
      <c r="R464" s="594"/>
      <c r="S464" s="594"/>
      <c r="T464" s="594"/>
      <c r="U464" s="171"/>
      <c r="V464" s="171"/>
      <c r="Y464" s="171"/>
    </row>
    <row r="465" spans="5:25" ht="12.75">
      <c r="E465" s="594"/>
      <c r="F465" s="594"/>
      <c r="G465" s="171"/>
      <c r="I465" s="594"/>
      <c r="J465" s="594"/>
      <c r="K465" s="594"/>
      <c r="M465" s="594"/>
      <c r="N465" s="594"/>
      <c r="O465" s="594"/>
      <c r="Q465" s="594"/>
      <c r="R465" s="594"/>
      <c r="S465" s="594"/>
      <c r="T465" s="594"/>
      <c r="U465" s="171"/>
      <c r="V465" s="171"/>
      <c r="Y465" s="171"/>
    </row>
    <row r="466" spans="5:25" ht="12.75">
      <c r="E466" s="594"/>
      <c r="F466" s="594"/>
      <c r="G466" s="171"/>
      <c r="I466" s="594"/>
      <c r="J466" s="594"/>
      <c r="K466" s="594"/>
      <c r="M466" s="594"/>
      <c r="N466" s="594"/>
      <c r="O466" s="594"/>
      <c r="Q466" s="594"/>
      <c r="R466" s="594"/>
      <c r="S466" s="594"/>
      <c r="T466" s="594"/>
      <c r="U466" s="171"/>
      <c r="V466" s="171"/>
      <c r="Y466" s="171"/>
    </row>
    <row r="467" spans="5:25" ht="12.75">
      <c r="E467" s="594"/>
      <c r="F467" s="594"/>
      <c r="G467" s="171"/>
      <c r="I467" s="594"/>
      <c r="J467" s="594"/>
      <c r="K467" s="594"/>
      <c r="M467" s="594"/>
      <c r="N467" s="594"/>
      <c r="O467" s="594"/>
      <c r="Q467" s="594"/>
      <c r="R467" s="594"/>
      <c r="S467" s="594"/>
      <c r="T467" s="594"/>
      <c r="U467" s="171"/>
      <c r="V467" s="171"/>
      <c r="Y467" s="171"/>
    </row>
    <row r="468" spans="5:25" ht="12.75">
      <c r="E468" s="594"/>
      <c r="F468" s="594"/>
      <c r="G468" s="171"/>
      <c r="I468" s="594"/>
      <c r="J468" s="594"/>
      <c r="K468" s="594"/>
      <c r="M468" s="594"/>
      <c r="N468" s="594"/>
      <c r="O468" s="594"/>
      <c r="Q468" s="594"/>
      <c r="R468" s="594"/>
      <c r="S468" s="594"/>
      <c r="T468" s="594"/>
      <c r="U468" s="171"/>
      <c r="V468" s="171"/>
      <c r="Y468" s="171"/>
    </row>
    <row r="469" spans="5:25" ht="12.75">
      <c r="E469" s="594"/>
      <c r="F469" s="594"/>
      <c r="G469" s="171"/>
      <c r="I469" s="594"/>
      <c r="J469" s="594"/>
      <c r="K469" s="594"/>
      <c r="M469" s="594"/>
      <c r="N469" s="594"/>
      <c r="O469" s="594"/>
      <c r="Q469" s="594"/>
      <c r="R469" s="594"/>
      <c r="S469" s="594"/>
      <c r="T469" s="594"/>
      <c r="U469" s="171"/>
      <c r="V469" s="171"/>
      <c r="Y469" s="171"/>
    </row>
    <row r="470" spans="5:25" ht="12.75">
      <c r="E470" s="594"/>
      <c r="F470" s="594"/>
      <c r="G470" s="171"/>
      <c r="I470" s="594"/>
      <c r="J470" s="594"/>
      <c r="K470" s="594"/>
      <c r="M470" s="594"/>
      <c r="N470" s="594"/>
      <c r="O470" s="594"/>
      <c r="Q470" s="594"/>
      <c r="R470" s="594"/>
      <c r="S470" s="594"/>
      <c r="T470" s="594"/>
      <c r="U470" s="171"/>
      <c r="V470" s="171"/>
      <c r="Y470" s="171"/>
    </row>
    <row r="471" spans="5:25" ht="12.75">
      <c r="E471" s="594"/>
      <c r="F471" s="594"/>
      <c r="G471" s="171"/>
      <c r="I471" s="594"/>
      <c r="J471" s="594"/>
      <c r="K471" s="594"/>
      <c r="M471" s="594"/>
      <c r="N471" s="594"/>
      <c r="O471" s="594"/>
      <c r="Q471" s="594"/>
      <c r="R471" s="594"/>
      <c r="S471" s="594"/>
      <c r="T471" s="594"/>
      <c r="U471" s="171"/>
      <c r="V471" s="171"/>
      <c r="Y471" s="171"/>
    </row>
    <row r="472" spans="5:25" ht="12.75">
      <c r="E472" s="594"/>
      <c r="F472" s="594"/>
      <c r="G472" s="171"/>
      <c r="I472" s="594"/>
      <c r="J472" s="594"/>
      <c r="K472" s="594"/>
      <c r="M472" s="594"/>
      <c r="N472" s="594"/>
      <c r="O472" s="594"/>
      <c r="Q472" s="594"/>
      <c r="R472" s="594"/>
      <c r="S472" s="594"/>
      <c r="T472" s="594"/>
      <c r="U472" s="171"/>
      <c r="V472" s="171"/>
      <c r="Y472" s="171"/>
    </row>
    <row r="473" spans="5:25" ht="12.75">
      <c r="E473" s="594"/>
      <c r="F473" s="594"/>
      <c r="G473" s="171"/>
      <c r="I473" s="594"/>
      <c r="J473" s="594"/>
      <c r="K473" s="594"/>
      <c r="M473" s="594"/>
      <c r="N473" s="594"/>
      <c r="O473" s="594"/>
      <c r="Q473" s="594"/>
      <c r="R473" s="594"/>
      <c r="S473" s="594"/>
      <c r="T473" s="594"/>
      <c r="U473" s="171"/>
      <c r="V473" s="171"/>
      <c r="Y473" s="171"/>
    </row>
    <row r="474" spans="5:25" ht="12.75">
      <c r="E474" s="594"/>
      <c r="F474" s="594"/>
      <c r="G474" s="171"/>
      <c r="I474" s="594"/>
      <c r="J474" s="594"/>
      <c r="K474" s="594"/>
      <c r="M474" s="594"/>
      <c r="N474" s="594"/>
      <c r="O474" s="594"/>
      <c r="Q474" s="594"/>
      <c r="R474" s="594"/>
      <c r="S474" s="594"/>
      <c r="T474" s="594"/>
      <c r="U474" s="171"/>
      <c r="V474" s="171"/>
      <c r="Y474" s="171"/>
    </row>
    <row r="475" spans="5:25" ht="12.75">
      <c r="E475" s="594"/>
      <c r="F475" s="594"/>
      <c r="G475" s="171"/>
      <c r="I475" s="594"/>
      <c r="J475" s="594"/>
      <c r="K475" s="594"/>
      <c r="M475" s="594"/>
      <c r="N475" s="594"/>
      <c r="O475" s="594"/>
      <c r="Q475" s="594"/>
      <c r="R475" s="594"/>
      <c r="S475" s="594"/>
      <c r="T475" s="594"/>
      <c r="U475" s="171"/>
      <c r="V475" s="171"/>
      <c r="Y475" s="171"/>
    </row>
    <row r="476" spans="5:25" ht="12.75">
      <c r="E476" s="594"/>
      <c r="F476" s="594"/>
      <c r="G476" s="171"/>
      <c r="I476" s="594"/>
      <c r="J476" s="594"/>
      <c r="K476" s="594"/>
      <c r="M476" s="594"/>
      <c r="N476" s="594"/>
      <c r="O476" s="594"/>
      <c r="Q476" s="594"/>
      <c r="R476" s="594"/>
      <c r="S476" s="594"/>
      <c r="T476" s="594"/>
      <c r="U476" s="171"/>
      <c r="V476" s="171"/>
      <c r="Y476" s="171"/>
    </row>
    <row r="477" spans="5:25" ht="12.75">
      <c r="E477" s="594"/>
      <c r="F477" s="594"/>
      <c r="G477" s="171"/>
      <c r="I477" s="594"/>
      <c r="J477" s="594"/>
      <c r="K477" s="594"/>
      <c r="M477" s="594"/>
      <c r="N477" s="594"/>
      <c r="O477" s="594"/>
      <c r="Q477" s="594"/>
      <c r="R477" s="594"/>
      <c r="S477" s="594"/>
      <c r="T477" s="594"/>
      <c r="U477" s="171"/>
      <c r="V477" s="171"/>
      <c r="Y477" s="171"/>
    </row>
    <row r="478" spans="5:25" ht="12.75">
      <c r="E478" s="594"/>
      <c r="F478" s="594"/>
      <c r="G478" s="171"/>
      <c r="I478" s="594"/>
      <c r="J478" s="594"/>
      <c r="K478" s="594"/>
      <c r="M478" s="594"/>
      <c r="N478" s="594"/>
      <c r="O478" s="594"/>
      <c r="Q478" s="594"/>
      <c r="R478" s="594"/>
      <c r="S478" s="594"/>
      <c r="T478" s="594"/>
      <c r="U478" s="171"/>
      <c r="V478" s="171"/>
      <c r="Y478" s="171"/>
    </row>
    <row r="479" spans="5:25" ht="12.75">
      <c r="E479" s="594"/>
      <c r="F479" s="594"/>
      <c r="G479" s="171"/>
      <c r="I479" s="594"/>
      <c r="J479" s="594"/>
      <c r="K479" s="594"/>
      <c r="M479" s="594"/>
      <c r="N479" s="594"/>
      <c r="O479" s="594"/>
      <c r="Q479" s="594"/>
      <c r="R479" s="594"/>
      <c r="S479" s="594"/>
      <c r="T479" s="594"/>
      <c r="U479" s="171"/>
      <c r="V479" s="171"/>
      <c r="Y479" s="171"/>
    </row>
    <row r="480" spans="5:25" ht="12.75">
      <c r="E480" s="594"/>
      <c r="F480" s="594"/>
      <c r="G480" s="171"/>
      <c r="I480" s="594"/>
      <c r="J480" s="594"/>
      <c r="K480" s="594"/>
      <c r="M480" s="594"/>
      <c r="N480" s="594"/>
      <c r="O480" s="594"/>
      <c r="Q480" s="594"/>
      <c r="R480" s="594"/>
      <c r="S480" s="594"/>
      <c r="T480" s="594"/>
      <c r="U480" s="171"/>
      <c r="V480" s="171"/>
      <c r="Y480" s="171"/>
    </row>
    <row r="481" spans="5:25" ht="12.75">
      <c r="E481" s="594"/>
      <c r="F481" s="594"/>
      <c r="G481" s="171"/>
      <c r="I481" s="594"/>
      <c r="J481" s="594"/>
      <c r="K481" s="594"/>
      <c r="M481" s="594"/>
      <c r="N481" s="594"/>
      <c r="O481" s="594"/>
      <c r="Q481" s="594"/>
      <c r="R481" s="594"/>
      <c r="S481" s="594"/>
      <c r="T481" s="594"/>
      <c r="U481" s="171"/>
      <c r="V481" s="171"/>
      <c r="Y481" s="171"/>
    </row>
    <row r="482" spans="5:25" ht="12.75">
      <c r="E482" s="594"/>
      <c r="F482" s="594"/>
      <c r="G482" s="171"/>
      <c r="I482" s="594"/>
      <c r="J482" s="594"/>
      <c r="K482" s="594"/>
      <c r="M482" s="594"/>
      <c r="N482" s="594"/>
      <c r="O482" s="594"/>
      <c r="Q482" s="594"/>
      <c r="R482" s="594"/>
      <c r="S482" s="594"/>
      <c r="T482" s="594"/>
      <c r="U482" s="171"/>
      <c r="V482" s="171"/>
      <c r="Y482" s="171"/>
    </row>
    <row r="483" spans="5:25" ht="12.75">
      <c r="E483" s="594"/>
      <c r="F483" s="594"/>
      <c r="G483" s="171"/>
      <c r="I483" s="594"/>
      <c r="J483" s="594"/>
      <c r="K483" s="594"/>
      <c r="M483" s="594"/>
      <c r="N483" s="594"/>
      <c r="O483" s="594"/>
      <c r="Q483" s="594"/>
      <c r="R483" s="594"/>
      <c r="S483" s="594"/>
      <c r="T483" s="594"/>
      <c r="U483" s="171"/>
      <c r="V483" s="171"/>
      <c r="Y483" s="171"/>
    </row>
    <row r="484" spans="5:25" ht="12.75">
      <c r="E484" s="594"/>
      <c r="F484" s="594"/>
      <c r="G484" s="171"/>
      <c r="I484" s="594"/>
      <c r="J484" s="594"/>
      <c r="K484" s="594"/>
      <c r="M484" s="594"/>
      <c r="N484" s="594"/>
      <c r="O484" s="594"/>
      <c r="Q484" s="594"/>
      <c r="R484" s="594"/>
      <c r="S484" s="594"/>
      <c r="T484" s="594"/>
      <c r="U484" s="171"/>
      <c r="V484" s="171"/>
      <c r="Y484" s="171"/>
    </row>
    <row r="485" spans="5:25" ht="12.75">
      <c r="E485" s="594"/>
      <c r="F485" s="594"/>
      <c r="G485" s="171"/>
      <c r="I485" s="594"/>
      <c r="J485" s="594"/>
      <c r="K485" s="594"/>
      <c r="M485" s="594"/>
      <c r="N485" s="594"/>
      <c r="O485" s="594"/>
      <c r="Q485" s="594"/>
      <c r="R485" s="594"/>
      <c r="S485" s="594"/>
      <c r="T485" s="594"/>
      <c r="U485" s="171"/>
      <c r="V485" s="171"/>
      <c r="Y485" s="171"/>
    </row>
    <row r="486" spans="5:25" ht="12.75">
      <c r="E486" s="594"/>
      <c r="F486" s="594"/>
      <c r="G486" s="171"/>
      <c r="I486" s="594"/>
      <c r="J486" s="594"/>
      <c r="K486" s="594"/>
      <c r="M486" s="594"/>
      <c r="N486" s="594"/>
      <c r="O486" s="594"/>
      <c r="Q486" s="594"/>
      <c r="R486" s="594"/>
      <c r="S486" s="594"/>
      <c r="T486" s="594"/>
      <c r="U486" s="171"/>
      <c r="V486" s="171"/>
      <c r="Y486" s="171"/>
    </row>
    <row r="487" spans="5:25" ht="12.75">
      <c r="E487" s="594"/>
      <c r="F487" s="594"/>
      <c r="G487" s="171"/>
      <c r="I487" s="594"/>
      <c r="J487" s="594"/>
      <c r="K487" s="594"/>
      <c r="M487" s="594"/>
      <c r="N487" s="594"/>
      <c r="O487" s="594"/>
      <c r="Q487" s="594"/>
      <c r="R487" s="594"/>
      <c r="S487" s="594"/>
      <c r="T487" s="594"/>
      <c r="U487" s="171"/>
      <c r="V487" s="171"/>
      <c r="Y487" s="171"/>
    </row>
    <row r="488" spans="5:25" ht="12.75">
      <c r="E488" s="594"/>
      <c r="F488" s="594"/>
      <c r="G488" s="171"/>
      <c r="I488" s="594"/>
      <c r="J488" s="594"/>
      <c r="K488" s="594"/>
      <c r="M488" s="594"/>
      <c r="N488" s="594"/>
      <c r="O488" s="594"/>
      <c r="Q488" s="594"/>
      <c r="R488" s="594"/>
      <c r="S488" s="594"/>
      <c r="T488" s="594"/>
      <c r="U488" s="171"/>
      <c r="V488" s="171"/>
      <c r="Y488" s="171"/>
    </row>
    <row r="489" spans="5:25" ht="12.75">
      <c r="E489" s="594"/>
      <c r="F489" s="594"/>
      <c r="G489" s="171"/>
      <c r="I489" s="594"/>
      <c r="J489" s="594"/>
      <c r="K489" s="594"/>
      <c r="M489" s="594"/>
      <c r="N489" s="594"/>
      <c r="O489" s="594"/>
      <c r="Q489" s="594"/>
      <c r="R489" s="594"/>
      <c r="S489" s="594"/>
      <c r="T489" s="594"/>
      <c r="U489" s="171"/>
      <c r="V489" s="171"/>
      <c r="Y489" s="171"/>
    </row>
    <row r="490" spans="5:25" ht="12.75">
      <c r="E490" s="594"/>
      <c r="F490" s="594"/>
      <c r="G490" s="171"/>
      <c r="I490" s="594"/>
      <c r="J490" s="594"/>
      <c r="K490" s="594"/>
      <c r="M490" s="594"/>
      <c r="N490" s="594"/>
      <c r="O490" s="594"/>
      <c r="Q490" s="594"/>
      <c r="R490" s="594"/>
      <c r="S490" s="594"/>
      <c r="T490" s="594"/>
      <c r="U490" s="171"/>
      <c r="V490" s="171"/>
      <c r="Y490" s="171"/>
    </row>
    <row r="491" spans="5:25" ht="12.75">
      <c r="E491" s="594"/>
      <c r="F491" s="594"/>
      <c r="G491" s="171"/>
      <c r="I491" s="594"/>
      <c r="J491" s="594"/>
      <c r="K491" s="594"/>
      <c r="M491" s="594"/>
      <c r="N491" s="594"/>
      <c r="O491" s="594"/>
      <c r="Q491" s="594"/>
      <c r="R491" s="594"/>
      <c r="S491" s="594"/>
      <c r="T491" s="594"/>
      <c r="U491" s="171"/>
      <c r="V491" s="171"/>
      <c r="Y491" s="171"/>
    </row>
    <row r="492" spans="5:25" ht="12.75">
      <c r="E492" s="594"/>
      <c r="F492" s="594"/>
      <c r="G492" s="171"/>
      <c r="I492" s="594"/>
      <c r="J492" s="594"/>
      <c r="K492" s="594"/>
      <c r="M492" s="594"/>
      <c r="N492" s="594"/>
      <c r="O492" s="594"/>
      <c r="Q492" s="594"/>
      <c r="R492" s="594"/>
      <c r="S492" s="594"/>
      <c r="T492" s="594"/>
      <c r="U492" s="171"/>
      <c r="V492" s="171"/>
      <c r="Y492" s="171"/>
    </row>
    <row r="493" spans="5:25" ht="12.75">
      <c r="E493" s="594"/>
      <c r="F493" s="594"/>
      <c r="G493" s="171"/>
      <c r="I493" s="594"/>
      <c r="J493" s="594"/>
      <c r="K493" s="594"/>
      <c r="M493" s="594"/>
      <c r="N493" s="594"/>
      <c r="O493" s="594"/>
      <c r="Q493" s="594"/>
      <c r="R493" s="594"/>
      <c r="S493" s="594"/>
      <c r="T493" s="594"/>
      <c r="U493" s="171"/>
      <c r="V493" s="171"/>
      <c r="Y493" s="171"/>
    </row>
    <row r="494" spans="5:25" ht="12.75">
      <c r="E494" s="594"/>
      <c r="F494" s="594"/>
      <c r="G494" s="171"/>
      <c r="I494" s="594"/>
      <c r="J494" s="594"/>
      <c r="K494" s="594"/>
      <c r="M494" s="594"/>
      <c r="N494" s="594"/>
      <c r="O494" s="594"/>
      <c r="Q494" s="594"/>
      <c r="R494" s="594"/>
      <c r="S494" s="594"/>
      <c r="T494" s="594"/>
      <c r="U494" s="171"/>
      <c r="V494" s="171"/>
      <c r="Y494" s="171"/>
    </row>
    <row r="495" spans="5:25" ht="12.75">
      <c r="E495" s="594"/>
      <c r="F495" s="594"/>
      <c r="G495" s="171"/>
      <c r="I495" s="594"/>
      <c r="J495" s="594"/>
      <c r="K495" s="594"/>
      <c r="M495" s="594"/>
      <c r="N495" s="594"/>
      <c r="O495" s="594"/>
      <c r="Q495" s="594"/>
      <c r="R495" s="594"/>
      <c r="S495" s="594"/>
      <c r="T495" s="594"/>
      <c r="U495" s="171"/>
      <c r="V495" s="171"/>
      <c r="Y495" s="171"/>
    </row>
    <row r="496" spans="5:25" ht="12.75">
      <c r="E496" s="594"/>
      <c r="F496" s="594"/>
      <c r="G496" s="171"/>
      <c r="I496" s="594"/>
      <c r="J496" s="594"/>
      <c r="K496" s="594"/>
      <c r="M496" s="594"/>
      <c r="N496" s="594"/>
      <c r="O496" s="594"/>
      <c r="Q496" s="594"/>
      <c r="R496" s="594"/>
      <c r="S496" s="594"/>
      <c r="T496" s="594"/>
      <c r="U496" s="171"/>
      <c r="V496" s="171"/>
      <c r="Y496" s="171"/>
    </row>
    <row r="497" spans="5:25" ht="12.75">
      <c r="E497" s="594"/>
      <c r="F497" s="594"/>
      <c r="G497" s="171"/>
      <c r="I497" s="594"/>
      <c r="J497" s="594"/>
      <c r="K497" s="594"/>
      <c r="M497" s="594"/>
      <c r="N497" s="594"/>
      <c r="O497" s="594"/>
      <c r="Q497" s="594"/>
      <c r="R497" s="594"/>
      <c r="S497" s="594"/>
      <c r="T497" s="594"/>
      <c r="U497" s="171"/>
      <c r="V497" s="171"/>
      <c r="Y497" s="171"/>
    </row>
    <row r="498" spans="5:25" ht="12.75">
      <c r="E498" s="594"/>
      <c r="F498" s="594"/>
      <c r="G498" s="171"/>
      <c r="I498" s="594"/>
      <c r="J498" s="594"/>
      <c r="K498" s="594"/>
      <c r="M498" s="594"/>
      <c r="N498" s="594"/>
      <c r="O498" s="594"/>
      <c r="Q498" s="594"/>
      <c r="R498" s="594"/>
      <c r="S498" s="594"/>
      <c r="T498" s="594"/>
      <c r="U498" s="171"/>
      <c r="V498" s="171"/>
      <c r="Y498" s="171"/>
    </row>
    <row r="499" spans="5:25" ht="12.75">
      <c r="E499" s="594"/>
      <c r="F499" s="594"/>
      <c r="G499" s="171"/>
      <c r="I499" s="594"/>
      <c r="J499" s="594"/>
      <c r="K499" s="594"/>
      <c r="M499" s="594"/>
      <c r="N499" s="594"/>
      <c r="O499" s="594"/>
      <c r="Q499" s="594"/>
      <c r="R499" s="594"/>
      <c r="S499" s="594"/>
      <c r="T499" s="594"/>
      <c r="U499" s="171"/>
      <c r="V499" s="171"/>
      <c r="Y499" s="171"/>
    </row>
    <row r="500" spans="5:25" ht="12.75">
      <c r="E500" s="594"/>
      <c r="F500" s="594"/>
      <c r="G500" s="171"/>
      <c r="I500" s="594"/>
      <c r="J500" s="594"/>
      <c r="K500" s="594"/>
      <c r="M500" s="594"/>
      <c r="N500" s="594"/>
      <c r="O500" s="594"/>
      <c r="Q500" s="594"/>
      <c r="R500" s="594"/>
      <c r="S500" s="594"/>
      <c r="T500" s="594"/>
      <c r="U500" s="171"/>
      <c r="V500" s="171"/>
      <c r="Y500" s="171"/>
    </row>
    <row r="501" spans="5:25" ht="12.75">
      <c r="E501" s="594"/>
      <c r="F501" s="594"/>
      <c r="G501" s="171"/>
      <c r="I501" s="594"/>
      <c r="J501" s="594"/>
      <c r="K501" s="594"/>
      <c r="M501" s="594"/>
      <c r="N501" s="594"/>
      <c r="O501" s="594"/>
      <c r="Q501" s="594"/>
      <c r="R501" s="594"/>
      <c r="S501" s="594"/>
      <c r="T501" s="594"/>
      <c r="U501" s="171"/>
      <c r="V501" s="171"/>
      <c r="Y501" s="171"/>
    </row>
    <row r="502" spans="5:25" ht="12.75">
      <c r="E502" s="594"/>
      <c r="F502" s="594"/>
      <c r="G502" s="171"/>
      <c r="I502" s="594"/>
      <c r="J502" s="594"/>
      <c r="K502" s="594"/>
      <c r="M502" s="594"/>
      <c r="N502" s="594"/>
      <c r="O502" s="594"/>
      <c r="Q502" s="594"/>
      <c r="R502" s="594"/>
      <c r="S502" s="594"/>
      <c r="T502" s="594"/>
      <c r="U502" s="171"/>
      <c r="V502" s="171"/>
      <c r="Y502" s="171"/>
    </row>
    <row r="503" spans="5:25" ht="12.75">
      <c r="E503" s="594"/>
      <c r="F503" s="594"/>
      <c r="G503" s="171"/>
      <c r="I503" s="594"/>
      <c r="J503" s="594"/>
      <c r="K503" s="594"/>
      <c r="M503" s="594"/>
      <c r="N503" s="594"/>
      <c r="O503" s="594"/>
      <c r="Q503" s="594"/>
      <c r="R503" s="594"/>
      <c r="S503" s="594"/>
      <c r="T503" s="594"/>
      <c r="U503" s="171"/>
      <c r="V503" s="171"/>
      <c r="Y503" s="171"/>
    </row>
    <row r="504" spans="5:25" ht="12.75">
      <c r="E504" s="594"/>
      <c r="F504" s="594"/>
      <c r="G504" s="171"/>
      <c r="I504" s="594"/>
      <c r="J504" s="594"/>
      <c r="K504" s="594"/>
      <c r="M504" s="594"/>
      <c r="N504" s="594"/>
      <c r="O504" s="594"/>
      <c r="Q504" s="594"/>
      <c r="R504" s="594"/>
      <c r="S504" s="594"/>
      <c r="T504" s="594"/>
      <c r="U504" s="171"/>
      <c r="V504" s="171"/>
      <c r="Y504" s="171"/>
    </row>
    <row r="505" spans="5:25" ht="12.75">
      <c r="E505" s="594"/>
      <c r="F505" s="594"/>
      <c r="G505" s="171"/>
      <c r="I505" s="594"/>
      <c r="J505" s="594"/>
      <c r="K505" s="594"/>
      <c r="M505" s="594"/>
      <c r="N505" s="594"/>
      <c r="O505" s="594"/>
      <c r="Q505" s="594"/>
      <c r="R505" s="594"/>
      <c r="S505" s="594"/>
      <c r="T505" s="594"/>
      <c r="U505" s="171"/>
      <c r="V505" s="171"/>
      <c r="Y505" s="171"/>
    </row>
    <row r="506" spans="5:25" ht="12.75">
      <c r="E506" s="594"/>
      <c r="F506" s="594"/>
      <c r="G506" s="171"/>
      <c r="I506" s="594"/>
      <c r="J506" s="594"/>
      <c r="K506" s="594"/>
      <c r="M506" s="594"/>
      <c r="N506" s="594"/>
      <c r="O506" s="594"/>
      <c r="Q506" s="594"/>
      <c r="R506" s="594"/>
      <c r="S506" s="594"/>
      <c r="T506" s="594"/>
      <c r="U506" s="171"/>
      <c r="V506" s="171"/>
      <c r="Y506" s="171"/>
    </row>
    <row r="507" spans="5:25" ht="12.75">
      <c r="E507" s="594"/>
      <c r="F507" s="594"/>
      <c r="G507" s="171"/>
      <c r="I507" s="594"/>
      <c r="J507" s="594"/>
      <c r="K507" s="594"/>
      <c r="M507" s="594"/>
      <c r="N507" s="594"/>
      <c r="O507" s="594"/>
      <c r="Q507" s="594"/>
      <c r="R507" s="594"/>
      <c r="S507" s="594"/>
      <c r="T507" s="594"/>
      <c r="U507" s="171"/>
      <c r="V507" s="171"/>
      <c r="Y507" s="171"/>
    </row>
    <row r="508" spans="5:25" ht="12.75">
      <c r="E508" s="594"/>
      <c r="F508" s="594"/>
      <c r="G508" s="171"/>
      <c r="I508" s="594"/>
      <c r="J508" s="594"/>
      <c r="K508" s="594"/>
      <c r="M508" s="594"/>
      <c r="N508" s="594"/>
      <c r="O508" s="594"/>
      <c r="Q508" s="594"/>
      <c r="R508" s="594"/>
      <c r="S508" s="594"/>
      <c r="T508" s="594"/>
      <c r="U508" s="171"/>
      <c r="V508" s="171"/>
      <c r="Y508" s="171"/>
    </row>
    <row r="509" spans="5:25" ht="12.75">
      <c r="E509" s="594"/>
      <c r="F509" s="594"/>
      <c r="G509" s="171"/>
      <c r="I509" s="594"/>
      <c r="J509" s="594"/>
      <c r="K509" s="594"/>
      <c r="M509" s="594"/>
      <c r="N509" s="594"/>
      <c r="O509" s="594"/>
      <c r="Q509" s="594"/>
      <c r="R509" s="594"/>
      <c r="S509" s="594"/>
      <c r="T509" s="594"/>
      <c r="U509" s="171"/>
      <c r="V509" s="171"/>
      <c r="Y509" s="171"/>
    </row>
    <row r="510" spans="5:25" ht="12.75">
      <c r="E510" s="594"/>
      <c r="F510" s="594"/>
      <c r="G510" s="171"/>
      <c r="I510" s="594"/>
      <c r="J510" s="594"/>
      <c r="K510" s="594"/>
      <c r="M510" s="594"/>
      <c r="N510" s="594"/>
      <c r="O510" s="594"/>
      <c r="Q510" s="594"/>
      <c r="R510" s="594"/>
      <c r="S510" s="594"/>
      <c r="T510" s="594"/>
      <c r="U510" s="171"/>
      <c r="V510" s="171"/>
      <c r="Y510" s="171"/>
    </row>
    <row r="511" spans="5:25" ht="12.75">
      <c r="E511" s="594"/>
      <c r="F511" s="594"/>
      <c r="G511" s="171"/>
      <c r="I511" s="594"/>
      <c r="J511" s="594"/>
      <c r="K511" s="594"/>
      <c r="M511" s="594"/>
      <c r="N511" s="594"/>
      <c r="O511" s="594"/>
      <c r="Q511" s="594"/>
      <c r="R511" s="594"/>
      <c r="S511" s="594"/>
      <c r="T511" s="594"/>
      <c r="U511" s="171"/>
      <c r="V511" s="171"/>
      <c r="Y511" s="171"/>
    </row>
    <row r="512" spans="5:25" ht="12.75">
      <c r="E512" s="594"/>
      <c r="F512" s="594"/>
      <c r="G512" s="171"/>
      <c r="I512" s="594"/>
      <c r="J512" s="594"/>
      <c r="K512" s="594"/>
      <c r="M512" s="594"/>
      <c r="N512" s="594"/>
      <c r="O512" s="594"/>
      <c r="Q512" s="594"/>
      <c r="R512" s="594"/>
      <c r="S512" s="594"/>
      <c r="T512" s="594"/>
      <c r="U512" s="171"/>
      <c r="V512" s="171"/>
      <c r="Y512" s="171"/>
    </row>
    <row r="513" spans="5:25" ht="12.75">
      <c r="E513" s="594"/>
      <c r="F513" s="594"/>
      <c r="G513" s="171"/>
      <c r="I513" s="594"/>
      <c r="J513" s="594"/>
      <c r="K513" s="594"/>
      <c r="M513" s="594"/>
      <c r="N513" s="594"/>
      <c r="O513" s="594"/>
      <c r="Q513" s="594"/>
      <c r="R513" s="594"/>
      <c r="S513" s="594"/>
      <c r="T513" s="594"/>
      <c r="U513" s="171"/>
      <c r="V513" s="171"/>
      <c r="Y513" s="171"/>
    </row>
    <row r="514" spans="5:25" ht="12.75">
      <c r="E514" s="594"/>
      <c r="F514" s="594"/>
      <c r="G514" s="171"/>
      <c r="I514" s="594"/>
      <c r="J514" s="594"/>
      <c r="K514" s="594"/>
      <c r="M514" s="594"/>
      <c r="N514" s="594"/>
      <c r="O514" s="594"/>
      <c r="Q514" s="594"/>
      <c r="R514" s="594"/>
      <c r="S514" s="594"/>
      <c r="T514" s="594"/>
      <c r="U514" s="171"/>
      <c r="V514" s="171"/>
      <c r="Y514" s="171"/>
    </row>
    <row r="515" spans="5:25" ht="12.75">
      <c r="E515" s="594"/>
      <c r="F515" s="594"/>
      <c r="G515" s="171"/>
      <c r="I515" s="594"/>
      <c r="J515" s="594"/>
      <c r="K515" s="594"/>
      <c r="M515" s="594"/>
      <c r="N515" s="594"/>
      <c r="O515" s="594"/>
      <c r="Q515" s="594"/>
      <c r="R515" s="594"/>
      <c r="S515" s="594"/>
      <c r="T515" s="594"/>
      <c r="U515" s="171"/>
      <c r="V515" s="171"/>
      <c r="Y515" s="171"/>
    </row>
    <row r="516" spans="5:25" ht="12.75">
      <c r="E516" s="594"/>
      <c r="F516" s="594"/>
      <c r="G516" s="171"/>
      <c r="I516" s="594"/>
      <c r="J516" s="594"/>
      <c r="K516" s="594"/>
      <c r="M516" s="594"/>
      <c r="N516" s="594"/>
      <c r="O516" s="594"/>
      <c r="Q516" s="594"/>
      <c r="R516" s="594"/>
      <c r="S516" s="594"/>
      <c r="T516" s="594"/>
      <c r="U516" s="171"/>
      <c r="V516" s="171"/>
      <c r="Y516" s="171"/>
    </row>
    <row r="517" spans="5:25" ht="12.75">
      <c r="E517" s="594"/>
      <c r="F517" s="594"/>
      <c r="G517" s="171"/>
      <c r="I517" s="594"/>
      <c r="J517" s="594"/>
      <c r="K517" s="594"/>
      <c r="M517" s="594"/>
      <c r="N517" s="594"/>
      <c r="O517" s="594"/>
      <c r="Q517" s="594"/>
      <c r="R517" s="594"/>
      <c r="S517" s="594"/>
      <c r="T517" s="594"/>
      <c r="U517" s="171"/>
      <c r="V517" s="171"/>
      <c r="Y517" s="171"/>
    </row>
    <row r="518" spans="5:25" ht="12.75">
      <c r="E518" s="594"/>
      <c r="F518" s="594"/>
      <c r="G518" s="171"/>
      <c r="I518" s="594"/>
      <c r="J518" s="594"/>
      <c r="K518" s="594"/>
      <c r="M518" s="594"/>
      <c r="N518" s="594"/>
      <c r="O518" s="594"/>
      <c r="Q518" s="594"/>
      <c r="R518" s="594"/>
      <c r="S518" s="594"/>
      <c r="T518" s="594"/>
      <c r="U518" s="171"/>
      <c r="V518" s="171"/>
      <c r="Y518" s="171"/>
    </row>
    <row r="519" spans="5:25" ht="12.75">
      <c r="E519" s="594"/>
      <c r="F519" s="594"/>
      <c r="G519" s="171"/>
      <c r="I519" s="594"/>
      <c r="J519" s="594"/>
      <c r="K519" s="594"/>
      <c r="M519" s="594"/>
      <c r="N519" s="594"/>
      <c r="O519" s="594"/>
      <c r="Q519" s="594"/>
      <c r="R519" s="594"/>
      <c r="S519" s="594"/>
      <c r="T519" s="594"/>
      <c r="U519" s="171"/>
      <c r="V519" s="171"/>
      <c r="Y519" s="171"/>
    </row>
    <row r="520" spans="5:25" ht="12.75">
      <c r="E520" s="594"/>
      <c r="F520" s="594"/>
      <c r="G520" s="171"/>
      <c r="I520" s="594"/>
      <c r="J520" s="594"/>
      <c r="K520" s="594"/>
      <c r="M520" s="594"/>
      <c r="N520" s="594"/>
      <c r="O520" s="594"/>
      <c r="Q520" s="594"/>
      <c r="R520" s="594"/>
      <c r="S520" s="594"/>
      <c r="T520" s="594"/>
      <c r="U520" s="171"/>
      <c r="V520" s="171"/>
      <c r="Y520" s="171"/>
    </row>
    <row r="521" spans="5:25" ht="12.75">
      <c r="E521" s="594"/>
      <c r="F521" s="594"/>
      <c r="G521" s="171"/>
      <c r="I521" s="594"/>
      <c r="J521" s="594"/>
      <c r="K521" s="594"/>
      <c r="M521" s="594"/>
      <c r="N521" s="594"/>
      <c r="O521" s="594"/>
      <c r="Q521" s="594"/>
      <c r="R521" s="594"/>
      <c r="S521" s="594"/>
      <c r="T521" s="594"/>
      <c r="U521" s="171"/>
      <c r="V521" s="171"/>
      <c r="Y521" s="171"/>
    </row>
    <row r="522" spans="5:25" ht="12.75">
      <c r="E522" s="594"/>
      <c r="F522" s="594"/>
      <c r="G522" s="171"/>
      <c r="I522" s="594"/>
      <c r="J522" s="594"/>
      <c r="K522" s="594"/>
      <c r="M522" s="594"/>
      <c r="N522" s="594"/>
      <c r="O522" s="594"/>
      <c r="Q522" s="594"/>
      <c r="R522" s="594"/>
      <c r="S522" s="594"/>
      <c r="T522" s="594"/>
      <c r="U522" s="171"/>
      <c r="V522" s="171"/>
      <c r="Y522" s="171"/>
    </row>
    <row r="523" spans="5:25" ht="12.75">
      <c r="E523" s="594"/>
      <c r="F523" s="594"/>
      <c r="G523" s="171"/>
      <c r="I523" s="594"/>
      <c r="J523" s="594"/>
      <c r="K523" s="594"/>
      <c r="M523" s="594"/>
      <c r="N523" s="594"/>
      <c r="O523" s="594"/>
      <c r="Q523" s="594"/>
      <c r="R523" s="594"/>
      <c r="S523" s="594"/>
      <c r="T523" s="594"/>
      <c r="U523" s="171"/>
      <c r="V523" s="171"/>
      <c r="Y523" s="171"/>
    </row>
    <row r="524" spans="5:25" ht="12.75">
      <c r="E524" s="594"/>
      <c r="F524" s="594"/>
      <c r="G524" s="171"/>
      <c r="I524" s="594"/>
      <c r="J524" s="594"/>
      <c r="K524" s="594"/>
      <c r="M524" s="594"/>
      <c r="N524" s="594"/>
      <c r="O524" s="594"/>
      <c r="Q524" s="594"/>
      <c r="R524" s="594"/>
      <c r="S524" s="594"/>
      <c r="T524" s="594"/>
      <c r="U524" s="171"/>
      <c r="V524" s="171"/>
      <c r="Y524" s="171"/>
    </row>
    <row r="525" spans="5:25" ht="12.75">
      <c r="E525" s="594"/>
      <c r="F525" s="594"/>
      <c r="G525" s="171"/>
      <c r="I525" s="594"/>
      <c r="J525" s="594"/>
      <c r="K525" s="594"/>
      <c r="M525" s="594"/>
      <c r="N525" s="594"/>
      <c r="O525" s="594"/>
      <c r="Q525" s="594"/>
      <c r="R525" s="594"/>
      <c r="S525" s="594"/>
      <c r="T525" s="594"/>
      <c r="U525" s="171"/>
      <c r="V525" s="171"/>
      <c r="Y525" s="171"/>
    </row>
    <row r="526" spans="5:25" ht="12.75">
      <c r="E526" s="594"/>
      <c r="F526" s="594"/>
      <c r="G526" s="171"/>
      <c r="I526" s="594"/>
      <c r="J526" s="594"/>
      <c r="K526" s="594"/>
      <c r="M526" s="594"/>
      <c r="N526" s="594"/>
      <c r="O526" s="594"/>
      <c r="Q526" s="594"/>
      <c r="R526" s="594"/>
      <c r="S526" s="594"/>
      <c r="T526" s="594"/>
      <c r="U526" s="171"/>
      <c r="V526" s="171"/>
      <c r="Y526" s="171"/>
    </row>
    <row r="527" spans="5:25" ht="12.75">
      <c r="E527" s="594"/>
      <c r="F527" s="594"/>
      <c r="G527" s="171"/>
      <c r="I527" s="594"/>
      <c r="J527" s="594"/>
      <c r="K527" s="594"/>
      <c r="M527" s="594"/>
      <c r="N527" s="594"/>
      <c r="O527" s="594"/>
      <c r="Q527" s="594"/>
      <c r="R527" s="594"/>
      <c r="S527" s="594"/>
      <c r="T527" s="594"/>
      <c r="U527" s="171"/>
      <c r="V527" s="171"/>
      <c r="Y527" s="171"/>
    </row>
    <row r="528" spans="5:25" ht="12.75">
      <c r="E528" s="594"/>
      <c r="F528" s="594"/>
      <c r="G528" s="171"/>
      <c r="I528" s="594"/>
      <c r="J528" s="594"/>
      <c r="K528" s="594"/>
      <c r="M528" s="594"/>
      <c r="N528" s="594"/>
      <c r="O528" s="594"/>
      <c r="Q528" s="594"/>
      <c r="R528" s="594"/>
      <c r="S528" s="594"/>
      <c r="T528" s="594"/>
      <c r="U528" s="171"/>
      <c r="V528" s="171"/>
      <c r="Y528" s="171"/>
    </row>
    <row r="529" spans="5:25" ht="12.75">
      <c r="E529" s="594"/>
      <c r="F529" s="594"/>
      <c r="G529" s="171"/>
      <c r="I529" s="594"/>
      <c r="J529" s="594"/>
      <c r="K529" s="594"/>
      <c r="M529" s="594"/>
      <c r="N529" s="594"/>
      <c r="O529" s="594"/>
      <c r="Q529" s="594"/>
      <c r="R529" s="594"/>
      <c r="S529" s="594"/>
      <c r="T529" s="594"/>
      <c r="U529" s="171"/>
      <c r="V529" s="171"/>
      <c r="Y529" s="171"/>
    </row>
    <row r="530" spans="5:25" ht="12.75">
      <c r="E530" s="594"/>
      <c r="F530" s="594"/>
      <c r="G530" s="171"/>
      <c r="I530" s="594"/>
      <c r="J530" s="594"/>
      <c r="K530" s="594"/>
      <c r="M530" s="594"/>
      <c r="N530" s="594"/>
      <c r="O530" s="594"/>
      <c r="Q530" s="594"/>
      <c r="R530" s="594"/>
      <c r="S530" s="594"/>
      <c r="T530" s="594"/>
      <c r="U530" s="171"/>
      <c r="V530" s="171"/>
      <c r="Y530" s="171"/>
    </row>
    <row r="531" spans="5:25" ht="12.75">
      <c r="E531" s="594"/>
      <c r="F531" s="594"/>
      <c r="G531" s="171"/>
      <c r="I531" s="594"/>
      <c r="J531" s="594"/>
      <c r="K531" s="594"/>
      <c r="M531" s="594"/>
      <c r="N531" s="594"/>
      <c r="O531" s="594"/>
      <c r="Q531" s="594"/>
      <c r="R531" s="594"/>
      <c r="S531" s="594"/>
      <c r="T531" s="594"/>
      <c r="U531" s="171"/>
      <c r="V531" s="171"/>
      <c r="Y531" s="171"/>
    </row>
    <row r="532" spans="5:25" ht="12.75">
      <c r="E532" s="594"/>
      <c r="F532" s="594"/>
      <c r="G532" s="171"/>
      <c r="I532" s="594"/>
      <c r="J532" s="594"/>
      <c r="K532" s="594"/>
      <c r="M532" s="594"/>
      <c r="N532" s="594"/>
      <c r="O532" s="594"/>
      <c r="Q532" s="594"/>
      <c r="R532" s="594"/>
      <c r="S532" s="594"/>
      <c r="T532" s="594"/>
      <c r="U532" s="171"/>
      <c r="V532" s="171"/>
      <c r="Y532" s="171"/>
    </row>
    <row r="533" spans="5:25" ht="12.75">
      <c r="E533" s="594"/>
      <c r="F533" s="594"/>
      <c r="G533" s="171"/>
      <c r="I533" s="594"/>
      <c r="J533" s="594"/>
      <c r="K533" s="594"/>
      <c r="M533" s="594"/>
      <c r="N533" s="594"/>
      <c r="O533" s="594"/>
      <c r="Q533" s="594"/>
      <c r="R533" s="594"/>
      <c r="S533" s="594"/>
      <c r="T533" s="594"/>
      <c r="U533" s="171"/>
      <c r="V533" s="171"/>
      <c r="Y533" s="171"/>
    </row>
    <row r="534" spans="5:25" ht="12.75">
      <c r="E534" s="594"/>
      <c r="F534" s="594"/>
      <c r="G534" s="171"/>
      <c r="I534" s="594"/>
      <c r="J534" s="594"/>
      <c r="K534" s="594"/>
      <c r="M534" s="594"/>
      <c r="N534" s="594"/>
      <c r="O534" s="594"/>
      <c r="Q534" s="594"/>
      <c r="R534" s="594"/>
      <c r="S534" s="594"/>
      <c r="T534" s="594"/>
      <c r="U534" s="171"/>
      <c r="V534" s="171"/>
      <c r="Y534" s="171"/>
    </row>
    <row r="535" spans="5:25" ht="12.75">
      <c r="E535" s="594"/>
      <c r="F535" s="594"/>
      <c r="G535" s="171"/>
      <c r="I535" s="594"/>
      <c r="J535" s="594"/>
      <c r="K535" s="594"/>
      <c r="M535" s="594"/>
      <c r="N535" s="594"/>
      <c r="O535" s="594"/>
      <c r="Q535" s="594"/>
      <c r="R535" s="594"/>
      <c r="S535" s="594"/>
      <c r="T535" s="594"/>
      <c r="U535" s="171"/>
      <c r="V535" s="171"/>
      <c r="Y535" s="171"/>
    </row>
    <row r="536" spans="5:25" ht="12.75">
      <c r="E536" s="594"/>
      <c r="F536" s="594"/>
      <c r="G536" s="171"/>
      <c r="I536" s="594"/>
      <c r="J536" s="594"/>
      <c r="K536" s="594"/>
      <c r="M536" s="594"/>
      <c r="N536" s="594"/>
      <c r="O536" s="594"/>
      <c r="Q536" s="594"/>
      <c r="R536" s="594"/>
      <c r="S536" s="594"/>
      <c r="T536" s="594"/>
      <c r="U536" s="171"/>
      <c r="V536" s="171"/>
      <c r="Y536" s="171"/>
    </row>
    <row r="537" spans="5:25" ht="12.75">
      <c r="E537" s="594"/>
      <c r="F537" s="594"/>
      <c r="G537" s="171"/>
      <c r="I537" s="594"/>
      <c r="J537" s="594"/>
      <c r="K537" s="594"/>
      <c r="M537" s="594"/>
      <c r="N537" s="594"/>
      <c r="O537" s="594"/>
      <c r="Q537" s="594"/>
      <c r="R537" s="594"/>
      <c r="S537" s="594"/>
      <c r="T537" s="594"/>
      <c r="U537" s="171"/>
      <c r="V537" s="171"/>
      <c r="Y537" s="171"/>
    </row>
    <row r="538" spans="5:25" ht="12.75">
      <c r="E538" s="594"/>
      <c r="F538" s="594"/>
      <c r="G538" s="171"/>
      <c r="I538" s="594"/>
      <c r="J538" s="594"/>
      <c r="K538" s="594"/>
      <c r="M538" s="594"/>
      <c r="N538" s="594"/>
      <c r="O538" s="594"/>
      <c r="Q538" s="594"/>
      <c r="R538" s="594"/>
      <c r="S538" s="594"/>
      <c r="T538" s="594"/>
      <c r="U538" s="171"/>
      <c r="V538" s="171"/>
      <c r="Y538" s="171"/>
    </row>
    <row r="539" spans="5:25" ht="12.75">
      <c r="E539" s="594"/>
      <c r="F539" s="594"/>
      <c r="G539" s="171"/>
      <c r="I539" s="594"/>
      <c r="J539" s="594"/>
      <c r="K539" s="594"/>
      <c r="M539" s="594"/>
      <c r="N539" s="594"/>
      <c r="O539" s="594"/>
      <c r="Q539" s="594"/>
      <c r="R539" s="594"/>
      <c r="S539" s="594"/>
      <c r="T539" s="594"/>
      <c r="U539" s="171"/>
      <c r="V539" s="171"/>
      <c r="Y539" s="171"/>
    </row>
    <row r="540" spans="5:25" ht="12.75">
      <c r="E540" s="594"/>
      <c r="F540" s="594"/>
      <c r="G540" s="171"/>
      <c r="I540" s="594"/>
      <c r="J540" s="594"/>
      <c r="K540" s="594"/>
      <c r="M540" s="594"/>
      <c r="N540" s="594"/>
      <c r="O540" s="594"/>
      <c r="Q540" s="594"/>
      <c r="R540" s="594"/>
      <c r="S540" s="594"/>
      <c r="T540" s="594"/>
      <c r="U540" s="171"/>
      <c r="V540" s="171"/>
      <c r="Y540" s="171"/>
    </row>
    <row r="541" spans="5:25" ht="12.75">
      <c r="E541" s="594"/>
      <c r="F541" s="594"/>
      <c r="G541" s="171"/>
      <c r="I541" s="594"/>
      <c r="J541" s="594"/>
      <c r="K541" s="594"/>
      <c r="M541" s="594"/>
      <c r="N541" s="594"/>
      <c r="O541" s="594"/>
      <c r="Q541" s="594"/>
      <c r="R541" s="594"/>
      <c r="S541" s="594"/>
      <c r="T541" s="594"/>
      <c r="U541" s="171"/>
      <c r="V541" s="171"/>
      <c r="Y541" s="171"/>
    </row>
    <row r="542" spans="5:25" ht="12.75">
      <c r="E542" s="594"/>
      <c r="F542" s="594"/>
      <c r="G542" s="171"/>
      <c r="I542" s="594"/>
      <c r="J542" s="594"/>
      <c r="K542" s="594"/>
      <c r="M542" s="594"/>
      <c r="N542" s="594"/>
      <c r="O542" s="594"/>
      <c r="Q542" s="594"/>
      <c r="R542" s="594"/>
      <c r="S542" s="594"/>
      <c r="T542" s="594"/>
      <c r="U542" s="171"/>
      <c r="V542" s="171"/>
      <c r="Y542" s="171"/>
    </row>
    <row r="543" spans="5:25" ht="12.75">
      <c r="E543" s="594"/>
      <c r="F543" s="594"/>
      <c r="G543" s="171"/>
      <c r="I543" s="594"/>
      <c r="J543" s="594"/>
      <c r="K543" s="594"/>
      <c r="M543" s="594"/>
      <c r="N543" s="594"/>
      <c r="O543" s="594"/>
      <c r="Q543" s="594"/>
      <c r="R543" s="594"/>
      <c r="S543" s="594"/>
      <c r="T543" s="594"/>
      <c r="U543" s="171"/>
      <c r="V543" s="171"/>
      <c r="Y543" s="171"/>
    </row>
    <row r="544" spans="5:25" ht="12.75">
      <c r="E544" s="594"/>
      <c r="F544" s="594"/>
      <c r="G544" s="171"/>
      <c r="I544" s="594"/>
      <c r="J544" s="594"/>
      <c r="K544" s="594"/>
      <c r="M544" s="594"/>
      <c r="N544" s="594"/>
      <c r="O544" s="594"/>
      <c r="Q544" s="594"/>
      <c r="R544" s="594"/>
      <c r="S544" s="594"/>
      <c r="T544" s="594"/>
      <c r="U544" s="171"/>
      <c r="V544" s="171"/>
      <c r="Y544" s="171"/>
    </row>
    <row r="545" spans="5:25" ht="12.75">
      <c r="E545" s="594"/>
      <c r="F545" s="594"/>
      <c r="G545" s="171"/>
      <c r="I545" s="594"/>
      <c r="J545" s="594"/>
      <c r="K545" s="594"/>
      <c r="M545" s="594"/>
      <c r="N545" s="594"/>
      <c r="O545" s="594"/>
      <c r="Q545" s="594"/>
      <c r="R545" s="594"/>
      <c r="S545" s="594"/>
      <c r="T545" s="594"/>
      <c r="U545" s="171"/>
      <c r="V545" s="171"/>
      <c r="Y545" s="171"/>
    </row>
    <row r="546" spans="5:25" ht="12.75">
      <c r="E546" s="594"/>
      <c r="F546" s="594"/>
      <c r="G546" s="171"/>
      <c r="I546" s="594"/>
      <c r="J546" s="594"/>
      <c r="K546" s="594"/>
      <c r="M546" s="594"/>
      <c r="N546" s="594"/>
      <c r="O546" s="594"/>
      <c r="Q546" s="594"/>
      <c r="R546" s="594"/>
      <c r="S546" s="594"/>
      <c r="T546" s="594"/>
      <c r="U546" s="171"/>
      <c r="V546" s="171"/>
      <c r="Y546" s="171"/>
    </row>
    <row r="547" spans="5:25" ht="12.75">
      <c r="E547" s="594"/>
      <c r="F547" s="594"/>
      <c r="G547" s="171"/>
      <c r="I547" s="594"/>
      <c r="J547" s="594"/>
      <c r="K547" s="594"/>
      <c r="M547" s="594"/>
      <c r="N547" s="594"/>
      <c r="O547" s="594"/>
      <c r="Q547" s="594"/>
      <c r="R547" s="594"/>
      <c r="S547" s="594"/>
      <c r="T547" s="594"/>
      <c r="U547" s="171"/>
      <c r="V547" s="171"/>
      <c r="Y547" s="171"/>
    </row>
    <row r="548" spans="5:25" ht="12.75">
      <c r="E548" s="594"/>
      <c r="F548" s="594"/>
      <c r="G548" s="171"/>
      <c r="I548" s="594"/>
      <c r="J548" s="594"/>
      <c r="K548" s="594"/>
      <c r="M548" s="594"/>
      <c r="N548" s="594"/>
      <c r="O548" s="594"/>
      <c r="Q548" s="594"/>
      <c r="R548" s="594"/>
      <c r="S548" s="594"/>
      <c r="T548" s="594"/>
      <c r="U548" s="171"/>
      <c r="V548" s="171"/>
      <c r="Y548" s="171"/>
    </row>
    <row r="549" spans="5:25" ht="12.75">
      <c r="E549" s="594"/>
      <c r="F549" s="594"/>
      <c r="G549" s="171"/>
      <c r="I549" s="594"/>
      <c r="J549" s="594"/>
      <c r="K549" s="594"/>
      <c r="M549" s="594"/>
      <c r="N549" s="594"/>
      <c r="O549" s="594"/>
      <c r="Q549" s="594"/>
      <c r="R549" s="594"/>
      <c r="S549" s="594"/>
      <c r="T549" s="594"/>
      <c r="U549" s="171"/>
      <c r="V549" s="171"/>
      <c r="Y549" s="171"/>
    </row>
    <row r="550" spans="5:25" ht="12.75">
      <c r="E550" s="594"/>
      <c r="F550" s="594"/>
      <c r="G550" s="171"/>
      <c r="I550" s="594"/>
      <c r="J550" s="594"/>
      <c r="K550" s="594"/>
      <c r="M550" s="594"/>
      <c r="N550" s="594"/>
      <c r="O550" s="594"/>
      <c r="Q550" s="594"/>
      <c r="R550" s="594"/>
      <c r="S550" s="594"/>
      <c r="T550" s="594"/>
      <c r="U550" s="171"/>
      <c r="V550" s="171"/>
      <c r="Y550" s="171"/>
    </row>
    <row r="551" spans="5:25" ht="12.75">
      <c r="E551" s="594"/>
      <c r="F551" s="594"/>
      <c r="G551" s="171"/>
      <c r="I551" s="594"/>
      <c r="J551" s="594"/>
      <c r="K551" s="594"/>
      <c r="M551" s="594"/>
      <c r="N551" s="594"/>
      <c r="O551" s="594"/>
      <c r="Q551" s="594"/>
      <c r="R551" s="594"/>
      <c r="S551" s="594"/>
      <c r="T551" s="594"/>
      <c r="U551" s="171"/>
      <c r="V551" s="171"/>
      <c r="Y551" s="171"/>
    </row>
    <row r="552" spans="5:25" ht="12.75">
      <c r="E552" s="594"/>
      <c r="F552" s="594"/>
      <c r="G552" s="171"/>
      <c r="I552" s="594"/>
      <c r="J552" s="594"/>
      <c r="K552" s="594"/>
      <c r="M552" s="594"/>
      <c r="N552" s="594"/>
      <c r="O552" s="594"/>
      <c r="Q552" s="594"/>
      <c r="R552" s="594"/>
      <c r="S552" s="594"/>
      <c r="T552" s="594"/>
      <c r="U552" s="171"/>
      <c r="V552" s="171"/>
      <c r="Y552" s="171"/>
    </row>
    <row r="553" spans="5:25" ht="12.75">
      <c r="E553" s="594"/>
      <c r="F553" s="594"/>
      <c r="G553" s="171"/>
      <c r="I553" s="594"/>
      <c r="J553" s="594"/>
      <c r="K553" s="594"/>
      <c r="M553" s="594"/>
      <c r="N553" s="594"/>
      <c r="O553" s="594"/>
      <c r="Q553" s="594"/>
      <c r="R553" s="594"/>
      <c r="S553" s="594"/>
      <c r="T553" s="594"/>
      <c r="U553" s="171"/>
      <c r="V553" s="171"/>
      <c r="Y553" s="171"/>
    </row>
    <row r="554" spans="7:25" ht="12.75">
      <c r="G554" s="171"/>
      <c r="U554" s="171"/>
      <c r="V554" s="171"/>
      <c r="Y554" s="171"/>
    </row>
    <row r="555" spans="7:25" ht="12.75">
      <c r="G555" s="171"/>
      <c r="U555" s="171"/>
      <c r="V555" s="171"/>
      <c r="Y555" s="171"/>
    </row>
    <row r="556" spans="7:25" ht="12.75">
      <c r="G556" s="171"/>
      <c r="U556" s="171"/>
      <c r="V556" s="171"/>
      <c r="Y556" s="171"/>
    </row>
    <row r="557" spans="7:25" ht="12.75">
      <c r="G557" s="171"/>
      <c r="U557" s="171"/>
      <c r="V557" s="171"/>
      <c r="Y557" s="171"/>
    </row>
    <row r="558" spans="7:25" ht="12.75">
      <c r="G558" s="171"/>
      <c r="U558" s="171"/>
      <c r="V558" s="171"/>
      <c r="Y558" s="171"/>
    </row>
    <row r="559" spans="7:25" ht="12.75">
      <c r="G559" s="171"/>
      <c r="U559" s="171"/>
      <c r="V559" s="171"/>
      <c r="Y559" s="171"/>
    </row>
    <row r="560" spans="7:25" ht="12.75">
      <c r="G560" s="171"/>
      <c r="U560" s="171"/>
      <c r="V560" s="171"/>
      <c r="Y560" s="171"/>
    </row>
    <row r="561" spans="7:25" ht="12.75">
      <c r="G561" s="171"/>
      <c r="U561" s="171"/>
      <c r="V561" s="171"/>
      <c r="Y561" s="171"/>
    </row>
    <row r="562" spans="7:25" ht="12.75">
      <c r="G562" s="171"/>
      <c r="U562" s="171"/>
      <c r="V562" s="171"/>
      <c r="Y562" s="171"/>
    </row>
    <row r="563" spans="7:25" ht="12.75">
      <c r="G563" s="171"/>
      <c r="U563" s="171"/>
      <c r="V563" s="171"/>
      <c r="Y563" s="171"/>
    </row>
    <row r="564" spans="7:25" ht="12.75">
      <c r="G564" s="171"/>
      <c r="U564" s="171"/>
      <c r="V564" s="171"/>
      <c r="Y564" s="171"/>
    </row>
    <row r="565" spans="7:25" ht="12.75">
      <c r="G565" s="171"/>
      <c r="U565" s="171"/>
      <c r="V565" s="171"/>
      <c r="Y565" s="171"/>
    </row>
    <row r="566" spans="7:25" ht="12.75">
      <c r="G566" s="171"/>
      <c r="U566" s="171"/>
      <c r="V566" s="171"/>
      <c r="Y566" s="171"/>
    </row>
    <row r="567" spans="7:25" ht="12.75">
      <c r="G567" s="171"/>
      <c r="U567" s="171"/>
      <c r="V567" s="171"/>
      <c r="Y567" s="171"/>
    </row>
    <row r="568" spans="7:25" ht="12.75">
      <c r="G568" s="171"/>
      <c r="U568" s="171"/>
      <c r="V568" s="171"/>
      <c r="Y568" s="171"/>
    </row>
    <row r="569" spans="7:25" ht="12.75">
      <c r="G569" s="171"/>
      <c r="U569" s="171"/>
      <c r="V569" s="171"/>
      <c r="Y569" s="171"/>
    </row>
    <row r="570" spans="7:25" ht="12.75">
      <c r="G570" s="171"/>
      <c r="U570" s="171"/>
      <c r="V570" s="171"/>
      <c r="Y570" s="171"/>
    </row>
    <row r="571" spans="7:25" ht="12.75">
      <c r="G571" s="171"/>
      <c r="U571" s="171"/>
      <c r="V571" s="171"/>
      <c r="Y571" s="171"/>
    </row>
    <row r="572" spans="7:25" ht="12.75">
      <c r="G572" s="171"/>
      <c r="U572" s="171"/>
      <c r="V572" s="171"/>
      <c r="Y572" s="171"/>
    </row>
    <row r="573" spans="7:25" ht="12.75">
      <c r="G573" s="171"/>
      <c r="U573" s="171"/>
      <c r="V573" s="171"/>
      <c r="Y573" s="171"/>
    </row>
    <row r="574" spans="7:25" ht="12.75">
      <c r="G574" s="171"/>
      <c r="U574" s="171"/>
      <c r="V574" s="171"/>
      <c r="Y574" s="171"/>
    </row>
    <row r="575" spans="7:25" ht="12.75">
      <c r="G575" s="171"/>
      <c r="U575" s="171"/>
      <c r="V575" s="171"/>
      <c r="Y575" s="171"/>
    </row>
    <row r="576" spans="7:25" ht="12.75">
      <c r="G576" s="171"/>
      <c r="U576" s="171"/>
      <c r="V576" s="171"/>
      <c r="Y576" s="171"/>
    </row>
    <row r="577" spans="7:25" ht="12.75">
      <c r="G577" s="171"/>
      <c r="U577" s="171"/>
      <c r="V577" s="171"/>
      <c r="Y577" s="171"/>
    </row>
    <row r="578" spans="7:25" ht="12.75">
      <c r="G578" s="171"/>
      <c r="U578" s="171"/>
      <c r="V578" s="171"/>
      <c r="Y578" s="171"/>
    </row>
    <row r="579" spans="7:25" ht="12.75">
      <c r="G579" s="171"/>
      <c r="U579" s="171"/>
      <c r="V579" s="171"/>
      <c r="Y579" s="171"/>
    </row>
    <row r="580" spans="7:25" ht="12.75">
      <c r="G580" s="171"/>
      <c r="U580" s="171"/>
      <c r="V580" s="171"/>
      <c r="Y580" s="171"/>
    </row>
    <row r="581" spans="7:25" ht="12.75">
      <c r="G581" s="171"/>
      <c r="U581" s="171"/>
      <c r="V581" s="171"/>
      <c r="Y581" s="171"/>
    </row>
    <row r="582" spans="7:25" ht="12.75">
      <c r="G582" s="171"/>
      <c r="U582" s="171"/>
      <c r="V582" s="171"/>
      <c r="Y582" s="171"/>
    </row>
    <row r="583" spans="7:25" ht="12.75">
      <c r="G583" s="171"/>
      <c r="U583" s="171"/>
      <c r="V583" s="171"/>
      <c r="Y583" s="171"/>
    </row>
    <row r="584" spans="7:25" ht="12.75">
      <c r="G584" s="171"/>
      <c r="U584" s="171"/>
      <c r="V584" s="171"/>
      <c r="Y584" s="171"/>
    </row>
    <row r="585" spans="7:25" ht="12.75">
      <c r="G585" s="171"/>
      <c r="U585" s="171"/>
      <c r="V585" s="171"/>
      <c r="Y585" s="171"/>
    </row>
    <row r="586" spans="7:25" ht="12.75">
      <c r="G586" s="171"/>
      <c r="U586" s="171"/>
      <c r="V586" s="171"/>
      <c r="Y586" s="171"/>
    </row>
    <row r="587" spans="7:25" ht="12.75">
      <c r="G587" s="171"/>
      <c r="U587" s="171"/>
      <c r="V587" s="171"/>
      <c r="Y587" s="171"/>
    </row>
    <row r="588" spans="7:25" ht="12.75">
      <c r="G588" s="171"/>
      <c r="U588" s="171"/>
      <c r="V588" s="171"/>
      <c r="Y588" s="171"/>
    </row>
    <row r="589" spans="7:25" ht="12.75">
      <c r="G589" s="171"/>
      <c r="U589" s="171"/>
      <c r="V589" s="171"/>
      <c r="Y589" s="171"/>
    </row>
    <row r="590" spans="7:25" ht="12.75">
      <c r="G590" s="171"/>
      <c r="U590" s="171"/>
      <c r="V590" s="171"/>
      <c r="Y590" s="171"/>
    </row>
    <row r="591" spans="7:25" ht="12.75">
      <c r="G591" s="171"/>
      <c r="U591" s="171"/>
      <c r="V591" s="171"/>
      <c r="Y591" s="171"/>
    </row>
    <row r="592" spans="7:25" ht="12.75">
      <c r="G592" s="171"/>
      <c r="U592" s="171"/>
      <c r="V592" s="171"/>
      <c r="Y592" s="171"/>
    </row>
    <row r="593" spans="7:25" ht="12.75">
      <c r="G593" s="171"/>
      <c r="U593" s="171"/>
      <c r="V593" s="171"/>
      <c r="Y593" s="171"/>
    </row>
    <row r="594" spans="7:25" ht="12.75">
      <c r="G594" s="171"/>
      <c r="U594" s="171"/>
      <c r="V594" s="171"/>
      <c r="Y594" s="171"/>
    </row>
    <row r="595" spans="7:25" ht="12.75">
      <c r="G595" s="171"/>
      <c r="U595" s="171"/>
      <c r="V595" s="171"/>
      <c r="Y595" s="171"/>
    </row>
    <row r="596" spans="7:25" ht="12.75">
      <c r="G596" s="171"/>
      <c r="U596" s="171"/>
      <c r="V596" s="171"/>
      <c r="Y596" s="171"/>
    </row>
    <row r="597" spans="7:25" ht="12.75">
      <c r="G597" s="171"/>
      <c r="U597" s="171"/>
      <c r="V597" s="171"/>
      <c r="Y597" s="171"/>
    </row>
    <row r="598" spans="7:25" ht="12.75">
      <c r="G598" s="171"/>
      <c r="U598" s="171"/>
      <c r="V598" s="171"/>
      <c r="Y598" s="171"/>
    </row>
    <row r="599" spans="7:25" ht="12.75">
      <c r="G599" s="171"/>
      <c r="U599" s="171"/>
      <c r="V599" s="171"/>
      <c r="Y599" s="171"/>
    </row>
    <row r="600" spans="7:25" ht="12.75">
      <c r="G600" s="171"/>
      <c r="U600" s="171"/>
      <c r="V600" s="171"/>
      <c r="Y600" s="171"/>
    </row>
    <row r="601" spans="7:25" ht="12.75">
      <c r="G601" s="171"/>
      <c r="U601" s="171"/>
      <c r="V601" s="171"/>
      <c r="Y601" s="171"/>
    </row>
    <row r="602" spans="7:25" ht="12.75">
      <c r="G602" s="171"/>
      <c r="U602" s="171"/>
      <c r="V602" s="171"/>
      <c r="Y602" s="171"/>
    </row>
    <row r="603" spans="7:25" ht="12.75">
      <c r="G603" s="171"/>
      <c r="U603" s="171"/>
      <c r="V603" s="171"/>
      <c r="Y603" s="171"/>
    </row>
    <row r="604" spans="7:25" ht="12.75">
      <c r="G604" s="171"/>
      <c r="U604" s="171"/>
      <c r="V604" s="171"/>
      <c r="Y604" s="171"/>
    </row>
    <row r="605" spans="7:25" ht="12.75">
      <c r="G605" s="171"/>
      <c r="U605" s="171"/>
      <c r="V605" s="171"/>
      <c r="Y605" s="171"/>
    </row>
    <row r="606" spans="7:25" ht="12.75">
      <c r="G606" s="171"/>
      <c r="U606" s="171"/>
      <c r="V606" s="171"/>
      <c r="Y606" s="171"/>
    </row>
    <row r="607" spans="7:25" ht="12.75">
      <c r="G607" s="171"/>
      <c r="U607" s="171"/>
      <c r="V607" s="171"/>
      <c r="Y607" s="171"/>
    </row>
    <row r="608" spans="7:25" ht="12.75">
      <c r="G608" s="171"/>
      <c r="U608" s="171"/>
      <c r="V608" s="171"/>
      <c r="Y608" s="171"/>
    </row>
    <row r="609" spans="7:25" ht="12.75">
      <c r="G609" s="171"/>
      <c r="U609" s="171"/>
      <c r="V609" s="171"/>
      <c r="Y609" s="171"/>
    </row>
    <row r="610" spans="7:25" ht="12.75">
      <c r="G610" s="171"/>
      <c r="U610" s="171"/>
      <c r="V610" s="171"/>
      <c r="Y610" s="171"/>
    </row>
    <row r="611" spans="7:25" ht="12.75">
      <c r="G611" s="171"/>
      <c r="U611" s="171"/>
      <c r="V611" s="171"/>
      <c r="Y611" s="171"/>
    </row>
    <row r="612" spans="7:25" ht="12.75">
      <c r="G612" s="171"/>
      <c r="U612" s="171"/>
      <c r="V612" s="171"/>
      <c r="Y612" s="171"/>
    </row>
    <row r="613" spans="7:25" ht="12.75">
      <c r="G613" s="171"/>
      <c r="U613" s="171"/>
      <c r="V613" s="171"/>
      <c r="Y613" s="171"/>
    </row>
    <row r="614" spans="7:25" ht="12.75">
      <c r="G614" s="171"/>
      <c r="U614" s="171"/>
      <c r="V614" s="171"/>
      <c r="Y614" s="171"/>
    </row>
    <row r="615" spans="7:25" ht="12.75">
      <c r="G615" s="171"/>
      <c r="U615" s="171"/>
      <c r="V615" s="171"/>
      <c r="Y615" s="171"/>
    </row>
    <row r="616" spans="7:25" ht="12.75">
      <c r="G616" s="171"/>
      <c r="U616" s="171"/>
      <c r="V616" s="171"/>
      <c r="Y616" s="171"/>
    </row>
    <row r="617" spans="7:25" ht="12.75">
      <c r="G617" s="171"/>
      <c r="U617" s="171"/>
      <c r="V617" s="171"/>
      <c r="Y617" s="171"/>
    </row>
    <row r="618" spans="7:25" ht="12.75">
      <c r="G618" s="171"/>
      <c r="U618" s="171"/>
      <c r="V618" s="171"/>
      <c r="Y618" s="171"/>
    </row>
    <row r="619" spans="7:25" ht="12.75">
      <c r="G619" s="171"/>
      <c r="U619" s="171"/>
      <c r="V619" s="171"/>
      <c r="Y619" s="171"/>
    </row>
    <row r="620" spans="7:25" ht="12.75">
      <c r="G620" s="171"/>
      <c r="U620" s="171"/>
      <c r="V620" s="171"/>
      <c r="Y620" s="171"/>
    </row>
    <row r="621" spans="7:25" ht="12.75">
      <c r="G621" s="171"/>
      <c r="U621" s="171"/>
      <c r="V621" s="171"/>
      <c r="Y621" s="171"/>
    </row>
    <row r="622" spans="7:25" ht="12.75">
      <c r="G622" s="171"/>
      <c r="U622" s="171"/>
      <c r="V622" s="171"/>
      <c r="Y622" s="171"/>
    </row>
    <row r="623" spans="7:25" ht="12.75">
      <c r="G623" s="171"/>
      <c r="U623" s="171"/>
      <c r="V623" s="171"/>
      <c r="Y623" s="171"/>
    </row>
    <row r="624" spans="7:25" ht="12.75">
      <c r="G624" s="171"/>
      <c r="U624" s="171"/>
      <c r="V624" s="171"/>
      <c r="Y624" s="171"/>
    </row>
    <row r="625" spans="7:25" ht="12.75">
      <c r="G625" s="171"/>
      <c r="U625" s="171"/>
      <c r="V625" s="171"/>
      <c r="Y625" s="171"/>
    </row>
    <row r="626" spans="7:25" ht="12.75">
      <c r="G626" s="171"/>
      <c r="U626" s="171"/>
      <c r="V626" s="171"/>
      <c r="Y626" s="171"/>
    </row>
    <row r="627" spans="7:25" ht="12.75">
      <c r="G627" s="171"/>
      <c r="U627" s="171"/>
      <c r="V627" s="171"/>
      <c r="Y627" s="171"/>
    </row>
    <row r="628" spans="7:25" ht="12.75">
      <c r="G628" s="171"/>
      <c r="U628" s="171"/>
      <c r="V628" s="171"/>
      <c r="Y628" s="171"/>
    </row>
    <row r="629" spans="7:25" ht="12.75">
      <c r="G629" s="171"/>
      <c r="U629" s="171"/>
      <c r="V629" s="171"/>
      <c r="Y629" s="171"/>
    </row>
    <row r="630" spans="7:25" ht="12.75">
      <c r="G630" s="171"/>
      <c r="U630" s="171"/>
      <c r="V630" s="171"/>
      <c r="Y630" s="171"/>
    </row>
    <row r="631" spans="7:25" ht="12.75">
      <c r="G631" s="171"/>
      <c r="U631" s="171"/>
      <c r="V631" s="171"/>
      <c r="Y631" s="171"/>
    </row>
    <row r="632" spans="7:25" ht="12.75">
      <c r="G632" s="171"/>
      <c r="U632" s="171"/>
      <c r="V632" s="171"/>
      <c r="Y632" s="171"/>
    </row>
    <row r="633" spans="7:25" ht="12.75">
      <c r="G633" s="171"/>
      <c r="U633" s="171"/>
      <c r="V633" s="171"/>
      <c r="Y633" s="171"/>
    </row>
    <row r="634" spans="7:25" ht="12.75">
      <c r="G634" s="171"/>
      <c r="U634" s="171"/>
      <c r="V634" s="171"/>
      <c r="Y634" s="171"/>
    </row>
    <row r="635" spans="7:25" ht="12.75">
      <c r="G635" s="171"/>
      <c r="U635" s="171"/>
      <c r="V635" s="171"/>
      <c r="Y635" s="171"/>
    </row>
    <row r="636" spans="7:25" ht="12.75">
      <c r="G636" s="171"/>
      <c r="U636" s="171"/>
      <c r="V636" s="171"/>
      <c r="Y636" s="171"/>
    </row>
    <row r="637" spans="7:25" ht="12.75">
      <c r="G637" s="171"/>
      <c r="U637" s="171"/>
      <c r="V637" s="171"/>
      <c r="Y637" s="171"/>
    </row>
    <row r="638" spans="7:25" ht="12.75">
      <c r="G638" s="171"/>
      <c r="U638" s="171"/>
      <c r="V638" s="171"/>
      <c r="Y638" s="171"/>
    </row>
    <row r="639" spans="7:25" ht="12.75">
      <c r="G639" s="171"/>
      <c r="U639" s="171"/>
      <c r="V639" s="171"/>
      <c r="Y639" s="171"/>
    </row>
    <row r="640" spans="7:25" ht="12.75">
      <c r="G640" s="171"/>
      <c r="U640" s="171"/>
      <c r="V640" s="171"/>
      <c r="Y640" s="171"/>
    </row>
    <row r="641" spans="7:25" ht="12.75">
      <c r="G641" s="171"/>
      <c r="U641" s="171"/>
      <c r="V641" s="171"/>
      <c r="Y641" s="171"/>
    </row>
    <row r="642" spans="7:25" ht="12.75">
      <c r="G642" s="171"/>
      <c r="U642" s="171"/>
      <c r="V642" s="171"/>
      <c r="Y642" s="171"/>
    </row>
    <row r="643" spans="7:25" ht="12.75">
      <c r="G643" s="171"/>
      <c r="U643" s="171"/>
      <c r="V643" s="171"/>
      <c r="Y643" s="171"/>
    </row>
    <row r="644" spans="7:25" ht="12.75">
      <c r="G644" s="171"/>
      <c r="U644" s="171"/>
      <c r="V644" s="171"/>
      <c r="Y644" s="171"/>
    </row>
    <row r="645" spans="7:25" ht="12.75">
      <c r="G645" s="171"/>
      <c r="U645" s="171"/>
      <c r="V645" s="171"/>
      <c r="Y645" s="171"/>
    </row>
    <row r="646" spans="7:25" ht="12.75">
      <c r="G646" s="171"/>
      <c r="U646" s="171"/>
      <c r="V646" s="171"/>
      <c r="Y646" s="171"/>
    </row>
    <row r="647" spans="7:25" ht="12.75">
      <c r="G647" s="171"/>
      <c r="U647" s="171"/>
      <c r="V647" s="171"/>
      <c r="Y647" s="171"/>
    </row>
    <row r="648" spans="7:25" ht="12.75">
      <c r="G648" s="171"/>
      <c r="U648" s="171"/>
      <c r="V648" s="171"/>
      <c r="Y648" s="171"/>
    </row>
    <row r="649" spans="7:25" ht="12.75">
      <c r="G649" s="171"/>
      <c r="U649" s="171"/>
      <c r="V649" s="171"/>
      <c r="Y649" s="171"/>
    </row>
    <row r="650" spans="7:25" ht="12.75">
      <c r="G650" s="171"/>
      <c r="U650" s="171"/>
      <c r="V650" s="171"/>
      <c r="Y650" s="171"/>
    </row>
    <row r="651" spans="7:25" ht="12.75">
      <c r="G651" s="171"/>
      <c r="U651" s="171"/>
      <c r="V651" s="171"/>
      <c r="Y651" s="171"/>
    </row>
    <row r="652" spans="7:25" ht="12.75">
      <c r="G652" s="171"/>
      <c r="U652" s="171"/>
      <c r="V652" s="171"/>
      <c r="Y652" s="171"/>
    </row>
    <row r="653" spans="7:25" ht="12.75">
      <c r="G653" s="171"/>
      <c r="U653" s="171"/>
      <c r="V653" s="171"/>
      <c r="Y653" s="171"/>
    </row>
    <row r="654" spans="7:25" ht="12.75">
      <c r="G654" s="171"/>
      <c r="U654" s="171"/>
      <c r="V654" s="171"/>
      <c r="Y654" s="171"/>
    </row>
    <row r="655" spans="7:25" ht="12.75">
      <c r="G655" s="171"/>
      <c r="U655" s="171"/>
      <c r="V655" s="171"/>
      <c r="Y655" s="171"/>
    </row>
    <row r="656" spans="7:25" ht="12.75">
      <c r="G656" s="171"/>
      <c r="U656" s="171"/>
      <c r="V656" s="171"/>
      <c r="Y656" s="171"/>
    </row>
    <row r="657" spans="7:25" ht="12.75">
      <c r="G657" s="171"/>
      <c r="U657" s="171"/>
      <c r="V657" s="171"/>
      <c r="Y657" s="171"/>
    </row>
    <row r="658" spans="7:25" ht="12.75">
      <c r="G658" s="171"/>
      <c r="U658" s="171"/>
      <c r="V658" s="171"/>
      <c r="Y658" s="171"/>
    </row>
    <row r="659" spans="7:25" ht="12.75">
      <c r="G659" s="171"/>
      <c r="U659" s="171"/>
      <c r="V659" s="171"/>
      <c r="Y659" s="171"/>
    </row>
    <row r="660" spans="7:25" ht="12.75">
      <c r="G660" s="171"/>
      <c r="U660" s="171"/>
      <c r="V660" s="171"/>
      <c r="Y660" s="171"/>
    </row>
    <row r="661" spans="7:25" ht="12.75">
      <c r="G661" s="171"/>
      <c r="U661" s="171"/>
      <c r="V661" s="171"/>
      <c r="Y661" s="171"/>
    </row>
    <row r="662" spans="7:25" ht="12.75">
      <c r="G662" s="171"/>
      <c r="U662" s="171"/>
      <c r="V662" s="171"/>
      <c r="Y662" s="171"/>
    </row>
    <row r="663" spans="7:25" ht="12.75">
      <c r="G663" s="171"/>
      <c r="U663" s="171"/>
      <c r="V663" s="171"/>
      <c r="Y663" s="171"/>
    </row>
    <row r="664" spans="7:25" ht="12.75">
      <c r="G664" s="171"/>
      <c r="U664" s="171"/>
      <c r="V664" s="171"/>
      <c r="Y664" s="171"/>
    </row>
    <row r="665" spans="7:25" ht="12.75">
      <c r="G665" s="171"/>
      <c r="U665" s="171"/>
      <c r="V665" s="171"/>
      <c r="Y665" s="171"/>
    </row>
    <row r="666" spans="7:25" ht="12.75">
      <c r="G666" s="171"/>
      <c r="U666" s="171"/>
      <c r="V666" s="171"/>
      <c r="Y666" s="171"/>
    </row>
    <row r="667" spans="7:25" ht="12.75">
      <c r="G667" s="171"/>
      <c r="U667" s="171"/>
      <c r="V667" s="171"/>
      <c r="Y667" s="171"/>
    </row>
    <row r="668" spans="7:25" ht="12.75">
      <c r="G668" s="171"/>
      <c r="U668" s="171"/>
      <c r="V668" s="171"/>
      <c r="Y668" s="171"/>
    </row>
    <row r="669" spans="7:25" ht="12.75">
      <c r="G669" s="171"/>
      <c r="U669" s="171"/>
      <c r="V669" s="171"/>
      <c r="Y669" s="171"/>
    </row>
    <row r="670" spans="7:25" ht="12.75">
      <c r="G670" s="171"/>
      <c r="U670" s="171"/>
      <c r="V670" s="171"/>
      <c r="Y670" s="171"/>
    </row>
    <row r="671" spans="7:25" ht="12.75">
      <c r="G671" s="171"/>
      <c r="U671" s="171"/>
      <c r="V671" s="171"/>
      <c r="Y671" s="171"/>
    </row>
    <row r="672" spans="7:25" ht="12.75">
      <c r="G672" s="171"/>
      <c r="U672" s="171"/>
      <c r="V672" s="171"/>
      <c r="Y672" s="171"/>
    </row>
    <row r="673" spans="7:25" ht="12.75">
      <c r="G673" s="171"/>
      <c r="U673" s="171"/>
      <c r="V673" s="171"/>
      <c r="Y673" s="171"/>
    </row>
    <row r="674" spans="7:25" ht="12.75">
      <c r="G674" s="171"/>
      <c r="U674" s="171"/>
      <c r="V674" s="171"/>
      <c r="Y674" s="171"/>
    </row>
    <row r="675" spans="7:25" ht="12.75">
      <c r="G675" s="171"/>
      <c r="U675" s="171"/>
      <c r="V675" s="171"/>
      <c r="Y675" s="171"/>
    </row>
    <row r="676" spans="7:25" ht="12.75">
      <c r="G676" s="171"/>
      <c r="U676" s="171"/>
      <c r="V676" s="171"/>
      <c r="Y676" s="171"/>
    </row>
    <row r="677" spans="7:25" ht="12.75">
      <c r="G677" s="171"/>
      <c r="U677" s="171"/>
      <c r="V677" s="171"/>
      <c r="Y677" s="171"/>
    </row>
    <row r="678" spans="7:25" ht="12.75">
      <c r="G678" s="171"/>
      <c r="U678" s="171"/>
      <c r="V678" s="171"/>
      <c r="Y678" s="171"/>
    </row>
    <row r="679" spans="7:25" ht="12.75">
      <c r="G679" s="171"/>
      <c r="U679" s="171"/>
      <c r="V679" s="171"/>
      <c r="Y679" s="171"/>
    </row>
    <row r="680" spans="7:25" ht="12.75">
      <c r="G680" s="171"/>
      <c r="U680" s="171"/>
      <c r="V680" s="171"/>
      <c r="Y680" s="171"/>
    </row>
    <row r="681" spans="7:25" ht="12.75">
      <c r="G681" s="171"/>
      <c r="U681" s="171"/>
      <c r="V681" s="171"/>
      <c r="Y681" s="171"/>
    </row>
    <row r="682" spans="7:25" ht="12.75">
      <c r="G682" s="171"/>
      <c r="U682" s="171"/>
      <c r="V682" s="171"/>
      <c r="Y682" s="171"/>
    </row>
    <row r="683" spans="7:25" ht="12.75">
      <c r="G683" s="171"/>
      <c r="U683" s="171"/>
      <c r="V683" s="171"/>
      <c r="Y683" s="171"/>
    </row>
    <row r="684" spans="7:25" ht="12.75">
      <c r="G684" s="171"/>
      <c r="U684" s="171"/>
      <c r="V684" s="171"/>
      <c r="Y684" s="171"/>
    </row>
    <row r="685" spans="7:25" ht="12.75">
      <c r="G685" s="171"/>
      <c r="U685" s="171"/>
      <c r="V685" s="171"/>
      <c r="Y685" s="171"/>
    </row>
    <row r="686" spans="7:25" ht="12.75">
      <c r="G686" s="171"/>
      <c r="U686" s="171"/>
      <c r="V686" s="171"/>
      <c r="Y686" s="171"/>
    </row>
    <row r="687" spans="7:25" ht="12.75">
      <c r="G687" s="171"/>
      <c r="U687" s="171"/>
      <c r="V687" s="171"/>
      <c r="Y687" s="171"/>
    </row>
    <row r="688" spans="7:25" ht="12.75">
      <c r="G688" s="171"/>
      <c r="U688" s="171"/>
      <c r="V688" s="171"/>
      <c r="Y688" s="171"/>
    </row>
    <row r="689" spans="7:25" ht="12.75">
      <c r="G689" s="171"/>
      <c r="U689" s="171"/>
      <c r="V689" s="171"/>
      <c r="Y689" s="171"/>
    </row>
    <row r="690" spans="7:25" ht="12.75">
      <c r="G690" s="171"/>
      <c r="U690" s="171"/>
      <c r="V690" s="171"/>
      <c r="Y690" s="171"/>
    </row>
    <row r="691" spans="7:25" ht="12.75">
      <c r="G691" s="171"/>
      <c r="U691" s="171"/>
      <c r="V691" s="171"/>
      <c r="Y691" s="171"/>
    </row>
    <row r="692" spans="7:25" ht="12.75">
      <c r="G692" s="171"/>
      <c r="U692" s="171"/>
      <c r="V692" s="171"/>
      <c r="Y692" s="171"/>
    </row>
    <row r="693" spans="7:25" ht="12.75">
      <c r="G693" s="171"/>
      <c r="U693" s="171"/>
      <c r="V693" s="171"/>
      <c r="Y693" s="171"/>
    </row>
    <row r="694" spans="7:25" ht="12.75">
      <c r="G694" s="171"/>
      <c r="U694" s="171"/>
      <c r="V694" s="171"/>
      <c r="Y694" s="171"/>
    </row>
    <row r="695" spans="7:25" ht="12.75">
      <c r="G695" s="171"/>
      <c r="U695" s="171"/>
      <c r="V695" s="171"/>
      <c r="Y695" s="171"/>
    </row>
    <row r="696" spans="7:25" ht="12.75">
      <c r="G696" s="171"/>
      <c r="U696" s="171"/>
      <c r="V696" s="171"/>
      <c r="Y696" s="171"/>
    </row>
    <row r="697" spans="7:25" ht="12.75">
      <c r="G697" s="171"/>
      <c r="U697" s="171"/>
      <c r="V697" s="171"/>
      <c r="Y697" s="171"/>
    </row>
    <row r="698" spans="7:25" ht="12.75">
      <c r="G698" s="171"/>
      <c r="U698" s="171"/>
      <c r="V698" s="171"/>
      <c r="Y698" s="171"/>
    </row>
    <row r="699" spans="7:25" ht="12.75">
      <c r="G699" s="171"/>
      <c r="U699" s="171"/>
      <c r="V699" s="171"/>
      <c r="Y699" s="171"/>
    </row>
    <row r="700" spans="7:25" ht="12.75">
      <c r="G700" s="171"/>
      <c r="U700" s="171"/>
      <c r="V700" s="171"/>
      <c r="Y700" s="171"/>
    </row>
    <row r="701" spans="7:25" ht="12.75">
      <c r="G701" s="171"/>
      <c r="U701" s="171"/>
      <c r="V701" s="171"/>
      <c r="Y701" s="171"/>
    </row>
    <row r="702" spans="7:25" ht="12.75">
      <c r="G702" s="171"/>
      <c r="U702" s="171"/>
      <c r="V702" s="171"/>
      <c r="Y702" s="171"/>
    </row>
    <row r="703" spans="7:25" ht="12.75">
      <c r="G703" s="171"/>
      <c r="U703" s="171"/>
      <c r="V703" s="171"/>
      <c r="Y703" s="171"/>
    </row>
    <row r="704" spans="7:25" ht="12.75">
      <c r="G704" s="171"/>
      <c r="U704" s="171"/>
      <c r="V704" s="171"/>
      <c r="Y704" s="171"/>
    </row>
    <row r="705" spans="7:25" ht="12.75">
      <c r="G705" s="171"/>
      <c r="U705" s="171"/>
      <c r="V705" s="171"/>
      <c r="Y705" s="171"/>
    </row>
    <row r="706" spans="7:25" ht="12.75">
      <c r="G706" s="171"/>
      <c r="U706" s="171"/>
      <c r="V706" s="171"/>
      <c r="Y706" s="171"/>
    </row>
    <row r="707" spans="7:25" ht="12.75">
      <c r="G707" s="171"/>
      <c r="U707" s="171"/>
      <c r="V707" s="171"/>
      <c r="Y707" s="171"/>
    </row>
    <row r="708" spans="7:25" ht="12.75">
      <c r="G708" s="171"/>
      <c r="U708" s="171"/>
      <c r="V708" s="171"/>
      <c r="Y708" s="171"/>
    </row>
    <row r="709" spans="7:25" ht="12.75">
      <c r="G709" s="171"/>
      <c r="U709" s="171"/>
      <c r="V709" s="171"/>
      <c r="Y709" s="171"/>
    </row>
    <row r="710" spans="7:25" ht="12.75">
      <c r="G710" s="171"/>
      <c r="U710" s="171"/>
      <c r="V710" s="171"/>
      <c r="Y710" s="171"/>
    </row>
    <row r="711" spans="7:25" ht="12.75">
      <c r="G711" s="171"/>
      <c r="U711" s="171"/>
      <c r="V711" s="171"/>
      <c r="Y711" s="171"/>
    </row>
    <row r="712" spans="7:25" ht="12.75">
      <c r="G712" s="171"/>
      <c r="U712" s="171"/>
      <c r="V712" s="171"/>
      <c r="Y712" s="171"/>
    </row>
    <row r="713" spans="7:25" ht="12.75">
      <c r="G713" s="171"/>
      <c r="U713" s="171"/>
      <c r="V713" s="171"/>
      <c r="Y713" s="171"/>
    </row>
    <row r="714" spans="7:25" ht="12.75">
      <c r="G714" s="171"/>
      <c r="U714" s="171"/>
      <c r="V714" s="171"/>
      <c r="Y714" s="171"/>
    </row>
    <row r="715" spans="7:25" ht="12.75">
      <c r="G715" s="171"/>
      <c r="U715" s="171"/>
      <c r="V715" s="171"/>
      <c r="Y715" s="171"/>
    </row>
    <row r="716" spans="7:25" ht="12.75">
      <c r="G716" s="171"/>
      <c r="U716" s="171"/>
      <c r="V716" s="171"/>
      <c r="Y716" s="171"/>
    </row>
    <row r="717" spans="7:25" ht="12.75">
      <c r="G717" s="171"/>
      <c r="U717" s="171"/>
      <c r="V717" s="171"/>
      <c r="Y717" s="171"/>
    </row>
    <row r="718" spans="7:25" ht="12.75">
      <c r="G718" s="171"/>
      <c r="U718" s="171"/>
      <c r="V718" s="171"/>
      <c r="Y718" s="171"/>
    </row>
    <row r="719" spans="7:25" ht="12.75">
      <c r="G719" s="171"/>
      <c r="U719" s="171"/>
      <c r="V719" s="171"/>
      <c r="Y719" s="171"/>
    </row>
    <row r="720" spans="7:25" ht="12.75">
      <c r="G720" s="171"/>
      <c r="U720" s="171"/>
      <c r="V720" s="171"/>
      <c r="Y720" s="171"/>
    </row>
    <row r="721" spans="7:25" ht="12.75">
      <c r="G721" s="171"/>
      <c r="U721" s="171"/>
      <c r="V721" s="171"/>
      <c r="Y721" s="171"/>
    </row>
    <row r="722" spans="7:25" ht="12.75">
      <c r="G722" s="171"/>
      <c r="U722" s="171"/>
      <c r="V722" s="171"/>
      <c r="Y722" s="171"/>
    </row>
    <row r="723" spans="7:25" ht="12.75">
      <c r="G723" s="171"/>
      <c r="U723" s="171"/>
      <c r="V723" s="171"/>
      <c r="Y723" s="171"/>
    </row>
    <row r="724" spans="7:25" ht="12.75">
      <c r="G724" s="171"/>
      <c r="U724" s="171"/>
      <c r="V724" s="171"/>
      <c r="Y724" s="171"/>
    </row>
    <row r="725" spans="7:25" ht="12.75">
      <c r="G725" s="171"/>
      <c r="U725" s="171"/>
      <c r="V725" s="171"/>
      <c r="Y725" s="171"/>
    </row>
    <row r="726" spans="7:25" ht="12.75">
      <c r="G726" s="171"/>
      <c r="U726" s="171"/>
      <c r="V726" s="171"/>
      <c r="Y726" s="171"/>
    </row>
    <row r="727" spans="7:25" ht="12.75">
      <c r="G727" s="171"/>
      <c r="U727" s="171"/>
      <c r="V727" s="171"/>
      <c r="Y727" s="171"/>
    </row>
    <row r="728" spans="7:25" ht="12.75">
      <c r="G728" s="171"/>
      <c r="U728" s="171"/>
      <c r="V728" s="171"/>
      <c r="Y728" s="171"/>
    </row>
    <row r="729" spans="7:25" ht="12.75">
      <c r="G729" s="171"/>
      <c r="U729" s="171"/>
      <c r="V729" s="171"/>
      <c r="Y729" s="171"/>
    </row>
    <row r="730" spans="7:25" ht="12.75">
      <c r="G730" s="171"/>
      <c r="U730" s="171"/>
      <c r="V730" s="171"/>
      <c r="Y730" s="171"/>
    </row>
    <row r="731" spans="7:25" ht="12.75">
      <c r="G731" s="171"/>
      <c r="U731" s="171"/>
      <c r="V731" s="171"/>
      <c r="Y731" s="171"/>
    </row>
    <row r="732" spans="7:25" ht="12.75">
      <c r="G732" s="171"/>
      <c r="U732" s="171"/>
      <c r="V732" s="171"/>
      <c r="Y732" s="171"/>
    </row>
    <row r="733" spans="7:25" ht="12.75">
      <c r="G733" s="171"/>
      <c r="U733" s="171"/>
      <c r="V733" s="171"/>
      <c r="Y733" s="171"/>
    </row>
    <row r="734" spans="7:25" ht="12.75">
      <c r="G734" s="171"/>
      <c r="U734" s="171"/>
      <c r="V734" s="171"/>
      <c r="Y734" s="171"/>
    </row>
    <row r="735" spans="7:25" ht="12.75">
      <c r="G735" s="171"/>
      <c r="U735" s="171"/>
      <c r="V735" s="171"/>
      <c r="Y735" s="171"/>
    </row>
    <row r="736" spans="7:25" ht="12.75">
      <c r="G736" s="171"/>
      <c r="U736" s="171"/>
      <c r="V736" s="171"/>
      <c r="Y736" s="171"/>
    </row>
    <row r="737" spans="7:25" ht="12.75">
      <c r="G737" s="171"/>
      <c r="U737" s="171"/>
      <c r="V737" s="171"/>
      <c r="Y737" s="171"/>
    </row>
    <row r="738" spans="7:25" ht="12.75">
      <c r="G738" s="171"/>
      <c r="U738" s="171"/>
      <c r="V738" s="171"/>
      <c r="Y738" s="171"/>
    </row>
    <row r="739" spans="7:25" ht="12.75">
      <c r="G739" s="171"/>
      <c r="U739" s="171"/>
      <c r="V739" s="171"/>
      <c r="Y739" s="171"/>
    </row>
    <row r="740" spans="7:25" ht="12.75">
      <c r="G740" s="171"/>
      <c r="U740" s="171"/>
      <c r="V740" s="171"/>
      <c r="Y740" s="171"/>
    </row>
    <row r="741" spans="7:25" ht="12.75">
      <c r="G741" s="171"/>
      <c r="U741" s="171"/>
      <c r="V741" s="171"/>
      <c r="Y741" s="171"/>
    </row>
    <row r="742" spans="7:25" ht="12.75">
      <c r="G742" s="171"/>
      <c r="U742" s="171"/>
      <c r="V742" s="171"/>
      <c r="Y742" s="171"/>
    </row>
    <row r="743" spans="7:25" ht="12.75">
      <c r="G743" s="171"/>
      <c r="U743" s="171"/>
      <c r="V743" s="171"/>
      <c r="Y743" s="171"/>
    </row>
    <row r="744" spans="7:25" ht="12.75">
      <c r="G744" s="171"/>
      <c r="U744" s="171"/>
      <c r="V744" s="171"/>
      <c r="Y744" s="171"/>
    </row>
    <row r="745" spans="7:25" ht="12.75">
      <c r="G745" s="171"/>
      <c r="U745" s="171"/>
      <c r="V745" s="171"/>
      <c r="Y745" s="171"/>
    </row>
    <row r="746" spans="7:25" ht="12.75">
      <c r="G746" s="171"/>
      <c r="U746" s="171"/>
      <c r="V746" s="171"/>
      <c r="Y746" s="171"/>
    </row>
    <row r="747" spans="7:25" ht="12.75">
      <c r="G747" s="171"/>
      <c r="U747" s="171"/>
      <c r="V747" s="171"/>
      <c r="Y747" s="171"/>
    </row>
    <row r="748" spans="7:25" ht="12.75">
      <c r="G748" s="171"/>
      <c r="U748" s="171"/>
      <c r="V748" s="171"/>
      <c r="Y748" s="171"/>
    </row>
    <row r="749" spans="7:25" ht="12.75">
      <c r="G749" s="171"/>
      <c r="U749" s="171"/>
      <c r="V749" s="171"/>
      <c r="Y749" s="171"/>
    </row>
    <row r="750" spans="7:25" ht="12.75">
      <c r="G750" s="171"/>
      <c r="U750" s="171"/>
      <c r="V750" s="171"/>
      <c r="Y750" s="171"/>
    </row>
    <row r="751" spans="7:25" ht="12.75">
      <c r="G751" s="171"/>
      <c r="U751" s="171"/>
      <c r="V751" s="171"/>
      <c r="Y751" s="171"/>
    </row>
    <row r="752" spans="7:25" ht="12.75">
      <c r="G752" s="171"/>
      <c r="U752" s="171"/>
      <c r="V752" s="171"/>
      <c r="Y752" s="171"/>
    </row>
    <row r="753" spans="7:25" ht="12.75">
      <c r="G753" s="171"/>
      <c r="U753" s="171"/>
      <c r="V753" s="171"/>
      <c r="Y753" s="171"/>
    </row>
    <row r="754" spans="7:25" ht="12.75">
      <c r="G754" s="171"/>
      <c r="U754" s="171"/>
      <c r="V754" s="171"/>
      <c r="Y754" s="171"/>
    </row>
    <row r="755" spans="7:25" ht="12.75">
      <c r="G755" s="171"/>
      <c r="U755" s="171"/>
      <c r="V755" s="171"/>
      <c r="Y755" s="171"/>
    </row>
    <row r="756" spans="7:25" ht="12.75">
      <c r="G756" s="171"/>
      <c r="U756" s="171"/>
      <c r="V756" s="171"/>
      <c r="Y756" s="171"/>
    </row>
    <row r="757" spans="7:25" ht="12.75">
      <c r="G757" s="171"/>
      <c r="U757" s="171"/>
      <c r="V757" s="171"/>
      <c r="Y757" s="171"/>
    </row>
    <row r="758" spans="7:25" ht="12.75">
      <c r="G758" s="171"/>
      <c r="U758" s="171"/>
      <c r="V758" s="171"/>
      <c r="Y758" s="171"/>
    </row>
    <row r="759" spans="7:25" ht="12.75">
      <c r="G759" s="171"/>
      <c r="U759" s="171"/>
      <c r="V759" s="171"/>
      <c r="Y759" s="171"/>
    </row>
    <row r="760" spans="7:25" ht="12.75">
      <c r="G760" s="171"/>
      <c r="U760" s="171"/>
      <c r="V760" s="171"/>
      <c r="Y760" s="171"/>
    </row>
    <row r="761" spans="7:25" ht="12.75">
      <c r="G761" s="171"/>
      <c r="U761" s="171"/>
      <c r="V761" s="171"/>
      <c r="Y761" s="171"/>
    </row>
    <row r="762" spans="7:25" ht="12.75">
      <c r="G762" s="171"/>
      <c r="U762" s="171"/>
      <c r="V762" s="171"/>
      <c r="Y762" s="171"/>
    </row>
    <row r="763" spans="7:25" ht="12.75">
      <c r="G763" s="171"/>
      <c r="U763" s="171"/>
      <c r="V763" s="171"/>
      <c r="Y763" s="171"/>
    </row>
    <row r="764" spans="7:25" ht="12.75">
      <c r="G764" s="171"/>
      <c r="U764" s="171"/>
      <c r="V764" s="171"/>
      <c r="Y764" s="171"/>
    </row>
    <row r="765" spans="7:25" ht="12.75">
      <c r="G765" s="171"/>
      <c r="U765" s="171"/>
      <c r="V765" s="171"/>
      <c r="Y765" s="171"/>
    </row>
    <row r="766" spans="7:25" ht="12.75">
      <c r="G766" s="171"/>
      <c r="U766" s="171"/>
      <c r="V766" s="171"/>
      <c r="Y766" s="171"/>
    </row>
    <row r="767" spans="7:25" ht="12.75">
      <c r="G767" s="171"/>
      <c r="U767" s="171"/>
      <c r="V767" s="171"/>
      <c r="Y767" s="171"/>
    </row>
    <row r="768" spans="7:25" ht="12.75">
      <c r="G768" s="171"/>
      <c r="U768" s="171"/>
      <c r="V768" s="171"/>
      <c r="Y768" s="171"/>
    </row>
    <row r="769" spans="7:25" ht="12.75">
      <c r="G769" s="171"/>
      <c r="U769" s="171"/>
      <c r="V769" s="171"/>
      <c r="Y769" s="171"/>
    </row>
    <row r="770" spans="7:25" ht="12.75">
      <c r="G770" s="171"/>
      <c r="U770" s="171"/>
      <c r="V770" s="171"/>
      <c r="Y770" s="171"/>
    </row>
    <row r="771" spans="7:25" ht="12.75">
      <c r="G771" s="171"/>
      <c r="U771" s="171"/>
      <c r="V771" s="171"/>
      <c r="Y771" s="171"/>
    </row>
    <row r="772" spans="7:25" ht="12.75">
      <c r="G772" s="171"/>
      <c r="U772" s="171"/>
      <c r="V772" s="171"/>
      <c r="Y772" s="171"/>
    </row>
    <row r="773" spans="7:25" ht="12.75">
      <c r="G773" s="171"/>
      <c r="U773" s="171"/>
      <c r="V773" s="171"/>
      <c r="Y773" s="171"/>
    </row>
    <row r="774" spans="7:25" ht="12.75">
      <c r="G774" s="171"/>
      <c r="U774" s="171"/>
      <c r="V774" s="171"/>
      <c r="Y774" s="171"/>
    </row>
    <row r="775" spans="7:25" ht="12.75">
      <c r="G775" s="171"/>
      <c r="U775" s="171"/>
      <c r="V775" s="171"/>
      <c r="Y775" s="171"/>
    </row>
    <row r="776" spans="7:25" ht="12.75">
      <c r="G776" s="171"/>
      <c r="U776" s="171"/>
      <c r="V776" s="171"/>
      <c r="Y776" s="171"/>
    </row>
    <row r="777" spans="7:25" ht="12.75">
      <c r="G777" s="171"/>
      <c r="U777" s="171"/>
      <c r="V777" s="171"/>
      <c r="Y777" s="171"/>
    </row>
    <row r="778" spans="7:25" ht="12.75">
      <c r="G778" s="171"/>
      <c r="U778" s="171"/>
      <c r="V778" s="171"/>
      <c r="Y778" s="171"/>
    </row>
    <row r="779" spans="7:25" ht="12.75">
      <c r="G779" s="171"/>
      <c r="U779" s="171"/>
      <c r="V779" s="171"/>
      <c r="Y779" s="171"/>
    </row>
    <row r="780" spans="7:25" ht="12.75">
      <c r="G780" s="171"/>
      <c r="U780" s="171"/>
      <c r="V780" s="171"/>
      <c r="Y780" s="171"/>
    </row>
  </sheetData>
  <printOptions horizontalCentered="1"/>
  <pageMargins left="0.5" right="0.5" top="0.75" bottom="0.5" header="0.25" footer="0"/>
  <pageSetup fitToHeight="0" horizontalDpi="600" verticalDpi="600" orientation="landscape" scale="70" r:id="rId1"/>
  <rowBreaks count="1" manualBreakCount="1">
    <brk id="378" min="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765"/>
  <sheetViews>
    <sheetView workbookViewId="0" topLeftCell="B2">
      <selection activeCell="E374" sqref="E374"/>
    </sheetView>
  </sheetViews>
  <sheetFormatPr defaultColWidth="9.140625" defaultRowHeight="12.75" outlineLevelRow="1" outlineLevelCol="1"/>
  <cols>
    <col min="1" max="1" width="0" style="171" hidden="1" customWidth="1"/>
    <col min="2" max="2" width="3.8515625" style="172" customWidth="1"/>
    <col min="3" max="3" width="52.140625" style="172" customWidth="1"/>
    <col min="4" max="4" width="2.421875" style="172" customWidth="1"/>
    <col min="5" max="7" width="19.57421875" style="172" customWidth="1"/>
    <col min="8" max="15" width="19.57421875" style="171" hidden="1" customWidth="1" outlineLevel="1"/>
    <col min="16" max="16" width="19.57421875" style="172" customWidth="1" collapsed="1"/>
    <col min="17" max="17" width="19.57421875" style="172" customWidth="1"/>
    <col min="18" max="18" width="17.8515625" style="172" customWidth="1"/>
    <col min="19" max="19" width="11.140625" style="171" hidden="1" customWidth="1"/>
    <col min="20" max="16384" width="8.00390625" style="597" customWidth="1"/>
  </cols>
  <sheetData>
    <row r="1" spans="1:19" s="595" customFormat="1" ht="12.75" hidden="1">
      <c r="A1" s="223" t="s">
        <v>1704</v>
      </c>
      <c r="B1" s="224" t="s">
        <v>726</v>
      </c>
      <c r="C1" s="224" t="s">
        <v>1705</v>
      </c>
      <c r="D1" s="224" t="s">
        <v>1706</v>
      </c>
      <c r="E1" s="224" t="s">
        <v>1707</v>
      </c>
      <c r="F1" s="224" t="s">
        <v>1708</v>
      </c>
      <c r="G1" s="224" t="s">
        <v>726</v>
      </c>
      <c r="H1" s="223" t="s">
        <v>1709</v>
      </c>
      <c r="I1" s="223" t="s">
        <v>1710</v>
      </c>
      <c r="J1" s="223" t="s">
        <v>1711</v>
      </c>
      <c r="K1" s="223" t="s">
        <v>1712</v>
      </c>
      <c r="L1" s="223" t="s">
        <v>1713</v>
      </c>
      <c r="M1" s="223" t="s">
        <v>1714</v>
      </c>
      <c r="N1" s="223" t="s">
        <v>1715</v>
      </c>
      <c r="O1" s="223" t="s">
        <v>1716</v>
      </c>
      <c r="P1" s="224" t="s">
        <v>1717</v>
      </c>
      <c r="Q1" s="224" t="s">
        <v>1718</v>
      </c>
      <c r="R1" s="224" t="s">
        <v>728</v>
      </c>
      <c r="S1" s="223"/>
    </row>
    <row r="2" spans="1:19" s="596" customFormat="1" ht="15.75" customHeight="1">
      <c r="A2" s="225"/>
      <c r="B2" s="5" t="str">
        <f>"University of Missouri - "&amp;TEXT(S3,)</f>
        <v>University of Missouri - Kansas City</v>
      </c>
      <c r="C2" s="47"/>
      <c r="D2" s="47"/>
      <c r="E2" s="47"/>
      <c r="F2" s="47"/>
      <c r="G2" s="47"/>
      <c r="H2" s="225"/>
      <c r="I2" s="225"/>
      <c r="J2" s="225"/>
      <c r="K2" s="225"/>
      <c r="L2" s="225"/>
      <c r="M2" s="225"/>
      <c r="N2" s="225"/>
      <c r="O2" s="225"/>
      <c r="P2" s="47"/>
      <c r="Q2" s="47"/>
      <c r="R2" s="226"/>
      <c r="S2" s="225"/>
    </row>
    <row r="3" spans="1:19" s="596" customFormat="1" ht="15.75" customHeight="1">
      <c r="A3" s="225"/>
      <c r="B3" s="11" t="s">
        <v>1719</v>
      </c>
      <c r="C3" s="48"/>
      <c r="D3" s="48"/>
      <c r="E3" s="48"/>
      <c r="F3" s="48"/>
      <c r="G3" s="48"/>
      <c r="H3" s="225"/>
      <c r="I3" s="225"/>
      <c r="J3" s="225"/>
      <c r="K3" s="225"/>
      <c r="L3" s="225"/>
      <c r="M3" s="225"/>
      <c r="N3" s="225"/>
      <c r="O3" s="225"/>
      <c r="P3" s="48"/>
      <c r="Q3" s="48"/>
      <c r="R3" s="180"/>
      <c r="S3" s="225" t="s">
        <v>3125</v>
      </c>
    </row>
    <row r="4" spans="1:19" s="596" customFormat="1" ht="15.75" customHeight="1">
      <c r="A4" s="225"/>
      <c r="B4" s="84" t="str">
        <f>"For the Year Ending "&amp;TEXT(S4,"MMMM DD, YYY")</f>
        <v>For the Year Ending June 30, 2004</v>
      </c>
      <c r="C4" s="48"/>
      <c r="D4" s="48"/>
      <c r="E4" s="48"/>
      <c r="F4" s="48"/>
      <c r="G4" s="48"/>
      <c r="H4" s="225"/>
      <c r="I4" s="225"/>
      <c r="J4" s="225"/>
      <c r="K4" s="225"/>
      <c r="L4" s="225"/>
      <c r="M4" s="225"/>
      <c r="N4" s="225"/>
      <c r="O4" s="225"/>
      <c r="P4" s="48"/>
      <c r="Q4" s="48"/>
      <c r="R4" s="180"/>
      <c r="S4" s="225" t="s">
        <v>2976</v>
      </c>
    </row>
    <row r="5" spans="1:19" s="596" customFormat="1" ht="12.75" customHeight="1">
      <c r="A5" s="225"/>
      <c r="B5" s="227"/>
      <c r="C5" s="228"/>
      <c r="D5" s="179"/>
      <c r="E5" s="228"/>
      <c r="F5" s="228"/>
      <c r="G5" s="228"/>
      <c r="H5" s="225"/>
      <c r="I5" s="225"/>
      <c r="J5" s="225"/>
      <c r="K5" s="225"/>
      <c r="L5" s="225"/>
      <c r="M5" s="225"/>
      <c r="N5" s="225"/>
      <c r="O5" s="225"/>
      <c r="P5" s="228"/>
      <c r="Q5" s="228"/>
      <c r="R5" s="229"/>
      <c r="S5" s="225"/>
    </row>
    <row r="6" spans="2:18" ht="12.75">
      <c r="B6" s="230"/>
      <c r="C6" s="231"/>
      <c r="D6" s="232"/>
      <c r="E6" s="202" t="s">
        <v>1720</v>
      </c>
      <c r="F6" s="203"/>
      <c r="G6" s="203"/>
      <c r="P6" s="203"/>
      <c r="Q6" s="204"/>
      <c r="R6" s="143"/>
    </row>
    <row r="7" spans="1:19" s="598" customFormat="1" ht="45" customHeight="1">
      <c r="A7" s="233" t="s">
        <v>727</v>
      </c>
      <c r="B7" s="234"/>
      <c r="C7" s="235"/>
      <c r="D7" s="236"/>
      <c r="E7" s="237" t="s">
        <v>1721</v>
      </c>
      <c r="F7" s="237" t="s">
        <v>1722</v>
      </c>
      <c r="G7" s="237" t="s">
        <v>1723</v>
      </c>
      <c r="H7" s="233" t="s">
        <v>1724</v>
      </c>
      <c r="I7" s="233" t="s">
        <v>1725</v>
      </c>
      <c r="J7" s="233" t="s">
        <v>1726</v>
      </c>
      <c r="K7" s="233" t="s">
        <v>1727</v>
      </c>
      <c r="L7" s="233" t="s">
        <v>1728</v>
      </c>
      <c r="M7" s="233" t="s">
        <v>1729</v>
      </c>
      <c r="N7" s="233" t="s">
        <v>1730</v>
      </c>
      <c r="O7" s="233" t="s">
        <v>1731</v>
      </c>
      <c r="P7" s="237" t="s">
        <v>1732</v>
      </c>
      <c r="Q7" s="237" t="s">
        <v>1733</v>
      </c>
      <c r="R7" s="553" t="s">
        <v>1734</v>
      </c>
      <c r="S7" s="233"/>
    </row>
    <row r="8" spans="1:54" s="600" customFormat="1" ht="12.75" customHeight="1">
      <c r="A8" s="209"/>
      <c r="B8" s="202"/>
      <c r="C8" s="203"/>
      <c r="D8" s="204"/>
      <c r="E8" s="188"/>
      <c r="F8" s="188"/>
      <c r="G8" s="188"/>
      <c r="H8" s="209"/>
      <c r="I8" s="209"/>
      <c r="J8" s="209"/>
      <c r="K8" s="209"/>
      <c r="L8" s="209"/>
      <c r="M8" s="209"/>
      <c r="N8" s="209"/>
      <c r="O8" s="209"/>
      <c r="P8" s="188"/>
      <c r="Q8" s="188"/>
      <c r="R8" s="188"/>
      <c r="S8" s="208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</row>
    <row r="9" spans="1:54" s="600" customFormat="1" ht="12.75" customHeight="1">
      <c r="A9" s="241"/>
      <c r="B9" s="61" t="s">
        <v>771</v>
      </c>
      <c r="C9" s="207"/>
      <c r="D9" s="62"/>
      <c r="E9" s="185"/>
      <c r="F9" s="185"/>
      <c r="G9" s="185"/>
      <c r="H9" s="241"/>
      <c r="I9" s="241"/>
      <c r="J9" s="241"/>
      <c r="K9" s="241"/>
      <c r="L9" s="241"/>
      <c r="M9" s="241"/>
      <c r="N9" s="241"/>
      <c r="O9" s="241"/>
      <c r="P9" s="185"/>
      <c r="Q9" s="185"/>
      <c r="R9" s="185"/>
      <c r="S9" s="242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</row>
    <row r="10" spans="1:54" s="595" customFormat="1" ht="12.75" hidden="1" outlineLevel="1">
      <c r="A10" s="223" t="s">
        <v>1735</v>
      </c>
      <c r="B10" s="224"/>
      <c r="C10" s="224" t="s">
        <v>1736</v>
      </c>
      <c r="D10" s="224" t="s">
        <v>1737</v>
      </c>
      <c r="E10" s="224">
        <v>1480136.6</v>
      </c>
      <c r="F10" s="224">
        <v>725.7</v>
      </c>
      <c r="G10" s="224"/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4">
        <v>0</v>
      </c>
      <c r="Q10" s="224">
        <v>0</v>
      </c>
      <c r="R10" s="224">
        <f aca="true" t="shared" si="0" ref="R10:R41">E10+F10+G10+P10+Q10</f>
        <v>1480862.3</v>
      </c>
      <c r="S10" s="223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</row>
    <row r="11" spans="1:54" s="595" customFormat="1" ht="12.75" hidden="1" outlineLevel="1">
      <c r="A11" s="223" t="s">
        <v>1738</v>
      </c>
      <c r="B11" s="224"/>
      <c r="C11" s="224" t="s">
        <v>1739</v>
      </c>
      <c r="D11" s="224" t="s">
        <v>1740</v>
      </c>
      <c r="E11" s="224">
        <v>1197066.33</v>
      </c>
      <c r="F11" s="224">
        <v>-1005.6</v>
      </c>
      <c r="G11" s="224"/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4">
        <v>0</v>
      </c>
      <c r="Q11" s="224">
        <v>0</v>
      </c>
      <c r="R11" s="224">
        <f t="shared" si="0"/>
        <v>1196060.73</v>
      </c>
      <c r="S11" s="223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</row>
    <row r="12" spans="1:54" s="595" customFormat="1" ht="12.75" hidden="1" outlineLevel="1">
      <c r="A12" s="223" t="s">
        <v>1741</v>
      </c>
      <c r="B12" s="224"/>
      <c r="C12" s="224" t="s">
        <v>1742</v>
      </c>
      <c r="D12" s="224" t="s">
        <v>1743</v>
      </c>
      <c r="E12" s="224">
        <v>11088279.46</v>
      </c>
      <c r="F12" s="224">
        <v>-5458.53</v>
      </c>
      <c r="G12" s="224"/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4">
        <v>0</v>
      </c>
      <c r="Q12" s="224">
        <v>0</v>
      </c>
      <c r="R12" s="224">
        <f t="shared" si="0"/>
        <v>11082820.930000002</v>
      </c>
      <c r="S12" s="223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</row>
    <row r="13" spans="1:54" s="595" customFormat="1" ht="12.75" hidden="1" outlineLevel="1">
      <c r="A13" s="223" t="s">
        <v>1744</v>
      </c>
      <c r="B13" s="224"/>
      <c r="C13" s="224" t="s">
        <v>1745</v>
      </c>
      <c r="D13" s="224" t="s">
        <v>1746</v>
      </c>
      <c r="E13" s="224">
        <v>7172747.05</v>
      </c>
      <c r="F13" s="224">
        <v>-3940.65</v>
      </c>
      <c r="G13" s="224"/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4">
        <v>0</v>
      </c>
      <c r="Q13" s="224">
        <v>0</v>
      </c>
      <c r="R13" s="224">
        <f t="shared" si="0"/>
        <v>7168806.399999999</v>
      </c>
      <c r="S13" s="223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</row>
    <row r="14" spans="1:54" s="595" customFormat="1" ht="12.75" hidden="1" outlineLevel="1">
      <c r="A14" s="223" t="s">
        <v>1747</v>
      </c>
      <c r="B14" s="224"/>
      <c r="C14" s="224" t="s">
        <v>1748</v>
      </c>
      <c r="D14" s="224" t="s">
        <v>1749</v>
      </c>
      <c r="E14" s="224">
        <v>10671004.37</v>
      </c>
      <c r="F14" s="224">
        <v>78452</v>
      </c>
      <c r="G14" s="224"/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4">
        <v>0</v>
      </c>
      <c r="Q14" s="224">
        <v>0</v>
      </c>
      <c r="R14" s="224">
        <f t="shared" si="0"/>
        <v>10749456.37</v>
      </c>
      <c r="S14" s="223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</row>
    <row r="15" spans="1:54" s="595" customFormat="1" ht="12.75" hidden="1" outlineLevel="1">
      <c r="A15" s="223" t="s">
        <v>1750</v>
      </c>
      <c r="B15" s="224"/>
      <c r="C15" s="224" t="s">
        <v>1751</v>
      </c>
      <c r="D15" s="224" t="s">
        <v>1752</v>
      </c>
      <c r="E15" s="224">
        <v>6661404.75</v>
      </c>
      <c r="F15" s="224">
        <v>-3019.19</v>
      </c>
      <c r="G15" s="224"/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4">
        <v>0</v>
      </c>
      <c r="Q15" s="224">
        <v>0</v>
      </c>
      <c r="R15" s="224">
        <f t="shared" si="0"/>
        <v>6658385.56</v>
      </c>
      <c r="S15" s="223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</row>
    <row r="16" spans="1:54" s="595" customFormat="1" ht="12.75" hidden="1" outlineLevel="1">
      <c r="A16" s="223" t="s">
        <v>1753</v>
      </c>
      <c r="B16" s="224"/>
      <c r="C16" s="224" t="s">
        <v>1754</v>
      </c>
      <c r="D16" s="224" t="s">
        <v>1755</v>
      </c>
      <c r="E16" s="224">
        <v>0</v>
      </c>
      <c r="F16" s="224">
        <v>1528.5</v>
      </c>
      <c r="G16" s="224"/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4">
        <v>0</v>
      </c>
      <c r="Q16" s="224">
        <v>0</v>
      </c>
      <c r="R16" s="224">
        <f t="shared" si="0"/>
        <v>1528.5</v>
      </c>
      <c r="S16" s="223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</row>
    <row r="17" spans="1:54" s="595" customFormat="1" ht="12.75" hidden="1" outlineLevel="1">
      <c r="A17" s="223" t="s">
        <v>1756</v>
      </c>
      <c r="B17" s="224"/>
      <c r="C17" s="224" t="s">
        <v>1757</v>
      </c>
      <c r="D17" s="224" t="s">
        <v>1758</v>
      </c>
      <c r="E17" s="224">
        <v>0</v>
      </c>
      <c r="F17" s="224">
        <v>583.8</v>
      </c>
      <c r="G17" s="224"/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4">
        <v>0</v>
      </c>
      <c r="Q17" s="224">
        <v>0</v>
      </c>
      <c r="R17" s="224">
        <f t="shared" si="0"/>
        <v>583.8</v>
      </c>
      <c r="S17" s="223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</row>
    <row r="18" spans="1:54" s="595" customFormat="1" ht="12.75" hidden="1" outlineLevel="1">
      <c r="A18" s="223" t="s">
        <v>1759</v>
      </c>
      <c r="B18" s="224"/>
      <c r="C18" s="224" t="s">
        <v>1760</v>
      </c>
      <c r="D18" s="224" t="s">
        <v>1761</v>
      </c>
      <c r="E18" s="224">
        <v>0</v>
      </c>
      <c r="F18" s="224">
        <v>2919</v>
      </c>
      <c r="G18" s="224"/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4">
        <v>0</v>
      </c>
      <c r="Q18" s="224">
        <v>0</v>
      </c>
      <c r="R18" s="224">
        <f t="shared" si="0"/>
        <v>2919</v>
      </c>
      <c r="S18" s="223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</row>
    <row r="19" spans="1:54" s="595" customFormat="1" ht="12.75" hidden="1" outlineLevel="1">
      <c r="A19" s="223" t="s">
        <v>1762</v>
      </c>
      <c r="B19" s="224"/>
      <c r="C19" s="224" t="s">
        <v>1763</v>
      </c>
      <c r="D19" s="224" t="s">
        <v>1764</v>
      </c>
      <c r="E19" s="224">
        <v>2391239.59</v>
      </c>
      <c r="F19" s="224">
        <v>0</v>
      </c>
      <c r="G19" s="224"/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4">
        <v>0</v>
      </c>
      <c r="Q19" s="224">
        <v>0</v>
      </c>
      <c r="R19" s="224">
        <f t="shared" si="0"/>
        <v>2391239.59</v>
      </c>
      <c r="S19" s="223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</row>
    <row r="20" spans="1:54" s="595" customFormat="1" ht="12.75" hidden="1" outlineLevel="1">
      <c r="A20" s="223" t="s">
        <v>1765</v>
      </c>
      <c r="B20" s="224"/>
      <c r="C20" s="224" t="s">
        <v>1766</v>
      </c>
      <c r="D20" s="224" t="s">
        <v>1767</v>
      </c>
      <c r="E20" s="224">
        <v>1861940.61</v>
      </c>
      <c r="F20" s="224">
        <v>0</v>
      </c>
      <c r="G20" s="224"/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4">
        <v>0</v>
      </c>
      <c r="Q20" s="224">
        <v>0</v>
      </c>
      <c r="R20" s="224">
        <f t="shared" si="0"/>
        <v>1861940.61</v>
      </c>
      <c r="S20" s="223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</row>
    <row r="21" spans="1:54" s="595" customFormat="1" ht="12.75" hidden="1" outlineLevel="1">
      <c r="A21" s="223" t="s">
        <v>1768</v>
      </c>
      <c r="B21" s="224"/>
      <c r="C21" s="224" t="s">
        <v>1769</v>
      </c>
      <c r="D21" s="224" t="s">
        <v>1770</v>
      </c>
      <c r="E21" s="224">
        <v>9118805.38</v>
      </c>
      <c r="F21" s="224">
        <v>0</v>
      </c>
      <c r="G21" s="224"/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4">
        <v>0</v>
      </c>
      <c r="Q21" s="224">
        <v>0</v>
      </c>
      <c r="R21" s="224">
        <f t="shared" si="0"/>
        <v>9118805.38</v>
      </c>
      <c r="S21" s="223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</row>
    <row r="22" spans="1:54" s="595" customFormat="1" ht="12.75" hidden="1" outlineLevel="1">
      <c r="A22" s="223" t="s">
        <v>1771</v>
      </c>
      <c r="B22" s="224"/>
      <c r="C22" s="224" t="s">
        <v>1772</v>
      </c>
      <c r="D22" s="224" t="s">
        <v>1773</v>
      </c>
      <c r="E22" s="224">
        <v>5848586.91</v>
      </c>
      <c r="F22" s="224">
        <v>0</v>
      </c>
      <c r="G22" s="224"/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4">
        <v>0</v>
      </c>
      <c r="Q22" s="224">
        <v>0</v>
      </c>
      <c r="R22" s="224">
        <f t="shared" si="0"/>
        <v>5848586.91</v>
      </c>
      <c r="S22" s="223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</row>
    <row r="23" spans="1:54" s="595" customFormat="1" ht="12.75" hidden="1" outlineLevel="1">
      <c r="A23" s="223" t="s">
        <v>1774</v>
      </c>
      <c r="B23" s="224"/>
      <c r="C23" s="224" t="s">
        <v>1775</v>
      </c>
      <c r="D23" s="224" t="s">
        <v>1776</v>
      </c>
      <c r="E23" s="224">
        <v>8814031.2</v>
      </c>
      <c r="F23" s="224">
        <v>0</v>
      </c>
      <c r="G23" s="224"/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4">
        <v>0</v>
      </c>
      <c r="Q23" s="224">
        <v>0</v>
      </c>
      <c r="R23" s="224">
        <f t="shared" si="0"/>
        <v>8814031.2</v>
      </c>
      <c r="S23" s="223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</row>
    <row r="24" spans="1:54" s="595" customFormat="1" ht="12.75" hidden="1" outlineLevel="1">
      <c r="A24" s="223" t="s">
        <v>1777</v>
      </c>
      <c r="B24" s="224"/>
      <c r="C24" s="224" t="s">
        <v>1778</v>
      </c>
      <c r="D24" s="224" t="s">
        <v>1779</v>
      </c>
      <c r="E24" s="224">
        <v>5775352.6</v>
      </c>
      <c r="F24" s="224">
        <v>0</v>
      </c>
      <c r="G24" s="224"/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4">
        <v>0</v>
      </c>
      <c r="Q24" s="224">
        <v>0</v>
      </c>
      <c r="R24" s="224">
        <f t="shared" si="0"/>
        <v>5775352.6</v>
      </c>
      <c r="S24" s="223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</row>
    <row r="25" spans="1:54" s="595" customFormat="1" ht="12.75" hidden="1" outlineLevel="1">
      <c r="A25" s="223" t="s">
        <v>1780</v>
      </c>
      <c r="B25" s="224"/>
      <c r="C25" s="224" t="s">
        <v>1781</v>
      </c>
      <c r="D25" s="224" t="s">
        <v>1782</v>
      </c>
      <c r="E25" s="224">
        <v>1156645.92</v>
      </c>
      <c r="F25" s="224">
        <v>-628.8</v>
      </c>
      <c r="G25" s="224"/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4">
        <v>0</v>
      </c>
      <c r="Q25" s="224">
        <v>0</v>
      </c>
      <c r="R25" s="224">
        <f t="shared" si="0"/>
        <v>1156017.1199999999</v>
      </c>
      <c r="S25" s="223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</row>
    <row r="26" spans="1:54" s="595" customFormat="1" ht="12.75" hidden="1" outlineLevel="1">
      <c r="A26" s="223" t="s">
        <v>1783</v>
      </c>
      <c r="B26" s="224"/>
      <c r="C26" s="224" t="s">
        <v>1784</v>
      </c>
      <c r="D26" s="224" t="s">
        <v>1785</v>
      </c>
      <c r="E26" s="224">
        <v>1326447.64</v>
      </c>
      <c r="F26" s="224">
        <v>419.2</v>
      </c>
      <c r="G26" s="224"/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4">
        <v>0</v>
      </c>
      <c r="Q26" s="224">
        <v>0</v>
      </c>
      <c r="R26" s="224">
        <f t="shared" si="0"/>
        <v>1326866.8399999999</v>
      </c>
      <c r="S26" s="223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</row>
    <row r="27" spans="1:54" s="595" customFormat="1" ht="12.75" hidden="1" outlineLevel="1">
      <c r="A27" s="223" t="s">
        <v>1786</v>
      </c>
      <c r="B27" s="224"/>
      <c r="C27" s="224" t="s">
        <v>2638</v>
      </c>
      <c r="D27" s="224" t="s">
        <v>2639</v>
      </c>
      <c r="E27" s="224">
        <v>2982983.59</v>
      </c>
      <c r="F27" s="224">
        <v>260.26</v>
      </c>
      <c r="G27" s="224"/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4">
        <v>0</v>
      </c>
      <c r="Q27" s="224">
        <v>0</v>
      </c>
      <c r="R27" s="224">
        <f t="shared" si="0"/>
        <v>2983243.8499999996</v>
      </c>
      <c r="S27" s="223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</row>
    <row r="28" spans="1:54" s="595" customFormat="1" ht="12.75" hidden="1" outlineLevel="1">
      <c r="A28" s="223" t="s">
        <v>2640</v>
      </c>
      <c r="B28" s="224"/>
      <c r="C28" s="224" t="s">
        <v>2641</v>
      </c>
      <c r="D28" s="224" t="s">
        <v>2642</v>
      </c>
      <c r="E28" s="224">
        <v>5347072.52</v>
      </c>
      <c r="F28" s="224">
        <v>473.2</v>
      </c>
      <c r="G28" s="224"/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4">
        <v>0</v>
      </c>
      <c r="Q28" s="224">
        <v>0</v>
      </c>
      <c r="R28" s="224">
        <f t="shared" si="0"/>
        <v>5347545.72</v>
      </c>
      <c r="S28" s="223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</row>
    <row r="29" spans="1:54" s="595" customFormat="1" ht="12.75" hidden="1" outlineLevel="1">
      <c r="A29" s="223" t="s">
        <v>2643</v>
      </c>
      <c r="B29" s="224"/>
      <c r="C29" s="224" t="s">
        <v>2644</v>
      </c>
      <c r="D29" s="224" t="s">
        <v>2645</v>
      </c>
      <c r="E29" s="224">
        <v>2786806.91</v>
      </c>
      <c r="F29" s="224">
        <v>40115.53</v>
      </c>
      <c r="G29" s="224"/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4">
        <v>0</v>
      </c>
      <c r="Q29" s="224">
        <v>0</v>
      </c>
      <c r="R29" s="224">
        <f t="shared" si="0"/>
        <v>2826922.44</v>
      </c>
      <c r="S29" s="223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</row>
    <row r="30" spans="1:54" s="595" customFormat="1" ht="12.75" hidden="1" outlineLevel="1">
      <c r="A30" s="223" t="s">
        <v>2646</v>
      </c>
      <c r="B30" s="224"/>
      <c r="C30" s="224" t="s">
        <v>2647</v>
      </c>
      <c r="D30" s="224" t="s">
        <v>2648</v>
      </c>
      <c r="E30" s="224">
        <v>5052089.79</v>
      </c>
      <c r="F30" s="224">
        <v>28462.98</v>
      </c>
      <c r="G30" s="224"/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4">
        <v>0</v>
      </c>
      <c r="Q30" s="224">
        <v>0</v>
      </c>
      <c r="R30" s="224">
        <f t="shared" si="0"/>
        <v>5080552.7700000005</v>
      </c>
      <c r="S30" s="223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</row>
    <row r="31" spans="1:54" s="595" customFormat="1" ht="12.75" hidden="1" outlineLevel="1">
      <c r="A31" s="223" t="s">
        <v>2649</v>
      </c>
      <c r="B31" s="224"/>
      <c r="C31" s="224" t="s">
        <v>2650</v>
      </c>
      <c r="D31" s="224" t="s">
        <v>2651</v>
      </c>
      <c r="E31" s="224">
        <v>0</v>
      </c>
      <c r="F31" s="224">
        <v>48212.4</v>
      </c>
      <c r="G31" s="224"/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4">
        <v>0</v>
      </c>
      <c r="Q31" s="224">
        <v>0</v>
      </c>
      <c r="R31" s="224">
        <f t="shared" si="0"/>
        <v>48212.4</v>
      </c>
      <c r="S31" s="223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</row>
    <row r="32" spans="1:54" s="595" customFormat="1" ht="12.75" hidden="1" outlineLevel="1">
      <c r="A32" s="223" t="s">
        <v>2652</v>
      </c>
      <c r="B32" s="224"/>
      <c r="C32" s="224" t="s">
        <v>2653</v>
      </c>
      <c r="D32" s="224" t="s">
        <v>2654</v>
      </c>
      <c r="E32" s="224">
        <v>0</v>
      </c>
      <c r="F32" s="224">
        <v>29867.2</v>
      </c>
      <c r="G32" s="224"/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4">
        <v>0</v>
      </c>
      <c r="Q32" s="224">
        <v>0</v>
      </c>
      <c r="R32" s="224">
        <f t="shared" si="0"/>
        <v>29867.2</v>
      </c>
      <c r="S32" s="223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</row>
    <row r="33" spans="1:54" s="595" customFormat="1" ht="12.75" hidden="1" outlineLevel="1">
      <c r="A33" s="223" t="s">
        <v>2655</v>
      </c>
      <c r="B33" s="224"/>
      <c r="C33" s="224" t="s">
        <v>2656</v>
      </c>
      <c r="D33" s="224" t="s">
        <v>2657</v>
      </c>
      <c r="E33" s="224">
        <v>0</v>
      </c>
      <c r="F33" s="224">
        <v>416607.39</v>
      </c>
      <c r="G33" s="224"/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4">
        <v>0</v>
      </c>
      <c r="Q33" s="224">
        <v>0</v>
      </c>
      <c r="R33" s="224">
        <f t="shared" si="0"/>
        <v>416607.39</v>
      </c>
      <c r="S33" s="223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</row>
    <row r="34" spans="1:54" s="595" customFormat="1" ht="12.75" hidden="1" outlineLevel="1">
      <c r="A34" s="223" t="s">
        <v>3370</v>
      </c>
      <c r="B34" s="224"/>
      <c r="C34" s="224" t="s">
        <v>3371</v>
      </c>
      <c r="D34" s="224" t="s">
        <v>3372</v>
      </c>
      <c r="E34" s="224">
        <v>0</v>
      </c>
      <c r="F34" s="224">
        <v>1050.67</v>
      </c>
      <c r="G34" s="224"/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4">
        <v>0</v>
      </c>
      <c r="Q34" s="224">
        <v>0</v>
      </c>
      <c r="R34" s="224">
        <f t="shared" si="0"/>
        <v>1050.67</v>
      </c>
      <c r="S34" s="223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</row>
    <row r="35" spans="1:54" s="595" customFormat="1" ht="12.75" hidden="1" outlineLevel="1">
      <c r="A35" s="223" t="s">
        <v>2658</v>
      </c>
      <c r="B35" s="224"/>
      <c r="C35" s="224" t="s">
        <v>2659</v>
      </c>
      <c r="D35" s="224" t="s">
        <v>2660</v>
      </c>
      <c r="E35" s="224">
        <v>92921.88</v>
      </c>
      <c r="F35" s="224">
        <v>3931907.08</v>
      </c>
      <c r="G35" s="224"/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4">
        <v>0</v>
      </c>
      <c r="Q35" s="224">
        <v>0</v>
      </c>
      <c r="R35" s="224">
        <f t="shared" si="0"/>
        <v>4024828.96</v>
      </c>
      <c r="S35" s="223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</row>
    <row r="36" spans="1:54" s="595" customFormat="1" ht="12.75" hidden="1" outlineLevel="1">
      <c r="A36" s="223" t="s">
        <v>977</v>
      </c>
      <c r="B36" s="224"/>
      <c r="C36" s="224" t="s">
        <v>978</v>
      </c>
      <c r="D36" s="224" t="s">
        <v>979</v>
      </c>
      <c r="E36" s="224">
        <v>0</v>
      </c>
      <c r="F36" s="224">
        <v>93150.07</v>
      </c>
      <c r="G36" s="224"/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4">
        <v>0</v>
      </c>
      <c r="Q36" s="224">
        <v>0</v>
      </c>
      <c r="R36" s="224">
        <f t="shared" si="0"/>
        <v>93150.07</v>
      </c>
      <c r="S36" s="223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</row>
    <row r="37" spans="1:54" s="595" customFormat="1" ht="12.75" hidden="1" outlineLevel="1">
      <c r="A37" s="223" t="s">
        <v>2661</v>
      </c>
      <c r="B37" s="224"/>
      <c r="C37" s="224" t="s">
        <v>2662</v>
      </c>
      <c r="D37" s="224" t="s">
        <v>2663</v>
      </c>
      <c r="E37" s="224">
        <v>0</v>
      </c>
      <c r="F37" s="224">
        <v>701463.58</v>
      </c>
      <c r="G37" s="224"/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4">
        <v>0</v>
      </c>
      <c r="Q37" s="224">
        <v>0</v>
      </c>
      <c r="R37" s="224">
        <f t="shared" si="0"/>
        <v>701463.58</v>
      </c>
      <c r="S37" s="223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</row>
    <row r="38" spans="1:54" s="595" customFormat="1" ht="12.75" hidden="1" outlineLevel="1">
      <c r="A38" s="223" t="s">
        <v>2664</v>
      </c>
      <c r="B38" s="224"/>
      <c r="C38" s="224" t="s">
        <v>2665</v>
      </c>
      <c r="D38" s="224" t="s">
        <v>2666</v>
      </c>
      <c r="E38" s="224">
        <v>0</v>
      </c>
      <c r="F38" s="224">
        <v>73126.33</v>
      </c>
      <c r="G38" s="224"/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4">
        <v>0</v>
      </c>
      <c r="Q38" s="224">
        <v>0</v>
      </c>
      <c r="R38" s="224">
        <f t="shared" si="0"/>
        <v>73126.33</v>
      </c>
      <c r="S38" s="223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</row>
    <row r="39" spans="1:54" s="595" customFormat="1" ht="12.75" hidden="1" outlineLevel="1">
      <c r="A39" s="223" t="s">
        <v>2667</v>
      </c>
      <c r="B39" s="224"/>
      <c r="C39" s="224" t="s">
        <v>2668</v>
      </c>
      <c r="D39" s="224" t="s">
        <v>2669</v>
      </c>
      <c r="E39" s="224">
        <v>0</v>
      </c>
      <c r="F39" s="224">
        <v>218050</v>
      </c>
      <c r="G39" s="224"/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4">
        <v>0</v>
      </c>
      <c r="Q39" s="224">
        <v>0</v>
      </c>
      <c r="R39" s="224">
        <f t="shared" si="0"/>
        <v>218050</v>
      </c>
      <c r="S39" s="223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</row>
    <row r="40" spans="1:54" s="595" customFormat="1" ht="12.75" hidden="1" outlineLevel="1">
      <c r="A40" s="223" t="s">
        <v>2670</v>
      </c>
      <c r="B40" s="224"/>
      <c r="C40" s="224" t="s">
        <v>2671</v>
      </c>
      <c r="D40" s="224" t="s">
        <v>2672</v>
      </c>
      <c r="E40" s="224">
        <v>1560340.79</v>
      </c>
      <c r="F40" s="224">
        <v>0</v>
      </c>
      <c r="G40" s="224"/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4">
        <v>0</v>
      </c>
      <c r="Q40" s="224">
        <v>0</v>
      </c>
      <c r="R40" s="224">
        <f t="shared" si="0"/>
        <v>1560340.79</v>
      </c>
      <c r="S40" s="223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</row>
    <row r="41" spans="1:54" s="595" customFormat="1" ht="12.75" hidden="1" outlineLevel="1">
      <c r="A41" s="223" t="s">
        <v>980</v>
      </c>
      <c r="B41" s="224"/>
      <c r="C41" s="224" t="s">
        <v>981</v>
      </c>
      <c r="D41" s="224" t="s">
        <v>982</v>
      </c>
      <c r="E41" s="224">
        <v>502.8</v>
      </c>
      <c r="F41" s="224">
        <v>0</v>
      </c>
      <c r="G41" s="224"/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0</v>
      </c>
      <c r="P41" s="224">
        <v>0</v>
      </c>
      <c r="Q41" s="224">
        <v>0</v>
      </c>
      <c r="R41" s="224">
        <f t="shared" si="0"/>
        <v>502.8</v>
      </c>
      <c r="S41" s="223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</row>
    <row r="42" spans="1:54" s="595" customFormat="1" ht="12.75" hidden="1" outlineLevel="1">
      <c r="A42" s="223" t="s">
        <v>2673</v>
      </c>
      <c r="B42" s="224"/>
      <c r="C42" s="224" t="s">
        <v>2674</v>
      </c>
      <c r="D42" s="224" t="s">
        <v>2675</v>
      </c>
      <c r="E42" s="224">
        <v>9363.25</v>
      </c>
      <c r="F42" s="224">
        <v>-2658.94</v>
      </c>
      <c r="G42" s="224"/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0</v>
      </c>
      <c r="P42" s="224">
        <v>0</v>
      </c>
      <c r="Q42" s="224">
        <v>0</v>
      </c>
      <c r="R42" s="224">
        <f aca="true" t="shared" si="1" ref="R42:R73">E42+F42+G42+P42+Q42</f>
        <v>6704.3099999999995</v>
      </c>
      <c r="S42" s="223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</row>
    <row r="43" spans="1:54" s="595" customFormat="1" ht="12.75" hidden="1" outlineLevel="1">
      <c r="A43" s="223" t="s">
        <v>2676</v>
      </c>
      <c r="B43" s="224"/>
      <c r="C43" s="224" t="s">
        <v>2677</v>
      </c>
      <c r="D43" s="224" t="s">
        <v>2678</v>
      </c>
      <c r="E43" s="224">
        <v>-25.95</v>
      </c>
      <c r="F43" s="224">
        <v>-47293.76</v>
      </c>
      <c r="G43" s="224"/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4">
        <v>0</v>
      </c>
      <c r="Q43" s="224">
        <v>0</v>
      </c>
      <c r="R43" s="224">
        <f t="shared" si="1"/>
        <v>-47319.71</v>
      </c>
      <c r="S43" s="223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</row>
    <row r="44" spans="1:54" s="595" customFormat="1" ht="12.75" hidden="1" outlineLevel="1">
      <c r="A44" s="223" t="s">
        <v>2679</v>
      </c>
      <c r="B44" s="224"/>
      <c r="C44" s="224" t="s">
        <v>2680</v>
      </c>
      <c r="D44" s="224" t="s">
        <v>2681</v>
      </c>
      <c r="E44" s="224">
        <v>2508.77</v>
      </c>
      <c r="F44" s="224">
        <v>0</v>
      </c>
      <c r="G44" s="224"/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4">
        <v>0</v>
      </c>
      <c r="Q44" s="224">
        <v>0</v>
      </c>
      <c r="R44" s="224">
        <f t="shared" si="1"/>
        <v>2508.77</v>
      </c>
      <c r="S44" s="223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</row>
    <row r="45" spans="1:54" s="595" customFormat="1" ht="12.75" hidden="1" outlineLevel="1">
      <c r="A45" s="223" t="s">
        <v>2682</v>
      </c>
      <c r="B45" s="224"/>
      <c r="C45" s="224" t="s">
        <v>2683</v>
      </c>
      <c r="D45" s="224" t="s">
        <v>2684</v>
      </c>
      <c r="E45" s="224">
        <v>467432.66</v>
      </c>
      <c r="F45" s="224">
        <v>49952.7</v>
      </c>
      <c r="G45" s="224"/>
      <c r="H45" s="223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223">
        <v>0</v>
      </c>
      <c r="O45" s="223">
        <v>0</v>
      </c>
      <c r="P45" s="224">
        <v>0</v>
      </c>
      <c r="Q45" s="224">
        <v>0</v>
      </c>
      <c r="R45" s="224">
        <f t="shared" si="1"/>
        <v>517385.36</v>
      </c>
      <c r="S45" s="223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</row>
    <row r="46" spans="1:54" s="595" customFormat="1" ht="12.75" hidden="1" outlineLevel="1">
      <c r="A46" s="223" t="s">
        <v>983</v>
      </c>
      <c r="B46" s="224"/>
      <c r="C46" s="224" t="s">
        <v>984</v>
      </c>
      <c r="D46" s="224" t="s">
        <v>985</v>
      </c>
      <c r="E46" s="224">
        <v>32579</v>
      </c>
      <c r="F46" s="224">
        <v>0</v>
      </c>
      <c r="G46" s="224"/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  <c r="P46" s="224">
        <v>0</v>
      </c>
      <c r="Q46" s="224">
        <v>0</v>
      </c>
      <c r="R46" s="224">
        <f t="shared" si="1"/>
        <v>32579</v>
      </c>
      <c r="S46" s="223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</row>
    <row r="47" spans="1:54" s="595" customFormat="1" ht="12.75" hidden="1" outlineLevel="1">
      <c r="A47" s="223" t="s">
        <v>2685</v>
      </c>
      <c r="B47" s="224"/>
      <c r="C47" s="224" t="s">
        <v>2686</v>
      </c>
      <c r="D47" s="224" t="s">
        <v>2687</v>
      </c>
      <c r="E47" s="224">
        <v>334306.29</v>
      </c>
      <c r="F47" s="224">
        <v>0</v>
      </c>
      <c r="G47" s="224"/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  <c r="P47" s="224">
        <v>0</v>
      </c>
      <c r="Q47" s="224">
        <v>0</v>
      </c>
      <c r="R47" s="224">
        <f t="shared" si="1"/>
        <v>334306.29</v>
      </c>
      <c r="S47" s="223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</row>
    <row r="48" spans="1:54" s="595" customFormat="1" ht="12.75" hidden="1" outlineLevel="1">
      <c r="A48" s="223" t="s">
        <v>2688</v>
      </c>
      <c r="B48" s="224"/>
      <c r="C48" s="224" t="s">
        <v>2689</v>
      </c>
      <c r="D48" s="224" t="s">
        <v>2690</v>
      </c>
      <c r="E48" s="224">
        <v>1199.4</v>
      </c>
      <c r="F48" s="224">
        <v>0</v>
      </c>
      <c r="G48" s="224"/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24">
        <v>0</v>
      </c>
      <c r="Q48" s="224">
        <v>0</v>
      </c>
      <c r="R48" s="224">
        <f t="shared" si="1"/>
        <v>1199.4</v>
      </c>
      <c r="S48" s="223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</row>
    <row r="49" spans="1:54" s="595" customFormat="1" ht="12.75" hidden="1" outlineLevel="1">
      <c r="A49" s="223" t="s">
        <v>986</v>
      </c>
      <c r="B49" s="224"/>
      <c r="C49" s="224" t="s">
        <v>987</v>
      </c>
      <c r="D49" s="224" t="s">
        <v>988</v>
      </c>
      <c r="E49" s="224">
        <v>1584</v>
      </c>
      <c r="F49" s="224">
        <v>0</v>
      </c>
      <c r="G49" s="224"/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4">
        <v>0</v>
      </c>
      <c r="Q49" s="224">
        <v>0</v>
      </c>
      <c r="R49" s="224">
        <f t="shared" si="1"/>
        <v>1584</v>
      </c>
      <c r="S49" s="223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</row>
    <row r="50" spans="1:54" s="595" customFormat="1" ht="12.75" hidden="1" outlineLevel="1">
      <c r="A50" s="223" t="s">
        <v>2691</v>
      </c>
      <c r="B50" s="224"/>
      <c r="C50" s="224" t="s">
        <v>2692</v>
      </c>
      <c r="D50" s="224" t="s">
        <v>2693</v>
      </c>
      <c r="E50" s="224">
        <v>111658.98</v>
      </c>
      <c r="F50" s="224">
        <v>0</v>
      </c>
      <c r="G50" s="224"/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4">
        <v>0</v>
      </c>
      <c r="Q50" s="224">
        <v>0</v>
      </c>
      <c r="R50" s="224">
        <f t="shared" si="1"/>
        <v>111658.98</v>
      </c>
      <c r="S50" s="223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</row>
    <row r="51" spans="1:54" s="595" customFormat="1" ht="12.75" hidden="1" outlineLevel="1">
      <c r="A51" s="223" t="s">
        <v>2694</v>
      </c>
      <c r="B51" s="224"/>
      <c r="C51" s="224" t="s">
        <v>2695</v>
      </c>
      <c r="D51" s="224" t="s">
        <v>2696</v>
      </c>
      <c r="E51" s="224">
        <v>1256859.36</v>
      </c>
      <c r="F51" s="224">
        <v>0</v>
      </c>
      <c r="G51" s="224"/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4">
        <v>0</v>
      </c>
      <c r="Q51" s="224">
        <v>0</v>
      </c>
      <c r="R51" s="224">
        <f t="shared" si="1"/>
        <v>1256859.36</v>
      </c>
      <c r="S51" s="223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</row>
    <row r="52" spans="1:54" s="595" customFormat="1" ht="12.75" hidden="1" outlineLevel="1">
      <c r="A52" s="223" t="s">
        <v>2697</v>
      </c>
      <c r="B52" s="224"/>
      <c r="C52" s="224" t="s">
        <v>2698</v>
      </c>
      <c r="D52" s="224" t="s">
        <v>2699</v>
      </c>
      <c r="E52" s="224">
        <v>1187545.96</v>
      </c>
      <c r="F52" s="224">
        <v>0</v>
      </c>
      <c r="G52" s="224"/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24">
        <v>0</v>
      </c>
      <c r="Q52" s="224">
        <v>0</v>
      </c>
      <c r="R52" s="224">
        <f t="shared" si="1"/>
        <v>1187545.96</v>
      </c>
      <c r="S52" s="223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</row>
    <row r="53" spans="1:54" s="595" customFormat="1" ht="12.75" hidden="1" outlineLevel="1">
      <c r="A53" s="223" t="s">
        <v>989</v>
      </c>
      <c r="B53" s="224"/>
      <c r="C53" s="224" t="s">
        <v>990</v>
      </c>
      <c r="D53" s="224" t="s">
        <v>991</v>
      </c>
      <c r="E53" s="224">
        <v>9147.6</v>
      </c>
      <c r="F53" s="224">
        <v>0</v>
      </c>
      <c r="G53" s="224"/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  <c r="P53" s="224">
        <v>0</v>
      </c>
      <c r="Q53" s="224">
        <v>0</v>
      </c>
      <c r="R53" s="224">
        <f t="shared" si="1"/>
        <v>9147.6</v>
      </c>
      <c r="S53" s="223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</row>
    <row r="54" spans="1:54" s="595" customFormat="1" ht="12.75" hidden="1" outlineLevel="1">
      <c r="A54" s="223" t="s">
        <v>992</v>
      </c>
      <c r="B54" s="224"/>
      <c r="C54" s="224" t="s">
        <v>993</v>
      </c>
      <c r="D54" s="224" t="s">
        <v>994</v>
      </c>
      <c r="E54" s="224">
        <v>712.8</v>
      </c>
      <c r="F54" s="224">
        <v>0</v>
      </c>
      <c r="G54" s="224"/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4">
        <v>0</v>
      </c>
      <c r="Q54" s="224">
        <v>0</v>
      </c>
      <c r="R54" s="224">
        <f t="shared" si="1"/>
        <v>712.8</v>
      </c>
      <c r="S54" s="223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</row>
    <row r="55" spans="1:54" s="595" customFormat="1" ht="12.75" hidden="1" outlineLevel="1">
      <c r="A55" s="223" t="s">
        <v>3373</v>
      </c>
      <c r="B55" s="224"/>
      <c r="C55" s="224" t="s">
        <v>3374</v>
      </c>
      <c r="D55" s="224" t="s">
        <v>3375</v>
      </c>
      <c r="E55" s="224">
        <v>373507.88</v>
      </c>
      <c r="F55" s="224">
        <v>0</v>
      </c>
      <c r="G55" s="224"/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224">
        <v>0</v>
      </c>
      <c r="Q55" s="224">
        <v>0</v>
      </c>
      <c r="R55" s="224">
        <f t="shared" si="1"/>
        <v>373507.88</v>
      </c>
      <c r="S55" s="223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</row>
    <row r="56" spans="1:54" s="595" customFormat="1" ht="12.75" hidden="1" outlineLevel="1">
      <c r="A56" s="223" t="s">
        <v>995</v>
      </c>
      <c r="B56" s="224"/>
      <c r="C56" s="224" t="s">
        <v>996</v>
      </c>
      <c r="D56" s="224" t="s">
        <v>997</v>
      </c>
      <c r="E56" s="224">
        <v>132947.05</v>
      </c>
      <c r="F56" s="224">
        <v>0</v>
      </c>
      <c r="G56" s="224"/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224">
        <v>0</v>
      </c>
      <c r="Q56" s="224">
        <v>0</v>
      </c>
      <c r="R56" s="224">
        <f t="shared" si="1"/>
        <v>132947.05</v>
      </c>
      <c r="S56" s="223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</row>
    <row r="57" spans="1:54" s="595" customFormat="1" ht="12.75" hidden="1" outlineLevel="1">
      <c r="A57" s="223" t="s">
        <v>2700</v>
      </c>
      <c r="B57" s="224"/>
      <c r="C57" s="224" t="s">
        <v>2701</v>
      </c>
      <c r="D57" s="224" t="s">
        <v>2702</v>
      </c>
      <c r="E57" s="224">
        <v>34474.26</v>
      </c>
      <c r="F57" s="224">
        <v>0</v>
      </c>
      <c r="G57" s="224"/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3">
        <v>0</v>
      </c>
      <c r="P57" s="224">
        <v>0</v>
      </c>
      <c r="Q57" s="224">
        <v>0</v>
      </c>
      <c r="R57" s="224">
        <f t="shared" si="1"/>
        <v>34474.26</v>
      </c>
      <c r="S57" s="223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</row>
    <row r="58" spans="1:54" s="595" customFormat="1" ht="12.75" hidden="1" outlineLevel="1">
      <c r="A58" s="223" t="s">
        <v>998</v>
      </c>
      <c r="B58" s="224"/>
      <c r="C58" s="224" t="s">
        <v>999</v>
      </c>
      <c r="D58" s="224" t="s">
        <v>1000</v>
      </c>
      <c r="E58" s="224">
        <v>6487.5</v>
      </c>
      <c r="F58" s="224">
        <v>0</v>
      </c>
      <c r="G58" s="224"/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24">
        <v>0</v>
      </c>
      <c r="Q58" s="224">
        <v>0</v>
      </c>
      <c r="R58" s="224">
        <f t="shared" si="1"/>
        <v>6487.5</v>
      </c>
      <c r="S58" s="223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</row>
    <row r="59" spans="1:54" s="595" customFormat="1" ht="12.75" hidden="1" outlineLevel="1">
      <c r="A59" s="223" t="s">
        <v>2703</v>
      </c>
      <c r="B59" s="224"/>
      <c r="C59" s="224" t="s">
        <v>2704</v>
      </c>
      <c r="D59" s="224" t="s">
        <v>2705</v>
      </c>
      <c r="E59" s="224">
        <v>15938.07</v>
      </c>
      <c r="F59" s="224">
        <v>0</v>
      </c>
      <c r="G59" s="224"/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224">
        <v>0</v>
      </c>
      <c r="Q59" s="224">
        <v>0</v>
      </c>
      <c r="R59" s="224">
        <f t="shared" si="1"/>
        <v>15938.07</v>
      </c>
      <c r="S59" s="223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</row>
    <row r="60" spans="1:54" s="595" customFormat="1" ht="12.75" hidden="1" outlineLevel="1">
      <c r="A60" s="223" t="s">
        <v>2706</v>
      </c>
      <c r="B60" s="224"/>
      <c r="C60" s="224" t="s">
        <v>2707</v>
      </c>
      <c r="D60" s="224" t="s">
        <v>2708</v>
      </c>
      <c r="E60" s="224">
        <v>24699.48</v>
      </c>
      <c r="F60" s="224">
        <v>0</v>
      </c>
      <c r="G60" s="224"/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224">
        <v>0</v>
      </c>
      <c r="Q60" s="224">
        <v>0</v>
      </c>
      <c r="R60" s="224">
        <f t="shared" si="1"/>
        <v>24699.48</v>
      </c>
      <c r="S60" s="223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</row>
    <row r="61" spans="1:54" s="595" customFormat="1" ht="12.75" hidden="1" outlineLevel="1">
      <c r="A61" s="223" t="s">
        <v>2709</v>
      </c>
      <c r="B61" s="224"/>
      <c r="C61" s="224" t="s">
        <v>2710</v>
      </c>
      <c r="D61" s="224" t="s">
        <v>2711</v>
      </c>
      <c r="E61" s="224">
        <v>354629.2</v>
      </c>
      <c r="F61" s="224">
        <v>0</v>
      </c>
      <c r="G61" s="224"/>
      <c r="H61" s="223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224">
        <v>0</v>
      </c>
      <c r="Q61" s="224">
        <v>0</v>
      </c>
      <c r="R61" s="224">
        <f t="shared" si="1"/>
        <v>354629.2</v>
      </c>
      <c r="S61" s="223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</row>
    <row r="62" spans="1:54" s="595" customFormat="1" ht="12.75" hidden="1" outlineLevel="1">
      <c r="A62" s="223" t="s">
        <v>2712</v>
      </c>
      <c r="B62" s="224"/>
      <c r="C62" s="224" t="s">
        <v>2713</v>
      </c>
      <c r="D62" s="224" t="s">
        <v>2714</v>
      </c>
      <c r="E62" s="224">
        <v>296977.31</v>
      </c>
      <c r="F62" s="224">
        <v>0</v>
      </c>
      <c r="G62" s="224"/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224">
        <v>0</v>
      </c>
      <c r="Q62" s="224">
        <v>0</v>
      </c>
      <c r="R62" s="224">
        <f t="shared" si="1"/>
        <v>296977.31</v>
      </c>
      <c r="S62" s="223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</row>
    <row r="63" spans="1:54" s="595" customFormat="1" ht="12.75" hidden="1" outlineLevel="1">
      <c r="A63" s="223" t="s">
        <v>2715</v>
      </c>
      <c r="B63" s="224"/>
      <c r="C63" s="224" t="s">
        <v>2716</v>
      </c>
      <c r="D63" s="224" t="s">
        <v>2717</v>
      </c>
      <c r="E63" s="224">
        <v>175365.3</v>
      </c>
      <c r="F63" s="224">
        <v>0</v>
      </c>
      <c r="G63" s="224"/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  <c r="P63" s="224">
        <v>0</v>
      </c>
      <c r="Q63" s="224">
        <v>0</v>
      </c>
      <c r="R63" s="224">
        <f t="shared" si="1"/>
        <v>175365.3</v>
      </c>
      <c r="S63" s="223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</row>
    <row r="64" spans="1:54" s="595" customFormat="1" ht="12.75" hidden="1" outlineLevel="1">
      <c r="A64" s="223" t="s">
        <v>2718</v>
      </c>
      <c r="B64" s="224"/>
      <c r="C64" s="224" t="s">
        <v>2719</v>
      </c>
      <c r="D64" s="224" t="s">
        <v>2720</v>
      </c>
      <c r="E64" s="224">
        <v>336860.38</v>
      </c>
      <c r="F64" s="224">
        <v>0</v>
      </c>
      <c r="G64" s="224"/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224">
        <v>0</v>
      </c>
      <c r="Q64" s="224">
        <v>0</v>
      </c>
      <c r="R64" s="224">
        <f t="shared" si="1"/>
        <v>336860.38</v>
      </c>
      <c r="S64" s="223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</row>
    <row r="65" spans="1:54" s="595" customFormat="1" ht="12.75" hidden="1" outlineLevel="1">
      <c r="A65" s="223" t="s">
        <v>2721</v>
      </c>
      <c r="B65" s="224"/>
      <c r="C65" s="224" t="s">
        <v>2722</v>
      </c>
      <c r="D65" s="224" t="s">
        <v>2723</v>
      </c>
      <c r="E65" s="224">
        <v>282168.78</v>
      </c>
      <c r="F65" s="224">
        <v>0</v>
      </c>
      <c r="G65" s="224"/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224">
        <v>0</v>
      </c>
      <c r="Q65" s="224">
        <v>0</v>
      </c>
      <c r="R65" s="224">
        <f t="shared" si="1"/>
        <v>282168.78</v>
      </c>
      <c r="S65" s="223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</row>
    <row r="66" spans="1:54" s="595" customFormat="1" ht="12.75" hidden="1" outlineLevel="1">
      <c r="A66" s="223" t="s">
        <v>2724</v>
      </c>
      <c r="B66" s="224"/>
      <c r="C66" s="224" t="s">
        <v>2725</v>
      </c>
      <c r="D66" s="224" t="s">
        <v>2726</v>
      </c>
      <c r="E66" s="224">
        <v>168790.02</v>
      </c>
      <c r="F66" s="224">
        <v>0</v>
      </c>
      <c r="G66" s="224"/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  <c r="P66" s="224">
        <v>0</v>
      </c>
      <c r="Q66" s="224">
        <v>0</v>
      </c>
      <c r="R66" s="224">
        <f t="shared" si="1"/>
        <v>168790.02</v>
      </c>
      <c r="S66" s="223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</row>
    <row r="67" spans="1:54" s="595" customFormat="1" ht="12.75" hidden="1" outlineLevel="1">
      <c r="A67" s="223" t="s">
        <v>1001</v>
      </c>
      <c r="B67" s="224"/>
      <c r="C67" s="224" t="s">
        <v>1002</v>
      </c>
      <c r="D67" s="224" t="s">
        <v>1003</v>
      </c>
      <c r="E67" s="224">
        <v>3294.72</v>
      </c>
      <c r="F67" s="224">
        <v>0</v>
      </c>
      <c r="G67" s="224"/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224">
        <v>0</v>
      </c>
      <c r="Q67" s="224">
        <v>0</v>
      </c>
      <c r="R67" s="224">
        <f t="shared" si="1"/>
        <v>3294.72</v>
      </c>
      <c r="S67" s="223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</row>
    <row r="68" spans="1:54" s="595" customFormat="1" ht="12.75" hidden="1" outlineLevel="1">
      <c r="A68" s="223" t="s">
        <v>1004</v>
      </c>
      <c r="B68" s="224"/>
      <c r="C68" s="224" t="s">
        <v>1005</v>
      </c>
      <c r="D68" s="224" t="s">
        <v>1006</v>
      </c>
      <c r="E68" s="224">
        <v>5.4</v>
      </c>
      <c r="F68" s="224">
        <v>0</v>
      </c>
      <c r="G68" s="224"/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4">
        <v>0</v>
      </c>
      <c r="Q68" s="224">
        <v>0</v>
      </c>
      <c r="R68" s="224">
        <f t="shared" si="1"/>
        <v>5.4</v>
      </c>
      <c r="S68" s="223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</row>
    <row r="69" spans="1:54" s="595" customFormat="1" ht="12.75" hidden="1" outlineLevel="1">
      <c r="A69" s="223" t="s">
        <v>1007</v>
      </c>
      <c r="B69" s="224"/>
      <c r="C69" s="224" t="s">
        <v>1008</v>
      </c>
      <c r="D69" s="224" t="s">
        <v>1009</v>
      </c>
      <c r="E69" s="224">
        <v>12.48</v>
      </c>
      <c r="F69" s="224">
        <v>0</v>
      </c>
      <c r="G69" s="224"/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223">
        <v>0</v>
      </c>
      <c r="N69" s="223">
        <v>0</v>
      </c>
      <c r="O69" s="223">
        <v>0</v>
      </c>
      <c r="P69" s="224">
        <v>0</v>
      </c>
      <c r="Q69" s="224">
        <v>0</v>
      </c>
      <c r="R69" s="224">
        <f t="shared" si="1"/>
        <v>12.48</v>
      </c>
      <c r="S69" s="223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</row>
    <row r="70" spans="1:54" s="600" customFormat="1" ht="12.75" customHeight="1" collapsed="1">
      <c r="A70" s="209" t="s">
        <v>3376</v>
      </c>
      <c r="B70" s="209"/>
      <c r="C70" s="208" t="s">
        <v>880</v>
      </c>
      <c r="D70" s="210"/>
      <c r="E70" s="211">
        <v>98007436.64</v>
      </c>
      <c r="F70" s="211">
        <v>5653322.120000001</v>
      </c>
      <c r="G70" s="211">
        <v>0</v>
      </c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  <c r="N70" s="243">
        <v>0</v>
      </c>
      <c r="O70" s="243">
        <v>0</v>
      </c>
      <c r="P70" s="211">
        <v>0</v>
      </c>
      <c r="Q70" s="211">
        <v>0</v>
      </c>
      <c r="R70" s="211">
        <f t="shared" si="1"/>
        <v>103660758.76</v>
      </c>
      <c r="S70" s="208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599"/>
      <c r="BB70" s="599"/>
    </row>
    <row r="71" spans="1:54" s="595" customFormat="1" ht="12.75" hidden="1" outlineLevel="1">
      <c r="A71" s="223" t="s">
        <v>3377</v>
      </c>
      <c r="B71" s="224"/>
      <c r="C71" s="224" t="s">
        <v>3378</v>
      </c>
      <c r="D71" s="224" t="s">
        <v>3379</v>
      </c>
      <c r="E71" s="246">
        <v>1712982.95</v>
      </c>
      <c r="F71" s="246">
        <v>1786.5</v>
      </c>
      <c r="G71" s="246"/>
      <c r="H71" s="247">
        <v>0</v>
      </c>
      <c r="I71" s="247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7">
        <v>0</v>
      </c>
      <c r="P71" s="246">
        <v>0</v>
      </c>
      <c r="Q71" s="246">
        <v>0</v>
      </c>
      <c r="R71" s="246">
        <f t="shared" si="1"/>
        <v>1714769.45</v>
      </c>
      <c r="S71" s="223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</row>
    <row r="72" spans="1:54" s="595" customFormat="1" ht="12.75" hidden="1" outlineLevel="1">
      <c r="A72" s="223" t="s">
        <v>3380</v>
      </c>
      <c r="B72" s="224"/>
      <c r="C72" s="224" t="s">
        <v>3381</v>
      </c>
      <c r="D72" s="224" t="s">
        <v>3382</v>
      </c>
      <c r="E72" s="246">
        <v>2757276.35</v>
      </c>
      <c r="F72" s="246">
        <v>0</v>
      </c>
      <c r="G72" s="246"/>
      <c r="H72" s="247">
        <v>0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6">
        <v>0</v>
      </c>
      <c r="Q72" s="246">
        <v>0</v>
      </c>
      <c r="R72" s="246">
        <f t="shared" si="1"/>
        <v>2757276.35</v>
      </c>
      <c r="S72" s="223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</row>
    <row r="73" spans="1:54" s="595" customFormat="1" ht="12.75" hidden="1" outlineLevel="1">
      <c r="A73" s="223" t="s">
        <v>3383</v>
      </c>
      <c r="B73" s="224"/>
      <c r="C73" s="224" t="s">
        <v>3384</v>
      </c>
      <c r="D73" s="224" t="s">
        <v>3385</v>
      </c>
      <c r="E73" s="246">
        <v>1074402.72</v>
      </c>
      <c r="F73" s="246">
        <v>0</v>
      </c>
      <c r="G73" s="246"/>
      <c r="H73" s="247">
        <v>0</v>
      </c>
      <c r="I73" s="247">
        <v>0</v>
      </c>
      <c r="J73" s="247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46">
        <v>0</v>
      </c>
      <c r="Q73" s="246">
        <v>0</v>
      </c>
      <c r="R73" s="246">
        <f t="shared" si="1"/>
        <v>1074402.72</v>
      </c>
      <c r="S73" s="223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</row>
    <row r="74" spans="1:54" s="595" customFormat="1" ht="12.75" hidden="1" outlineLevel="1">
      <c r="A74" s="223" t="s">
        <v>3386</v>
      </c>
      <c r="B74" s="224"/>
      <c r="C74" s="224" t="s">
        <v>3387</v>
      </c>
      <c r="D74" s="224" t="s">
        <v>3388</v>
      </c>
      <c r="E74" s="246">
        <v>302400.17</v>
      </c>
      <c r="F74" s="246">
        <v>532.35</v>
      </c>
      <c r="G74" s="246"/>
      <c r="H74" s="247">
        <v>0</v>
      </c>
      <c r="I74" s="247">
        <v>0</v>
      </c>
      <c r="J74" s="247">
        <v>0</v>
      </c>
      <c r="K74" s="247">
        <v>0</v>
      </c>
      <c r="L74" s="247">
        <v>0</v>
      </c>
      <c r="M74" s="247">
        <v>0</v>
      </c>
      <c r="N74" s="247">
        <v>0</v>
      </c>
      <c r="O74" s="247">
        <v>0</v>
      </c>
      <c r="P74" s="246">
        <v>0</v>
      </c>
      <c r="Q74" s="246">
        <v>0</v>
      </c>
      <c r="R74" s="246">
        <f aca="true" t="shared" si="2" ref="R74:R83">E74+F74+G74+P74+Q74</f>
        <v>302932.51999999996</v>
      </c>
      <c r="S74" s="223"/>
      <c r="T74" s="601"/>
      <c r="U74" s="601"/>
      <c r="V74" s="601"/>
      <c r="W74" s="601"/>
      <c r="X74" s="601"/>
      <c r="Y74" s="601"/>
      <c r="Z74" s="601"/>
      <c r="AA74" s="601"/>
      <c r="AB74" s="601"/>
      <c r="AC74" s="601"/>
      <c r="AD74" s="601"/>
      <c r="AE74" s="601"/>
      <c r="AF74" s="601"/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</row>
    <row r="75" spans="1:54" s="595" customFormat="1" ht="12.75" hidden="1" outlineLevel="1">
      <c r="A75" s="223" t="s">
        <v>3389</v>
      </c>
      <c r="B75" s="224"/>
      <c r="C75" s="224" t="s">
        <v>3390</v>
      </c>
      <c r="D75" s="224" t="s">
        <v>3391</v>
      </c>
      <c r="E75" s="246">
        <v>3844747.28</v>
      </c>
      <c r="F75" s="246">
        <v>0</v>
      </c>
      <c r="G75" s="246"/>
      <c r="H75" s="247">
        <v>0</v>
      </c>
      <c r="I75" s="247">
        <v>0</v>
      </c>
      <c r="J75" s="247">
        <v>0</v>
      </c>
      <c r="K75" s="247">
        <v>0</v>
      </c>
      <c r="L75" s="247">
        <v>0</v>
      </c>
      <c r="M75" s="247">
        <v>0</v>
      </c>
      <c r="N75" s="247">
        <v>0</v>
      </c>
      <c r="O75" s="247">
        <v>0</v>
      </c>
      <c r="P75" s="246">
        <v>0</v>
      </c>
      <c r="Q75" s="246">
        <v>0</v>
      </c>
      <c r="R75" s="246">
        <f t="shared" si="2"/>
        <v>3844747.28</v>
      </c>
      <c r="S75" s="223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</row>
    <row r="76" spans="1:54" s="595" customFormat="1" ht="12.75" hidden="1" outlineLevel="1">
      <c r="A76" s="223" t="s">
        <v>3392</v>
      </c>
      <c r="B76" s="224"/>
      <c r="C76" s="224" t="s">
        <v>3393</v>
      </c>
      <c r="D76" s="224" t="s">
        <v>3394</v>
      </c>
      <c r="E76" s="246">
        <v>548624.62</v>
      </c>
      <c r="F76" s="246">
        <v>0</v>
      </c>
      <c r="G76" s="246"/>
      <c r="H76" s="247">
        <v>0</v>
      </c>
      <c r="I76" s="247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6">
        <v>0</v>
      </c>
      <c r="Q76" s="246">
        <v>0</v>
      </c>
      <c r="R76" s="246">
        <f t="shared" si="2"/>
        <v>548624.62</v>
      </c>
      <c r="S76" s="223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</row>
    <row r="77" spans="1:54" s="595" customFormat="1" ht="12.75" hidden="1" outlineLevel="1">
      <c r="A77" s="223" t="s">
        <v>3395</v>
      </c>
      <c r="B77" s="224"/>
      <c r="C77" s="224" t="s">
        <v>3396</v>
      </c>
      <c r="D77" s="224" t="s">
        <v>3397</v>
      </c>
      <c r="E77" s="246">
        <v>277748.66</v>
      </c>
      <c r="F77" s="246">
        <v>0</v>
      </c>
      <c r="G77" s="246"/>
      <c r="H77" s="247">
        <v>0</v>
      </c>
      <c r="I77" s="247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6">
        <v>0</v>
      </c>
      <c r="Q77" s="246">
        <v>0</v>
      </c>
      <c r="R77" s="246">
        <f t="shared" si="2"/>
        <v>277748.66</v>
      </c>
      <c r="S77" s="223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</row>
    <row r="78" spans="1:54" s="595" customFormat="1" ht="12.75" hidden="1" outlineLevel="1">
      <c r="A78" s="223" t="s">
        <v>3398</v>
      </c>
      <c r="B78" s="224"/>
      <c r="C78" s="224" t="s">
        <v>3399</v>
      </c>
      <c r="D78" s="224" t="s">
        <v>3400</v>
      </c>
      <c r="E78" s="246">
        <v>612615.11</v>
      </c>
      <c r="F78" s="246">
        <v>0</v>
      </c>
      <c r="G78" s="246"/>
      <c r="H78" s="247">
        <v>0</v>
      </c>
      <c r="I78" s="247">
        <v>0</v>
      </c>
      <c r="J78" s="247">
        <v>0</v>
      </c>
      <c r="K78" s="247">
        <v>0</v>
      </c>
      <c r="L78" s="247">
        <v>0</v>
      </c>
      <c r="M78" s="247">
        <v>0</v>
      </c>
      <c r="N78" s="247">
        <v>0</v>
      </c>
      <c r="O78" s="247">
        <v>0</v>
      </c>
      <c r="P78" s="246">
        <v>0</v>
      </c>
      <c r="Q78" s="246">
        <v>0</v>
      </c>
      <c r="R78" s="246">
        <f t="shared" si="2"/>
        <v>612615.11</v>
      </c>
      <c r="S78" s="223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</row>
    <row r="79" spans="1:54" s="595" customFormat="1" ht="12.75" hidden="1" outlineLevel="1">
      <c r="A79" s="223" t="s">
        <v>3401</v>
      </c>
      <c r="B79" s="224"/>
      <c r="C79" s="224" t="s">
        <v>3402</v>
      </c>
      <c r="D79" s="224" t="s">
        <v>3403</v>
      </c>
      <c r="E79" s="246">
        <v>4447712.74</v>
      </c>
      <c r="F79" s="246">
        <v>0</v>
      </c>
      <c r="G79" s="246"/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6">
        <v>0</v>
      </c>
      <c r="Q79" s="246">
        <v>0</v>
      </c>
      <c r="R79" s="246">
        <f t="shared" si="2"/>
        <v>4447712.74</v>
      </c>
      <c r="S79" s="223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</row>
    <row r="80" spans="1:54" s="595" customFormat="1" ht="12.75" hidden="1" outlineLevel="1">
      <c r="A80" s="223" t="s">
        <v>3404</v>
      </c>
      <c r="B80" s="224"/>
      <c r="C80" s="224" t="s">
        <v>3405</v>
      </c>
      <c r="D80" s="224" t="s">
        <v>3406</v>
      </c>
      <c r="E80" s="246">
        <v>500081.83</v>
      </c>
      <c r="F80" s="246">
        <v>0</v>
      </c>
      <c r="G80" s="246"/>
      <c r="H80" s="247">
        <v>0</v>
      </c>
      <c r="I80" s="247">
        <v>0</v>
      </c>
      <c r="J80" s="247">
        <v>0</v>
      </c>
      <c r="K80" s="247">
        <v>0</v>
      </c>
      <c r="L80" s="247">
        <v>0</v>
      </c>
      <c r="M80" s="247">
        <v>0</v>
      </c>
      <c r="N80" s="247">
        <v>0</v>
      </c>
      <c r="O80" s="247">
        <v>0</v>
      </c>
      <c r="P80" s="246">
        <v>0</v>
      </c>
      <c r="Q80" s="246">
        <v>0</v>
      </c>
      <c r="R80" s="246">
        <f t="shared" si="2"/>
        <v>500081.83</v>
      </c>
      <c r="S80" s="223"/>
      <c r="T80" s="601"/>
      <c r="U80" s="601"/>
      <c r="V80" s="601"/>
      <c r="W80" s="601"/>
      <c r="X80" s="601"/>
      <c r="Y80" s="601"/>
      <c r="Z80" s="601"/>
      <c r="AA80" s="601"/>
      <c r="AB80" s="601"/>
      <c r="AC80" s="601"/>
      <c r="AD80" s="601"/>
      <c r="AE80" s="601"/>
      <c r="AF80" s="601"/>
      <c r="AG80" s="601"/>
      <c r="AH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</row>
    <row r="81" spans="1:54" s="595" customFormat="1" ht="12.75" hidden="1" outlineLevel="1">
      <c r="A81" s="223" t="s">
        <v>3407</v>
      </c>
      <c r="B81" s="224"/>
      <c r="C81" s="224" t="s">
        <v>3408</v>
      </c>
      <c r="D81" s="224" t="s">
        <v>3409</v>
      </c>
      <c r="E81" s="246">
        <v>7223156.51</v>
      </c>
      <c r="F81" s="246">
        <v>0</v>
      </c>
      <c r="G81" s="246"/>
      <c r="H81" s="247">
        <v>0</v>
      </c>
      <c r="I81" s="247">
        <v>0</v>
      </c>
      <c r="J81" s="247">
        <v>0</v>
      </c>
      <c r="K81" s="247">
        <v>0</v>
      </c>
      <c r="L81" s="247">
        <v>0</v>
      </c>
      <c r="M81" s="247">
        <v>0</v>
      </c>
      <c r="N81" s="247">
        <v>0</v>
      </c>
      <c r="O81" s="247">
        <v>0</v>
      </c>
      <c r="P81" s="246">
        <v>0</v>
      </c>
      <c r="Q81" s="246">
        <v>0</v>
      </c>
      <c r="R81" s="246">
        <f t="shared" si="2"/>
        <v>7223156.51</v>
      </c>
      <c r="S81" s="223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</row>
    <row r="82" spans="1:54" s="595" customFormat="1" ht="12.75" hidden="1" outlineLevel="1">
      <c r="A82" s="223" t="s">
        <v>3410</v>
      </c>
      <c r="B82" s="224"/>
      <c r="C82" s="224" t="s">
        <v>1010</v>
      </c>
      <c r="D82" s="224" t="s">
        <v>3411</v>
      </c>
      <c r="E82" s="246">
        <v>-6780000</v>
      </c>
      <c r="F82" s="246">
        <v>0</v>
      </c>
      <c r="G82" s="246"/>
      <c r="H82" s="247">
        <v>0</v>
      </c>
      <c r="I82" s="247">
        <v>0</v>
      </c>
      <c r="J82" s="247">
        <v>0</v>
      </c>
      <c r="K82" s="247">
        <v>0</v>
      </c>
      <c r="L82" s="247">
        <v>0</v>
      </c>
      <c r="M82" s="247">
        <v>0</v>
      </c>
      <c r="N82" s="247">
        <v>0</v>
      </c>
      <c r="O82" s="247">
        <v>0</v>
      </c>
      <c r="P82" s="246">
        <v>0</v>
      </c>
      <c r="Q82" s="246">
        <v>0</v>
      </c>
      <c r="R82" s="246">
        <f t="shared" si="2"/>
        <v>-6780000</v>
      </c>
      <c r="S82" s="223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</row>
    <row r="83" spans="1:54" s="600" customFormat="1" ht="12.75" customHeight="1" collapsed="1">
      <c r="A83" s="209" t="s">
        <v>3412</v>
      </c>
      <c r="B83" s="209"/>
      <c r="C83" s="208" t="s">
        <v>773</v>
      </c>
      <c r="D83" s="210"/>
      <c r="E83" s="101">
        <v>16521748.939999998</v>
      </c>
      <c r="F83" s="101">
        <v>2318.85</v>
      </c>
      <c r="G83" s="101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1">
        <v>0</v>
      </c>
      <c r="Q83" s="101">
        <v>0</v>
      </c>
      <c r="R83" s="101">
        <f t="shared" si="2"/>
        <v>16524067.789999997</v>
      </c>
      <c r="S83" s="208"/>
      <c r="T83" s="599"/>
      <c r="U83" s="599"/>
      <c r="V83" s="599"/>
      <c r="W83" s="599"/>
      <c r="X83" s="599"/>
      <c r="Y83" s="599"/>
      <c r="Z83" s="599"/>
      <c r="AA83" s="599"/>
      <c r="AB83" s="599"/>
      <c r="AC83" s="599"/>
      <c r="AD83" s="599"/>
      <c r="AE83" s="599"/>
      <c r="AF83" s="599"/>
      <c r="AG83" s="599"/>
      <c r="AH83" s="599"/>
      <c r="AI83" s="599"/>
      <c r="AJ83" s="599"/>
      <c r="AK83" s="599"/>
      <c r="AL83" s="599"/>
      <c r="AM83" s="599"/>
      <c r="AN83" s="599"/>
      <c r="AO83" s="599"/>
      <c r="AP83" s="599"/>
      <c r="AQ83" s="599"/>
      <c r="AR83" s="599"/>
      <c r="AS83" s="599"/>
      <c r="AT83" s="599"/>
      <c r="AU83" s="599"/>
      <c r="AV83" s="599"/>
      <c r="AW83" s="599"/>
      <c r="AX83" s="599"/>
      <c r="AY83" s="599"/>
      <c r="AZ83" s="599"/>
      <c r="BA83" s="599"/>
      <c r="BB83" s="599"/>
    </row>
    <row r="84" spans="1:54" s="600" customFormat="1" ht="12.75" customHeight="1">
      <c r="A84" s="241" t="s">
        <v>728</v>
      </c>
      <c r="B84" s="209"/>
      <c r="C84" s="208" t="s">
        <v>881</v>
      </c>
      <c r="D84" s="210"/>
      <c r="E84" s="101">
        <f aca="true" t="shared" si="3" ref="E84:R84">E70-E83</f>
        <v>81485687.7</v>
      </c>
      <c r="F84" s="101">
        <f t="shared" si="3"/>
        <v>5651003.270000001</v>
      </c>
      <c r="G84" s="101">
        <f t="shared" si="3"/>
        <v>0</v>
      </c>
      <c r="H84" s="248">
        <f t="shared" si="3"/>
        <v>0</v>
      </c>
      <c r="I84" s="248">
        <f t="shared" si="3"/>
        <v>0</v>
      </c>
      <c r="J84" s="248">
        <f t="shared" si="3"/>
        <v>0</v>
      </c>
      <c r="K84" s="248">
        <f t="shared" si="3"/>
        <v>0</v>
      </c>
      <c r="L84" s="248">
        <f t="shared" si="3"/>
        <v>0</v>
      </c>
      <c r="M84" s="248">
        <f t="shared" si="3"/>
        <v>0</v>
      </c>
      <c r="N84" s="248">
        <f t="shared" si="3"/>
        <v>0</v>
      </c>
      <c r="O84" s="248">
        <f t="shared" si="3"/>
        <v>0</v>
      </c>
      <c r="P84" s="101">
        <f t="shared" si="3"/>
        <v>0</v>
      </c>
      <c r="Q84" s="101">
        <f t="shared" si="3"/>
        <v>0</v>
      </c>
      <c r="R84" s="101">
        <f t="shared" si="3"/>
        <v>87136690.97000001</v>
      </c>
      <c r="S84" s="242"/>
      <c r="T84" s="599"/>
      <c r="U84" s="599"/>
      <c r="V84" s="599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599"/>
      <c r="BA84" s="599"/>
      <c r="BB84" s="599"/>
    </row>
    <row r="85" spans="1:54" s="600" customFormat="1" ht="12.75" customHeight="1">
      <c r="A85" s="209"/>
      <c r="B85" s="209"/>
      <c r="C85" s="208"/>
      <c r="D85" s="210"/>
      <c r="E85" s="101"/>
      <c r="F85" s="101"/>
      <c r="G85" s="101"/>
      <c r="H85" s="100"/>
      <c r="I85" s="100"/>
      <c r="J85" s="100"/>
      <c r="K85" s="100"/>
      <c r="L85" s="100"/>
      <c r="M85" s="100"/>
      <c r="N85" s="100"/>
      <c r="O85" s="100"/>
      <c r="P85" s="101"/>
      <c r="Q85" s="101"/>
      <c r="R85" s="101"/>
      <c r="S85" s="208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</row>
    <row r="86" spans="1:54" s="600" customFormat="1" ht="12.75" customHeight="1">
      <c r="A86" s="209" t="s">
        <v>2739</v>
      </c>
      <c r="B86" s="209"/>
      <c r="C86" s="208" t="s">
        <v>775</v>
      </c>
      <c r="D86" s="210"/>
      <c r="E86" s="101">
        <v>0</v>
      </c>
      <c r="F86" s="101">
        <v>0</v>
      </c>
      <c r="G86" s="101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1">
        <v>0</v>
      </c>
      <c r="Q86" s="101">
        <v>0</v>
      </c>
      <c r="R86" s="101">
        <f aca="true" t="shared" si="4" ref="R86:R98">E86+F86+G86+P86+Q86</f>
        <v>0</v>
      </c>
      <c r="S86" s="208"/>
      <c r="T86" s="599"/>
      <c r="U86" s="599"/>
      <c r="V86" s="599"/>
      <c r="W86" s="599"/>
      <c r="X86" s="599"/>
      <c r="Y86" s="599"/>
      <c r="Z86" s="599"/>
      <c r="AA86" s="599"/>
      <c r="AB86" s="599"/>
      <c r="AC86" s="599"/>
      <c r="AD86" s="599"/>
      <c r="AE86" s="599"/>
      <c r="AF86" s="599"/>
      <c r="AG86" s="599"/>
      <c r="AH86" s="599"/>
      <c r="AI86" s="599"/>
      <c r="AJ86" s="599"/>
      <c r="AK86" s="599"/>
      <c r="AL86" s="599"/>
      <c r="AM86" s="599"/>
      <c r="AN86" s="599"/>
      <c r="AO86" s="599"/>
      <c r="AP86" s="599"/>
      <c r="AQ86" s="599"/>
      <c r="AR86" s="599"/>
      <c r="AS86" s="599"/>
      <c r="AT86" s="599"/>
      <c r="AU86" s="599"/>
      <c r="AV86" s="599"/>
      <c r="AW86" s="599"/>
      <c r="AX86" s="599"/>
      <c r="AY86" s="599"/>
      <c r="AZ86" s="599"/>
      <c r="BA86" s="599"/>
      <c r="BB86" s="599"/>
    </row>
    <row r="87" spans="1:54" s="600" customFormat="1" ht="12.75" customHeight="1">
      <c r="A87" s="209" t="s">
        <v>2740</v>
      </c>
      <c r="B87" s="209"/>
      <c r="C87" s="208" t="s">
        <v>776</v>
      </c>
      <c r="D87" s="210"/>
      <c r="E87" s="101">
        <v>0</v>
      </c>
      <c r="F87" s="101">
        <v>0</v>
      </c>
      <c r="G87" s="101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1">
        <v>0</v>
      </c>
      <c r="Q87" s="101">
        <v>0</v>
      </c>
      <c r="R87" s="101">
        <f t="shared" si="4"/>
        <v>0</v>
      </c>
      <c r="S87" s="208"/>
      <c r="T87" s="599"/>
      <c r="U87" s="599"/>
      <c r="V87" s="599"/>
      <c r="W87" s="599"/>
      <c r="X87" s="599"/>
      <c r="Y87" s="599"/>
      <c r="Z87" s="599"/>
      <c r="AA87" s="599"/>
      <c r="AB87" s="599"/>
      <c r="AC87" s="599"/>
      <c r="AD87" s="599"/>
      <c r="AE87" s="599"/>
      <c r="AF87" s="599"/>
      <c r="AG87" s="599"/>
      <c r="AH87" s="599"/>
      <c r="AI87" s="599"/>
      <c r="AJ87" s="599"/>
      <c r="AK87" s="599"/>
      <c r="AL87" s="599"/>
      <c r="AM87" s="599"/>
      <c r="AN87" s="599"/>
      <c r="AO87" s="599"/>
      <c r="AP87" s="599"/>
      <c r="AQ87" s="599"/>
      <c r="AR87" s="599"/>
      <c r="AS87" s="599"/>
      <c r="AT87" s="599"/>
      <c r="AU87" s="599"/>
      <c r="AV87" s="599"/>
      <c r="AW87" s="599"/>
      <c r="AX87" s="599"/>
      <c r="AY87" s="599"/>
      <c r="AZ87" s="599"/>
      <c r="BA87" s="599"/>
      <c r="BB87" s="599"/>
    </row>
    <row r="88" spans="1:54" s="600" customFormat="1" ht="12.75" customHeight="1">
      <c r="A88" s="209" t="s">
        <v>2741</v>
      </c>
      <c r="B88" s="209"/>
      <c r="C88" s="208" t="s">
        <v>777</v>
      </c>
      <c r="D88" s="210"/>
      <c r="E88" s="101">
        <v>0</v>
      </c>
      <c r="F88" s="101">
        <v>0</v>
      </c>
      <c r="G88" s="101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1">
        <v>0</v>
      </c>
      <c r="Q88" s="101">
        <v>0</v>
      </c>
      <c r="R88" s="101">
        <f t="shared" si="4"/>
        <v>0</v>
      </c>
      <c r="S88" s="208"/>
      <c r="T88" s="599"/>
      <c r="U88" s="599"/>
      <c r="V88" s="599"/>
      <c r="W88" s="599"/>
      <c r="X88" s="599"/>
      <c r="Y88" s="599"/>
      <c r="Z88" s="599"/>
      <c r="AA88" s="599"/>
      <c r="AB88" s="599"/>
      <c r="AC88" s="599"/>
      <c r="AD88" s="599"/>
      <c r="AE88" s="599"/>
      <c r="AF88" s="599"/>
      <c r="AG88" s="599"/>
      <c r="AH88" s="599"/>
      <c r="AI88" s="599"/>
      <c r="AJ88" s="599"/>
      <c r="AK88" s="599"/>
      <c r="AL88" s="599"/>
      <c r="AM88" s="599"/>
      <c r="AN88" s="599"/>
      <c r="AO88" s="599"/>
      <c r="AP88" s="599"/>
      <c r="AQ88" s="599"/>
      <c r="AR88" s="599"/>
      <c r="AS88" s="599"/>
      <c r="AT88" s="599"/>
      <c r="AU88" s="599"/>
      <c r="AV88" s="599"/>
      <c r="AW88" s="599"/>
      <c r="AX88" s="599"/>
      <c r="AY88" s="599"/>
      <c r="AZ88" s="599"/>
      <c r="BA88" s="599"/>
      <c r="BB88" s="599"/>
    </row>
    <row r="89" spans="1:54" s="595" customFormat="1" ht="12.75" hidden="1" outlineLevel="1">
      <c r="A89" s="223" t="s">
        <v>2742</v>
      </c>
      <c r="B89" s="224"/>
      <c r="C89" s="224" t="s">
        <v>2743</v>
      </c>
      <c r="D89" s="224" t="s">
        <v>2744</v>
      </c>
      <c r="E89" s="246">
        <v>192085.1</v>
      </c>
      <c r="F89" s="246">
        <v>5829.96</v>
      </c>
      <c r="G89" s="246"/>
      <c r="H89" s="247">
        <v>0</v>
      </c>
      <c r="I89" s="247">
        <v>0</v>
      </c>
      <c r="J89" s="247">
        <v>0</v>
      </c>
      <c r="K89" s="247">
        <v>0</v>
      </c>
      <c r="L89" s="247">
        <v>0</v>
      </c>
      <c r="M89" s="247">
        <v>0</v>
      </c>
      <c r="N89" s="247">
        <v>0</v>
      </c>
      <c r="O89" s="247">
        <v>0</v>
      </c>
      <c r="P89" s="246">
        <v>0</v>
      </c>
      <c r="Q89" s="246">
        <v>0</v>
      </c>
      <c r="R89" s="246">
        <f t="shared" si="4"/>
        <v>197915.06</v>
      </c>
      <c r="S89" s="223"/>
      <c r="T89" s="601"/>
      <c r="U89" s="601"/>
      <c r="V89" s="601"/>
      <c r="W89" s="601"/>
      <c r="X89" s="601"/>
      <c r="Y89" s="601"/>
      <c r="Z89" s="601"/>
      <c r="AA89" s="601"/>
      <c r="AB89" s="601"/>
      <c r="AC89" s="601"/>
      <c r="AD89" s="601"/>
      <c r="AE89" s="601"/>
      <c r="AF89" s="601"/>
      <c r="AG89" s="601"/>
      <c r="AH89" s="601"/>
      <c r="AI89" s="601"/>
      <c r="AJ89" s="601"/>
      <c r="AK89" s="601"/>
      <c r="AL89" s="601"/>
      <c r="AM89" s="601"/>
      <c r="AN89" s="601"/>
      <c r="AO89" s="601"/>
      <c r="AP89" s="601"/>
      <c r="AQ89" s="601"/>
      <c r="AR89" s="601"/>
      <c r="AS89" s="601"/>
      <c r="AT89" s="601"/>
      <c r="AU89" s="601"/>
      <c r="AV89" s="601"/>
      <c r="AW89" s="601"/>
      <c r="AX89" s="601"/>
      <c r="AY89" s="601"/>
      <c r="AZ89" s="601"/>
      <c r="BA89" s="601"/>
      <c r="BB89" s="601"/>
    </row>
    <row r="90" spans="1:54" s="595" customFormat="1" ht="12.75" hidden="1" outlineLevel="1">
      <c r="A90" s="223" t="s">
        <v>2745</v>
      </c>
      <c r="B90" s="224"/>
      <c r="C90" s="224" t="s">
        <v>2746</v>
      </c>
      <c r="D90" s="224" t="s">
        <v>2747</v>
      </c>
      <c r="E90" s="246">
        <v>0</v>
      </c>
      <c r="F90" s="246">
        <v>0</v>
      </c>
      <c r="G90" s="246"/>
      <c r="H90" s="247">
        <v>0</v>
      </c>
      <c r="I90" s="247">
        <v>0</v>
      </c>
      <c r="J90" s="247">
        <v>0</v>
      </c>
      <c r="K90" s="247">
        <v>31039.6</v>
      </c>
      <c r="L90" s="247">
        <v>0</v>
      </c>
      <c r="M90" s="247">
        <v>0</v>
      </c>
      <c r="N90" s="247">
        <v>0</v>
      </c>
      <c r="O90" s="247">
        <v>1739.1</v>
      </c>
      <c r="P90" s="246">
        <v>32778.7</v>
      </c>
      <c r="Q90" s="246">
        <v>0</v>
      </c>
      <c r="R90" s="246">
        <f t="shared" si="4"/>
        <v>32778.7</v>
      </c>
      <c r="S90" s="223"/>
      <c r="T90" s="601"/>
      <c r="U90" s="601"/>
      <c r="V90" s="601"/>
      <c r="W90" s="601"/>
      <c r="X90" s="601"/>
      <c r="Y90" s="601"/>
      <c r="Z90" s="601"/>
      <c r="AA90" s="601"/>
      <c r="AB90" s="601"/>
      <c r="AC90" s="601"/>
      <c r="AD90" s="601"/>
      <c r="AE90" s="601"/>
      <c r="AF90" s="601"/>
      <c r="AG90" s="601"/>
      <c r="AH90" s="601"/>
      <c r="AI90" s="601"/>
      <c r="AJ90" s="601"/>
      <c r="AK90" s="601"/>
      <c r="AL90" s="601"/>
      <c r="AM90" s="601"/>
      <c r="AN90" s="601"/>
      <c r="AO90" s="601"/>
      <c r="AP90" s="601"/>
      <c r="AQ90" s="601"/>
      <c r="AR90" s="601"/>
      <c r="AS90" s="601"/>
      <c r="AT90" s="601"/>
      <c r="AU90" s="601"/>
      <c r="AV90" s="601"/>
      <c r="AW90" s="601"/>
      <c r="AX90" s="601"/>
      <c r="AY90" s="601"/>
      <c r="AZ90" s="601"/>
      <c r="BA90" s="601"/>
      <c r="BB90" s="601"/>
    </row>
    <row r="91" spans="1:54" s="595" customFormat="1" ht="12.75" hidden="1" outlineLevel="1">
      <c r="A91" s="223" t="s">
        <v>3416</v>
      </c>
      <c r="B91" s="224"/>
      <c r="C91" s="224" t="s">
        <v>3417</v>
      </c>
      <c r="D91" s="224" t="s">
        <v>3418</v>
      </c>
      <c r="E91" s="246">
        <v>1355854.21</v>
      </c>
      <c r="F91" s="246">
        <v>-87463.6</v>
      </c>
      <c r="G91" s="246"/>
      <c r="H91" s="247">
        <v>0</v>
      </c>
      <c r="I91" s="247">
        <v>0</v>
      </c>
      <c r="J91" s="247">
        <v>-28.87</v>
      </c>
      <c r="K91" s="247">
        <v>86883.21</v>
      </c>
      <c r="L91" s="247">
        <v>0</v>
      </c>
      <c r="M91" s="247">
        <v>0</v>
      </c>
      <c r="N91" s="247">
        <v>0</v>
      </c>
      <c r="O91" s="247">
        <v>26697.72</v>
      </c>
      <c r="P91" s="246">
        <v>113552.06</v>
      </c>
      <c r="Q91" s="246">
        <v>0</v>
      </c>
      <c r="R91" s="246">
        <f t="shared" si="4"/>
        <v>1381942.67</v>
      </c>
      <c r="S91" s="223"/>
      <c r="T91" s="601"/>
      <c r="U91" s="601"/>
      <c r="V91" s="601"/>
      <c r="W91" s="601"/>
      <c r="X91" s="601"/>
      <c r="Y91" s="601"/>
      <c r="Z91" s="601"/>
      <c r="AA91" s="601"/>
      <c r="AB91" s="601"/>
      <c r="AC91" s="601"/>
      <c r="AD91" s="601"/>
      <c r="AE91" s="601"/>
      <c r="AF91" s="601"/>
      <c r="AG91" s="601"/>
      <c r="AH91" s="601"/>
      <c r="AI91" s="601"/>
      <c r="AJ91" s="601"/>
      <c r="AK91" s="601"/>
      <c r="AL91" s="601"/>
      <c r="AM91" s="601"/>
      <c r="AN91" s="601"/>
      <c r="AO91" s="601"/>
      <c r="AP91" s="601"/>
      <c r="AQ91" s="601"/>
      <c r="AR91" s="601"/>
      <c r="AS91" s="601"/>
      <c r="AT91" s="601"/>
      <c r="AU91" s="601"/>
      <c r="AV91" s="601"/>
      <c r="AW91" s="601"/>
      <c r="AX91" s="601"/>
      <c r="AY91" s="601"/>
      <c r="AZ91" s="601"/>
      <c r="BA91" s="601"/>
      <c r="BB91" s="601"/>
    </row>
    <row r="92" spans="1:54" s="595" customFormat="1" ht="12.75" hidden="1" outlineLevel="1">
      <c r="A92" s="223" t="s">
        <v>1011</v>
      </c>
      <c r="B92" s="224"/>
      <c r="C92" s="224" t="s">
        <v>1012</v>
      </c>
      <c r="D92" s="224" t="s">
        <v>1013</v>
      </c>
      <c r="E92" s="246">
        <v>0</v>
      </c>
      <c r="F92" s="246">
        <v>0</v>
      </c>
      <c r="G92" s="246"/>
      <c r="H92" s="247">
        <v>0</v>
      </c>
      <c r="I92" s="247">
        <v>0</v>
      </c>
      <c r="J92" s="247">
        <v>0</v>
      </c>
      <c r="K92" s="247">
        <v>0</v>
      </c>
      <c r="L92" s="247">
        <v>0</v>
      </c>
      <c r="M92" s="247">
        <v>0</v>
      </c>
      <c r="N92" s="247">
        <v>0</v>
      </c>
      <c r="O92" s="247">
        <v>-254.4</v>
      </c>
      <c r="P92" s="246">
        <v>-254.4</v>
      </c>
      <c r="Q92" s="246">
        <v>0</v>
      </c>
      <c r="R92" s="246">
        <f t="shared" si="4"/>
        <v>-254.4</v>
      </c>
      <c r="S92" s="223"/>
      <c r="T92" s="601"/>
      <c r="U92" s="601"/>
      <c r="V92" s="601"/>
      <c r="W92" s="601"/>
      <c r="X92" s="601"/>
      <c r="Y92" s="601"/>
      <c r="Z92" s="601"/>
      <c r="AA92" s="601"/>
      <c r="AB92" s="601"/>
      <c r="AC92" s="601"/>
      <c r="AD92" s="601"/>
      <c r="AE92" s="601"/>
      <c r="AF92" s="601"/>
      <c r="AG92" s="601"/>
      <c r="AH92" s="601"/>
      <c r="AI92" s="601"/>
      <c r="AJ92" s="601"/>
      <c r="AK92" s="601"/>
      <c r="AL92" s="601"/>
      <c r="AM92" s="601"/>
      <c r="AN92" s="601"/>
      <c r="AO92" s="601"/>
      <c r="AP92" s="601"/>
      <c r="AQ92" s="601"/>
      <c r="AR92" s="601"/>
      <c r="AS92" s="601"/>
      <c r="AT92" s="601"/>
      <c r="AU92" s="601"/>
      <c r="AV92" s="601"/>
      <c r="AW92" s="601"/>
      <c r="AX92" s="601"/>
      <c r="AY92" s="601"/>
      <c r="AZ92" s="601"/>
      <c r="BA92" s="601"/>
      <c r="BB92" s="601"/>
    </row>
    <row r="93" spans="1:54" s="595" customFormat="1" ht="12.75" hidden="1" outlineLevel="1">
      <c r="A93" s="223" t="s">
        <v>2748</v>
      </c>
      <c r="B93" s="224"/>
      <c r="C93" s="224" t="s">
        <v>2749</v>
      </c>
      <c r="D93" s="224" t="s">
        <v>2750</v>
      </c>
      <c r="E93" s="246">
        <v>630</v>
      </c>
      <c r="F93" s="246">
        <v>0</v>
      </c>
      <c r="G93" s="246"/>
      <c r="H93" s="247">
        <v>0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0</v>
      </c>
      <c r="P93" s="246">
        <v>0</v>
      </c>
      <c r="Q93" s="246">
        <v>0</v>
      </c>
      <c r="R93" s="246">
        <f t="shared" si="4"/>
        <v>630</v>
      </c>
      <c r="S93" s="223"/>
      <c r="T93" s="601"/>
      <c r="U93" s="601"/>
      <c r="V93" s="601"/>
      <c r="W93" s="601"/>
      <c r="X93" s="601"/>
      <c r="Y93" s="601"/>
      <c r="Z93" s="601"/>
      <c r="AA93" s="601"/>
      <c r="AB93" s="601"/>
      <c r="AC93" s="601"/>
      <c r="AD93" s="601"/>
      <c r="AE93" s="601"/>
      <c r="AF93" s="601"/>
      <c r="AG93" s="601"/>
      <c r="AH93" s="601"/>
      <c r="AI93" s="601"/>
      <c r="AJ93" s="601"/>
      <c r="AK93" s="601"/>
      <c r="AL93" s="601"/>
      <c r="AM93" s="601"/>
      <c r="AN93" s="601"/>
      <c r="AO93" s="601"/>
      <c r="AP93" s="601"/>
      <c r="AQ93" s="601"/>
      <c r="AR93" s="601"/>
      <c r="AS93" s="601"/>
      <c r="AT93" s="601"/>
      <c r="AU93" s="601"/>
      <c r="AV93" s="601"/>
      <c r="AW93" s="601"/>
      <c r="AX93" s="601"/>
      <c r="AY93" s="601"/>
      <c r="AZ93" s="601"/>
      <c r="BA93" s="601"/>
      <c r="BB93" s="601"/>
    </row>
    <row r="94" spans="1:54" s="595" customFormat="1" ht="12.75" hidden="1" outlineLevel="1">
      <c r="A94" s="223" t="s">
        <v>2751</v>
      </c>
      <c r="B94" s="224"/>
      <c r="C94" s="224" t="s">
        <v>2752</v>
      </c>
      <c r="D94" s="224" t="s">
        <v>2753</v>
      </c>
      <c r="E94" s="246">
        <v>56796.89</v>
      </c>
      <c r="F94" s="246">
        <v>0</v>
      </c>
      <c r="G94" s="246"/>
      <c r="H94" s="247">
        <v>0</v>
      </c>
      <c r="I94" s="247">
        <v>0</v>
      </c>
      <c r="J94" s="247">
        <v>0</v>
      </c>
      <c r="K94" s="247">
        <v>0</v>
      </c>
      <c r="L94" s="247">
        <v>0</v>
      </c>
      <c r="M94" s="247">
        <v>0</v>
      </c>
      <c r="N94" s="247">
        <v>0</v>
      </c>
      <c r="O94" s="247">
        <v>0</v>
      </c>
      <c r="P94" s="246">
        <v>0</v>
      </c>
      <c r="Q94" s="246">
        <v>0</v>
      </c>
      <c r="R94" s="246">
        <f t="shared" si="4"/>
        <v>56796.89</v>
      </c>
      <c r="S94" s="223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1"/>
      <c r="AL94" s="601"/>
      <c r="AM94" s="601"/>
      <c r="AN94" s="601"/>
      <c r="AO94" s="601"/>
      <c r="AP94" s="601"/>
      <c r="AQ94" s="601"/>
      <c r="AR94" s="601"/>
      <c r="AS94" s="601"/>
      <c r="AT94" s="601"/>
      <c r="AU94" s="601"/>
      <c r="AV94" s="601"/>
      <c r="AW94" s="601"/>
      <c r="AX94" s="601"/>
      <c r="AY94" s="601"/>
      <c r="AZ94" s="601"/>
      <c r="BA94" s="601"/>
      <c r="BB94" s="601"/>
    </row>
    <row r="95" spans="1:54" s="595" customFormat="1" ht="12.75" hidden="1" outlineLevel="1">
      <c r="A95" s="223" t="s">
        <v>2754</v>
      </c>
      <c r="B95" s="224"/>
      <c r="C95" s="224" t="s">
        <v>2755</v>
      </c>
      <c r="D95" s="224" t="s">
        <v>2756</v>
      </c>
      <c r="E95" s="246">
        <v>12.5</v>
      </c>
      <c r="F95" s="246">
        <v>0</v>
      </c>
      <c r="G95" s="246"/>
      <c r="H95" s="247">
        <v>0</v>
      </c>
      <c r="I95" s="247">
        <v>0</v>
      </c>
      <c r="J95" s="247">
        <v>0</v>
      </c>
      <c r="K95" s="247">
        <v>0</v>
      </c>
      <c r="L95" s="247">
        <v>0</v>
      </c>
      <c r="M95" s="247">
        <v>0</v>
      </c>
      <c r="N95" s="247">
        <v>0</v>
      </c>
      <c r="O95" s="247">
        <v>0</v>
      </c>
      <c r="P95" s="246">
        <v>0</v>
      </c>
      <c r="Q95" s="246">
        <v>0</v>
      </c>
      <c r="R95" s="246">
        <f t="shared" si="4"/>
        <v>12.5</v>
      </c>
      <c r="S95" s="223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1"/>
      <c r="AL95" s="601"/>
      <c r="AM95" s="601"/>
      <c r="AN95" s="601"/>
      <c r="AO95" s="601"/>
      <c r="AP95" s="601"/>
      <c r="AQ95" s="601"/>
      <c r="AR95" s="601"/>
      <c r="AS95" s="601"/>
      <c r="AT95" s="601"/>
      <c r="AU95" s="601"/>
      <c r="AV95" s="601"/>
      <c r="AW95" s="601"/>
      <c r="AX95" s="601"/>
      <c r="AY95" s="601"/>
      <c r="AZ95" s="601"/>
      <c r="BA95" s="601"/>
      <c r="BB95" s="601"/>
    </row>
    <row r="96" spans="1:54" s="595" customFormat="1" ht="12.75" hidden="1" outlineLevel="1">
      <c r="A96" s="223" t="s">
        <v>2933</v>
      </c>
      <c r="B96" s="224"/>
      <c r="C96" s="224" t="s">
        <v>2934</v>
      </c>
      <c r="D96" s="224" t="s">
        <v>2935</v>
      </c>
      <c r="E96" s="246">
        <v>-74.12</v>
      </c>
      <c r="F96" s="246">
        <v>0</v>
      </c>
      <c r="G96" s="246"/>
      <c r="H96" s="247">
        <v>0</v>
      </c>
      <c r="I96" s="247">
        <v>0</v>
      </c>
      <c r="J96" s="247">
        <v>0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6">
        <v>0</v>
      </c>
      <c r="Q96" s="246">
        <v>0</v>
      </c>
      <c r="R96" s="246">
        <f t="shared" si="4"/>
        <v>-74.12</v>
      </c>
      <c r="S96" s="223"/>
      <c r="T96" s="601"/>
      <c r="U96" s="601"/>
      <c r="V96" s="601"/>
      <c r="W96" s="601"/>
      <c r="X96" s="601"/>
      <c r="Y96" s="601"/>
      <c r="Z96" s="601"/>
      <c r="AA96" s="601"/>
      <c r="AB96" s="601"/>
      <c r="AC96" s="601"/>
      <c r="AD96" s="601"/>
      <c r="AE96" s="601"/>
      <c r="AF96" s="601"/>
      <c r="AG96" s="601"/>
      <c r="AH96" s="601"/>
      <c r="AI96" s="601"/>
      <c r="AJ96" s="601"/>
      <c r="AK96" s="601"/>
      <c r="AL96" s="601"/>
      <c r="AM96" s="601"/>
      <c r="AN96" s="601"/>
      <c r="AO96" s="601"/>
      <c r="AP96" s="601"/>
      <c r="AQ96" s="601"/>
      <c r="AR96" s="601"/>
      <c r="AS96" s="601"/>
      <c r="AT96" s="601"/>
      <c r="AU96" s="601"/>
      <c r="AV96" s="601"/>
      <c r="AW96" s="601"/>
      <c r="AX96" s="601"/>
      <c r="AY96" s="601"/>
      <c r="AZ96" s="601"/>
      <c r="BA96" s="601"/>
      <c r="BB96" s="601"/>
    </row>
    <row r="97" spans="1:54" s="595" customFormat="1" ht="12.75" hidden="1" outlineLevel="1">
      <c r="A97" s="223" t="s">
        <v>2757</v>
      </c>
      <c r="B97" s="224"/>
      <c r="C97" s="224" t="s">
        <v>2758</v>
      </c>
      <c r="D97" s="224" t="s">
        <v>2759</v>
      </c>
      <c r="E97" s="246">
        <v>84627.5</v>
      </c>
      <c r="F97" s="246">
        <v>0</v>
      </c>
      <c r="G97" s="246"/>
      <c r="H97" s="247">
        <v>0</v>
      </c>
      <c r="I97" s="247">
        <v>0</v>
      </c>
      <c r="J97" s="247">
        <v>0</v>
      </c>
      <c r="K97" s="247">
        <v>0</v>
      </c>
      <c r="L97" s="247">
        <v>0</v>
      </c>
      <c r="M97" s="247">
        <v>0</v>
      </c>
      <c r="N97" s="247">
        <v>0</v>
      </c>
      <c r="O97" s="247">
        <v>82467.02</v>
      </c>
      <c r="P97" s="246">
        <v>82467.02</v>
      </c>
      <c r="Q97" s="246">
        <v>0</v>
      </c>
      <c r="R97" s="246">
        <f t="shared" si="4"/>
        <v>167094.52000000002</v>
      </c>
      <c r="S97" s="223"/>
      <c r="T97" s="601"/>
      <c r="U97" s="601"/>
      <c r="V97" s="601"/>
      <c r="W97" s="601"/>
      <c r="X97" s="601"/>
      <c r="Y97" s="601"/>
      <c r="Z97" s="601"/>
      <c r="AA97" s="601"/>
      <c r="AB97" s="601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01"/>
      <c r="AP97" s="601"/>
      <c r="AQ97" s="601"/>
      <c r="AR97" s="601"/>
      <c r="AS97" s="601"/>
      <c r="AT97" s="601"/>
      <c r="AU97" s="601"/>
      <c r="AV97" s="601"/>
      <c r="AW97" s="601"/>
      <c r="AX97" s="601"/>
      <c r="AY97" s="601"/>
      <c r="AZ97" s="601"/>
      <c r="BA97" s="601"/>
      <c r="BB97" s="601"/>
    </row>
    <row r="98" spans="1:54" s="600" customFormat="1" ht="12.75" customHeight="1" collapsed="1">
      <c r="A98" s="209" t="s">
        <v>3419</v>
      </c>
      <c r="B98" s="209"/>
      <c r="C98" s="208" t="s">
        <v>3420</v>
      </c>
      <c r="D98" s="210"/>
      <c r="E98" s="101">
        <v>1689932.08</v>
      </c>
      <c r="F98" s="101">
        <v>-81633.64</v>
      </c>
      <c r="G98" s="101">
        <v>0</v>
      </c>
      <c r="H98" s="100">
        <v>0</v>
      </c>
      <c r="I98" s="100">
        <v>0</v>
      </c>
      <c r="J98" s="100">
        <v>-28.87</v>
      </c>
      <c r="K98" s="100">
        <v>117922.81</v>
      </c>
      <c r="L98" s="100">
        <v>0</v>
      </c>
      <c r="M98" s="100">
        <v>0</v>
      </c>
      <c r="N98" s="100">
        <v>0</v>
      </c>
      <c r="O98" s="100">
        <v>110649.44</v>
      </c>
      <c r="P98" s="101">
        <v>228543.38</v>
      </c>
      <c r="Q98" s="101">
        <v>0</v>
      </c>
      <c r="R98" s="101">
        <f t="shared" si="4"/>
        <v>1836841.8200000003</v>
      </c>
      <c r="S98" s="208"/>
      <c r="T98" s="599"/>
      <c r="U98" s="599"/>
      <c r="V98" s="599"/>
      <c r="W98" s="599"/>
      <c r="X98" s="599"/>
      <c r="Y98" s="599"/>
      <c r="Z98" s="599"/>
      <c r="AA98" s="599"/>
      <c r="AB98" s="599"/>
      <c r="AC98" s="599"/>
      <c r="AD98" s="599"/>
      <c r="AE98" s="599"/>
      <c r="AF98" s="599"/>
      <c r="AG98" s="599"/>
      <c r="AH98" s="599"/>
      <c r="AI98" s="599"/>
      <c r="AJ98" s="599"/>
      <c r="AK98" s="599"/>
      <c r="AL98" s="599"/>
      <c r="AM98" s="599"/>
      <c r="AN98" s="599"/>
      <c r="AO98" s="599"/>
      <c r="AP98" s="599"/>
      <c r="AQ98" s="599"/>
      <c r="AR98" s="599"/>
      <c r="AS98" s="599"/>
      <c r="AT98" s="599"/>
      <c r="AU98" s="599"/>
      <c r="AV98" s="599"/>
      <c r="AW98" s="599"/>
      <c r="AX98" s="599"/>
      <c r="AY98" s="599"/>
      <c r="AZ98" s="599"/>
      <c r="BA98" s="599"/>
      <c r="BB98" s="599"/>
    </row>
    <row r="99" spans="1:54" s="600" customFormat="1" ht="12.75" customHeight="1">
      <c r="A99" s="209"/>
      <c r="B99" s="209"/>
      <c r="C99" s="208" t="s">
        <v>3421</v>
      </c>
      <c r="D99" s="210"/>
      <c r="E99" s="101"/>
      <c r="F99" s="101"/>
      <c r="G99" s="101"/>
      <c r="H99" s="100"/>
      <c r="I99" s="100"/>
      <c r="J99" s="100"/>
      <c r="K99" s="100"/>
      <c r="L99" s="100"/>
      <c r="M99" s="100"/>
      <c r="N99" s="100"/>
      <c r="O99" s="100"/>
      <c r="P99" s="101"/>
      <c r="Q99" s="101"/>
      <c r="R99" s="101"/>
      <c r="S99" s="208"/>
      <c r="T99" s="599"/>
      <c r="U99" s="599"/>
      <c r="V99" s="599"/>
      <c r="W99" s="599"/>
      <c r="X99" s="599"/>
      <c r="Y99" s="599"/>
      <c r="Z99" s="599"/>
      <c r="AA99" s="599"/>
      <c r="AB99" s="599"/>
      <c r="AC99" s="599"/>
      <c r="AD99" s="599"/>
      <c r="AE99" s="599"/>
      <c r="AF99" s="599"/>
      <c r="AG99" s="599"/>
      <c r="AH99" s="599"/>
      <c r="AI99" s="599"/>
      <c r="AJ99" s="599"/>
      <c r="AK99" s="599"/>
      <c r="AL99" s="599"/>
      <c r="AM99" s="599"/>
      <c r="AN99" s="599"/>
      <c r="AO99" s="599"/>
      <c r="AP99" s="599"/>
      <c r="AQ99" s="599"/>
      <c r="AR99" s="599"/>
      <c r="AS99" s="599"/>
      <c r="AT99" s="599"/>
      <c r="AU99" s="599"/>
      <c r="AV99" s="599"/>
      <c r="AW99" s="599"/>
      <c r="AX99" s="599"/>
      <c r="AY99" s="599"/>
      <c r="AZ99" s="599"/>
      <c r="BA99" s="599"/>
      <c r="BB99" s="599"/>
    </row>
    <row r="100" spans="1:54" s="600" customFormat="1" ht="12.75" customHeight="1">
      <c r="A100" s="209"/>
      <c r="B100" s="209"/>
      <c r="C100" s="208" t="s">
        <v>1014</v>
      </c>
      <c r="D100" s="210"/>
      <c r="E100" s="101">
        <v>0</v>
      </c>
      <c r="F100" s="101">
        <v>0</v>
      </c>
      <c r="G100" s="101">
        <v>0</v>
      </c>
      <c r="H100" s="100"/>
      <c r="I100" s="100"/>
      <c r="J100" s="100"/>
      <c r="K100" s="100"/>
      <c r="L100" s="100"/>
      <c r="M100" s="100"/>
      <c r="N100" s="100"/>
      <c r="O100" s="100"/>
      <c r="P100" s="101"/>
      <c r="Q100" s="101"/>
      <c r="R100" s="101">
        <f aca="true" t="shared" si="5" ref="R100:R122">E100+F100+G100+P100+Q100</f>
        <v>0</v>
      </c>
      <c r="S100" s="208"/>
      <c r="T100" s="599"/>
      <c r="U100" s="599"/>
      <c r="V100" s="599"/>
      <c r="W100" s="599"/>
      <c r="X100" s="599"/>
      <c r="Y100" s="599"/>
      <c r="Z100" s="599"/>
      <c r="AA100" s="599"/>
      <c r="AB100" s="599"/>
      <c r="AC100" s="599"/>
      <c r="AD100" s="599"/>
      <c r="AE100" s="599"/>
      <c r="AF100" s="599"/>
      <c r="AG100" s="599"/>
      <c r="AH100" s="599"/>
      <c r="AI100" s="599"/>
      <c r="AJ100" s="599"/>
      <c r="AK100" s="599"/>
      <c r="AL100" s="599"/>
      <c r="AM100" s="599"/>
      <c r="AN100" s="599"/>
      <c r="AO100" s="599"/>
      <c r="AP100" s="599"/>
      <c r="AQ100" s="599"/>
      <c r="AR100" s="599"/>
      <c r="AS100" s="599"/>
      <c r="AT100" s="599"/>
      <c r="AU100" s="599"/>
      <c r="AV100" s="599"/>
      <c r="AW100" s="599"/>
      <c r="AX100" s="599"/>
      <c r="AY100" s="599"/>
      <c r="AZ100" s="599"/>
      <c r="BA100" s="599"/>
      <c r="BB100" s="599"/>
    </row>
    <row r="101" spans="1:54" s="600" customFormat="1" ht="12.75" customHeight="1">
      <c r="A101" s="209"/>
      <c r="B101" s="209"/>
      <c r="C101" s="208" t="s">
        <v>780</v>
      </c>
      <c r="D101" s="210"/>
      <c r="E101" s="101">
        <v>0</v>
      </c>
      <c r="F101" s="101">
        <v>0</v>
      </c>
      <c r="G101" s="101">
        <v>4982468.49</v>
      </c>
      <c r="H101" s="100"/>
      <c r="I101" s="100"/>
      <c r="J101" s="100"/>
      <c r="K101" s="100"/>
      <c r="L101" s="100"/>
      <c r="M101" s="100"/>
      <c r="N101" s="100"/>
      <c r="O101" s="100"/>
      <c r="P101" s="101">
        <v>0</v>
      </c>
      <c r="Q101" s="101">
        <v>0</v>
      </c>
      <c r="R101" s="101">
        <f t="shared" si="5"/>
        <v>4982468.49</v>
      </c>
      <c r="S101" s="208"/>
      <c r="T101" s="599"/>
      <c r="U101" s="599"/>
      <c r="V101" s="599"/>
      <c r="W101" s="599"/>
      <c r="X101" s="599"/>
      <c r="Y101" s="599"/>
      <c r="Z101" s="599"/>
      <c r="AA101" s="599"/>
      <c r="AB101" s="599"/>
      <c r="AC101" s="599"/>
      <c r="AD101" s="599"/>
      <c r="AE101" s="599"/>
      <c r="AF101" s="599"/>
      <c r="AG101" s="599"/>
      <c r="AH101" s="599"/>
      <c r="AI101" s="599"/>
      <c r="AJ101" s="599"/>
      <c r="AK101" s="599"/>
      <c r="AL101" s="599"/>
      <c r="AM101" s="599"/>
      <c r="AN101" s="599"/>
      <c r="AO101" s="599"/>
      <c r="AP101" s="599"/>
      <c r="AQ101" s="599"/>
      <c r="AR101" s="599"/>
      <c r="AS101" s="599"/>
      <c r="AT101" s="599"/>
      <c r="AU101" s="599"/>
      <c r="AV101" s="599"/>
      <c r="AW101" s="599"/>
      <c r="AX101" s="599"/>
      <c r="AY101" s="599"/>
      <c r="AZ101" s="599"/>
      <c r="BA101" s="599"/>
      <c r="BB101" s="599"/>
    </row>
    <row r="102" spans="1:54" s="600" customFormat="1" ht="12.75" customHeight="1">
      <c r="A102" s="209"/>
      <c r="B102" s="209"/>
      <c r="C102" s="208" t="s">
        <v>781</v>
      </c>
      <c r="D102" s="210"/>
      <c r="E102" s="101">
        <v>0</v>
      </c>
      <c r="F102" s="101">
        <v>0</v>
      </c>
      <c r="G102" s="101">
        <v>5740635.140000001</v>
      </c>
      <c r="H102" s="100"/>
      <c r="I102" s="100"/>
      <c r="J102" s="100"/>
      <c r="K102" s="100"/>
      <c r="L102" s="100"/>
      <c r="M102" s="100"/>
      <c r="N102" s="100"/>
      <c r="O102" s="100"/>
      <c r="P102" s="101">
        <v>0</v>
      </c>
      <c r="Q102" s="101">
        <v>0</v>
      </c>
      <c r="R102" s="101">
        <f t="shared" si="5"/>
        <v>5740635.140000001</v>
      </c>
      <c r="S102" s="208"/>
      <c r="T102" s="599"/>
      <c r="U102" s="599"/>
      <c r="V102" s="599"/>
      <c r="W102" s="599"/>
      <c r="X102" s="599"/>
      <c r="Y102" s="599"/>
      <c r="Z102" s="599"/>
      <c r="AA102" s="599"/>
      <c r="AB102" s="599"/>
      <c r="AC102" s="599"/>
      <c r="AD102" s="599"/>
      <c r="AE102" s="599"/>
      <c r="AF102" s="599"/>
      <c r="AG102" s="599"/>
      <c r="AH102" s="599"/>
      <c r="AI102" s="599"/>
      <c r="AJ102" s="599"/>
      <c r="AK102" s="599"/>
      <c r="AL102" s="599"/>
      <c r="AM102" s="599"/>
      <c r="AN102" s="599"/>
      <c r="AO102" s="599"/>
      <c r="AP102" s="599"/>
      <c r="AQ102" s="599"/>
      <c r="AR102" s="599"/>
      <c r="AS102" s="599"/>
      <c r="AT102" s="599"/>
      <c r="AU102" s="599"/>
      <c r="AV102" s="599"/>
      <c r="AW102" s="599"/>
      <c r="AX102" s="599"/>
      <c r="AY102" s="599"/>
      <c r="AZ102" s="599"/>
      <c r="BA102" s="599"/>
      <c r="BB102" s="599"/>
    </row>
    <row r="103" spans="1:54" s="595" customFormat="1" ht="12.75" hidden="1" outlineLevel="1">
      <c r="A103" s="223" t="s">
        <v>2727</v>
      </c>
      <c r="B103" s="224"/>
      <c r="C103" s="224" t="s">
        <v>2728</v>
      </c>
      <c r="D103" s="224" t="s">
        <v>2729</v>
      </c>
      <c r="E103" s="246">
        <v>292309.07</v>
      </c>
      <c r="F103" s="246">
        <v>0</v>
      </c>
      <c r="G103" s="246"/>
      <c r="H103" s="247">
        <v>0</v>
      </c>
      <c r="I103" s="247">
        <v>0</v>
      </c>
      <c r="J103" s="247">
        <v>0</v>
      </c>
      <c r="K103" s="247">
        <v>0</v>
      </c>
      <c r="L103" s="247">
        <v>0</v>
      </c>
      <c r="M103" s="247">
        <v>0</v>
      </c>
      <c r="N103" s="247">
        <v>0</v>
      </c>
      <c r="O103" s="247">
        <v>0</v>
      </c>
      <c r="P103" s="246">
        <v>0</v>
      </c>
      <c r="Q103" s="246">
        <v>0</v>
      </c>
      <c r="R103" s="246">
        <f t="shared" si="5"/>
        <v>292309.07</v>
      </c>
      <c r="S103" s="223"/>
      <c r="T103" s="601"/>
      <c r="U103" s="601"/>
      <c r="V103" s="601"/>
      <c r="W103" s="601"/>
      <c r="X103" s="601"/>
      <c r="Y103" s="601"/>
      <c r="Z103" s="601"/>
      <c r="AA103" s="601"/>
      <c r="AB103" s="601"/>
      <c r="AC103" s="601"/>
      <c r="AD103" s="601"/>
      <c r="AE103" s="601"/>
      <c r="AF103" s="601"/>
      <c r="AG103" s="601"/>
      <c r="AH103" s="601"/>
      <c r="AI103" s="601"/>
      <c r="AJ103" s="601"/>
      <c r="AK103" s="601"/>
      <c r="AL103" s="601"/>
      <c r="AM103" s="601"/>
      <c r="AN103" s="601"/>
      <c r="AO103" s="601"/>
      <c r="AP103" s="601"/>
      <c r="AQ103" s="601"/>
      <c r="AR103" s="601"/>
      <c r="AS103" s="601"/>
      <c r="AT103" s="601"/>
      <c r="AU103" s="601"/>
      <c r="AV103" s="601"/>
      <c r="AW103" s="601"/>
      <c r="AX103" s="601"/>
      <c r="AY103" s="601"/>
      <c r="AZ103" s="601"/>
      <c r="BA103" s="601"/>
      <c r="BB103" s="601"/>
    </row>
    <row r="104" spans="1:54" s="595" customFormat="1" ht="12.75" hidden="1" outlineLevel="1">
      <c r="A104" s="223" t="s">
        <v>2730</v>
      </c>
      <c r="B104" s="224"/>
      <c r="C104" s="224" t="s">
        <v>2731</v>
      </c>
      <c r="D104" s="224" t="s">
        <v>2732</v>
      </c>
      <c r="E104" s="246">
        <v>406638.25</v>
      </c>
      <c r="F104" s="246">
        <v>0</v>
      </c>
      <c r="G104" s="246"/>
      <c r="H104" s="247">
        <v>0</v>
      </c>
      <c r="I104" s="247">
        <v>0</v>
      </c>
      <c r="J104" s="247">
        <v>0</v>
      </c>
      <c r="K104" s="247">
        <v>0</v>
      </c>
      <c r="L104" s="247">
        <v>0</v>
      </c>
      <c r="M104" s="247">
        <v>0</v>
      </c>
      <c r="N104" s="247">
        <v>0</v>
      </c>
      <c r="O104" s="247">
        <v>0</v>
      </c>
      <c r="P104" s="246">
        <v>0</v>
      </c>
      <c r="Q104" s="246">
        <v>0</v>
      </c>
      <c r="R104" s="246">
        <f t="shared" si="5"/>
        <v>406638.25</v>
      </c>
      <c r="S104" s="223"/>
      <c r="T104" s="601"/>
      <c r="U104" s="601"/>
      <c r="V104" s="601"/>
      <c r="W104" s="601"/>
      <c r="X104" s="601"/>
      <c r="Y104" s="601"/>
      <c r="Z104" s="601"/>
      <c r="AA104" s="601"/>
      <c r="AB104" s="601"/>
      <c r="AC104" s="601"/>
      <c r="AD104" s="601"/>
      <c r="AE104" s="601"/>
      <c r="AF104" s="601"/>
      <c r="AG104" s="601"/>
      <c r="AH104" s="601"/>
      <c r="AI104" s="601"/>
      <c r="AJ104" s="601"/>
      <c r="AK104" s="601"/>
      <c r="AL104" s="601"/>
      <c r="AM104" s="601"/>
      <c r="AN104" s="601"/>
      <c r="AO104" s="601"/>
      <c r="AP104" s="601"/>
      <c r="AQ104" s="601"/>
      <c r="AR104" s="601"/>
      <c r="AS104" s="601"/>
      <c r="AT104" s="601"/>
      <c r="AU104" s="601"/>
      <c r="AV104" s="601"/>
      <c r="AW104" s="601"/>
      <c r="AX104" s="601"/>
      <c r="AY104" s="601"/>
      <c r="AZ104" s="601"/>
      <c r="BA104" s="601"/>
      <c r="BB104" s="601"/>
    </row>
    <row r="105" spans="1:54" s="595" customFormat="1" ht="12.75" hidden="1" outlineLevel="1">
      <c r="A105" s="223" t="s">
        <v>2733</v>
      </c>
      <c r="B105" s="224"/>
      <c r="C105" s="224" t="s">
        <v>2734</v>
      </c>
      <c r="D105" s="224" t="s">
        <v>2735</v>
      </c>
      <c r="E105" s="246">
        <v>15567093.03</v>
      </c>
      <c r="F105" s="246">
        <v>0</v>
      </c>
      <c r="G105" s="246"/>
      <c r="H105" s="247">
        <v>0</v>
      </c>
      <c r="I105" s="247">
        <v>0</v>
      </c>
      <c r="J105" s="247">
        <v>0</v>
      </c>
      <c r="K105" s="247">
        <v>0</v>
      </c>
      <c r="L105" s="247">
        <v>0</v>
      </c>
      <c r="M105" s="247">
        <v>0</v>
      </c>
      <c r="N105" s="247">
        <v>0</v>
      </c>
      <c r="O105" s="247">
        <v>0</v>
      </c>
      <c r="P105" s="246">
        <v>0</v>
      </c>
      <c r="Q105" s="246">
        <v>0</v>
      </c>
      <c r="R105" s="246">
        <f t="shared" si="5"/>
        <v>15567093.03</v>
      </c>
      <c r="S105" s="223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  <c r="AL105" s="601"/>
      <c r="AM105" s="601"/>
      <c r="AN105" s="601"/>
      <c r="AO105" s="601"/>
      <c r="AP105" s="601"/>
      <c r="AQ105" s="601"/>
      <c r="AR105" s="601"/>
      <c r="AS105" s="601"/>
      <c r="AT105" s="601"/>
      <c r="AU105" s="601"/>
      <c r="AV105" s="601"/>
      <c r="AW105" s="601"/>
      <c r="AX105" s="601"/>
      <c r="AY105" s="601"/>
      <c r="AZ105" s="601"/>
      <c r="BA105" s="601"/>
      <c r="BB105" s="601"/>
    </row>
    <row r="106" spans="1:54" s="595" customFormat="1" ht="12.75" hidden="1" outlineLevel="1">
      <c r="A106" s="223" t="s">
        <v>2736</v>
      </c>
      <c r="B106" s="224"/>
      <c r="C106" s="224" t="s">
        <v>2737</v>
      </c>
      <c r="D106" s="224" t="s">
        <v>2738</v>
      </c>
      <c r="E106" s="246">
        <v>5462.67</v>
      </c>
      <c r="F106" s="246">
        <v>0</v>
      </c>
      <c r="G106" s="246"/>
      <c r="H106" s="247">
        <v>0</v>
      </c>
      <c r="I106" s="247">
        <v>0</v>
      </c>
      <c r="J106" s="247">
        <v>0</v>
      </c>
      <c r="K106" s="247">
        <v>0</v>
      </c>
      <c r="L106" s="247">
        <v>0</v>
      </c>
      <c r="M106" s="247">
        <v>0</v>
      </c>
      <c r="N106" s="247">
        <v>0</v>
      </c>
      <c r="O106" s="247">
        <v>0</v>
      </c>
      <c r="P106" s="246">
        <v>0</v>
      </c>
      <c r="Q106" s="246">
        <v>0</v>
      </c>
      <c r="R106" s="246">
        <f t="shared" si="5"/>
        <v>5462.67</v>
      </c>
      <c r="S106" s="223"/>
      <c r="T106" s="601"/>
      <c r="U106" s="601"/>
      <c r="V106" s="601"/>
      <c r="W106" s="601"/>
      <c r="X106" s="601"/>
      <c r="Y106" s="601"/>
      <c r="Z106" s="601"/>
      <c r="AA106" s="601"/>
      <c r="AB106" s="601"/>
      <c r="AC106" s="601"/>
      <c r="AD106" s="601"/>
      <c r="AE106" s="601"/>
      <c r="AF106" s="601"/>
      <c r="AG106" s="601"/>
      <c r="AH106" s="601"/>
      <c r="AI106" s="601"/>
      <c r="AJ106" s="601"/>
      <c r="AK106" s="601"/>
      <c r="AL106" s="601"/>
      <c r="AM106" s="601"/>
      <c r="AN106" s="601"/>
      <c r="AO106" s="601"/>
      <c r="AP106" s="601"/>
      <c r="AQ106" s="601"/>
      <c r="AR106" s="601"/>
      <c r="AS106" s="601"/>
      <c r="AT106" s="601"/>
      <c r="AU106" s="601"/>
      <c r="AV106" s="601"/>
      <c r="AW106" s="601"/>
      <c r="AX106" s="601"/>
      <c r="AY106" s="601"/>
      <c r="AZ106" s="601"/>
      <c r="BA106" s="601"/>
      <c r="BB106" s="601"/>
    </row>
    <row r="107" spans="1:54" s="600" customFormat="1" ht="12.75" customHeight="1" collapsed="1">
      <c r="A107" s="209" t="s">
        <v>3423</v>
      </c>
      <c r="B107" s="209"/>
      <c r="C107" s="208" t="s">
        <v>3424</v>
      </c>
      <c r="D107" s="210"/>
      <c r="E107" s="101">
        <v>16271503.02</v>
      </c>
      <c r="F107" s="101">
        <v>0</v>
      </c>
      <c r="G107" s="101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1">
        <v>0</v>
      </c>
      <c r="Q107" s="101">
        <v>0</v>
      </c>
      <c r="R107" s="101">
        <f t="shared" si="5"/>
        <v>16271503.02</v>
      </c>
      <c r="S107" s="208"/>
      <c r="T107" s="599"/>
      <c r="U107" s="599"/>
      <c r="V107" s="599"/>
      <c r="W107" s="599"/>
      <c r="X107" s="599"/>
      <c r="Y107" s="599"/>
      <c r="Z107" s="599"/>
      <c r="AA107" s="599"/>
      <c r="AB107" s="599"/>
      <c r="AC107" s="599"/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  <c r="AW107" s="599"/>
      <c r="AX107" s="599"/>
      <c r="AY107" s="599"/>
      <c r="AZ107" s="599"/>
      <c r="BA107" s="599"/>
      <c r="BB107" s="599"/>
    </row>
    <row r="108" spans="1:54" s="600" customFormat="1" ht="12.75" customHeight="1">
      <c r="A108" s="209"/>
      <c r="B108" s="209"/>
      <c r="C108" s="208" t="s">
        <v>782</v>
      </c>
      <c r="D108" s="210"/>
      <c r="E108" s="101">
        <v>0</v>
      </c>
      <c r="F108" s="101">
        <v>0</v>
      </c>
      <c r="G108" s="101">
        <v>13989841.3</v>
      </c>
      <c r="H108" s="100"/>
      <c r="I108" s="100"/>
      <c r="J108" s="100"/>
      <c r="K108" s="100"/>
      <c r="L108" s="100"/>
      <c r="M108" s="100"/>
      <c r="N108" s="100"/>
      <c r="O108" s="100"/>
      <c r="P108" s="101">
        <v>0</v>
      </c>
      <c r="Q108" s="101">
        <v>0</v>
      </c>
      <c r="R108" s="101">
        <f t="shared" si="5"/>
        <v>13989841.3</v>
      </c>
      <c r="S108" s="208"/>
      <c r="T108" s="599"/>
      <c r="U108" s="599"/>
      <c r="V108" s="599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</row>
    <row r="109" spans="1:54" s="600" customFormat="1" ht="12.75" customHeight="1">
      <c r="A109" s="209" t="s">
        <v>3483</v>
      </c>
      <c r="B109" s="209"/>
      <c r="C109" s="208" t="s">
        <v>2945</v>
      </c>
      <c r="D109" s="210"/>
      <c r="E109" s="101">
        <v>0</v>
      </c>
      <c r="F109" s="101">
        <v>0</v>
      </c>
      <c r="G109" s="101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101">
        <v>0</v>
      </c>
      <c r="Q109" s="101">
        <v>0</v>
      </c>
      <c r="R109" s="101">
        <f t="shared" si="5"/>
        <v>0</v>
      </c>
      <c r="S109" s="208"/>
      <c r="T109" s="599"/>
      <c r="U109" s="599"/>
      <c r="V109" s="599"/>
      <c r="W109" s="599"/>
      <c r="X109" s="599"/>
      <c r="Y109" s="599"/>
      <c r="Z109" s="599"/>
      <c r="AA109" s="599"/>
      <c r="AB109" s="599"/>
      <c r="AC109" s="599"/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599"/>
      <c r="AQ109" s="599"/>
      <c r="AR109" s="599"/>
      <c r="AS109" s="599"/>
      <c r="AT109" s="599"/>
      <c r="AU109" s="599"/>
      <c r="AV109" s="599"/>
      <c r="AW109" s="599"/>
      <c r="AX109" s="599"/>
      <c r="AY109" s="599"/>
      <c r="AZ109" s="599"/>
      <c r="BA109" s="599"/>
      <c r="BB109" s="599"/>
    </row>
    <row r="110" spans="1:54" s="595" customFormat="1" ht="12.75" hidden="1" outlineLevel="1">
      <c r="A110" s="223" t="s">
        <v>3484</v>
      </c>
      <c r="B110" s="224"/>
      <c r="C110" s="224" t="s">
        <v>3485</v>
      </c>
      <c r="D110" s="224" t="s">
        <v>3486</v>
      </c>
      <c r="E110" s="246">
        <v>741703.38</v>
      </c>
      <c r="F110" s="246">
        <v>5387</v>
      </c>
      <c r="G110" s="246"/>
      <c r="H110" s="247">
        <v>117326</v>
      </c>
      <c r="I110" s="247">
        <v>0</v>
      </c>
      <c r="J110" s="247">
        <v>7075.83</v>
      </c>
      <c r="K110" s="247">
        <v>0</v>
      </c>
      <c r="L110" s="247">
        <v>0</v>
      </c>
      <c r="M110" s="247">
        <v>75</v>
      </c>
      <c r="N110" s="247">
        <v>0</v>
      </c>
      <c r="O110" s="247">
        <v>71484.12</v>
      </c>
      <c r="P110" s="246">
        <v>195960.95</v>
      </c>
      <c r="Q110" s="246">
        <v>0</v>
      </c>
      <c r="R110" s="246">
        <f t="shared" si="5"/>
        <v>943051.3300000001</v>
      </c>
      <c r="S110" s="223"/>
      <c r="T110" s="601"/>
      <c r="U110" s="601"/>
      <c r="V110" s="601"/>
      <c r="W110" s="601"/>
      <c r="X110" s="601"/>
      <c r="Y110" s="601"/>
      <c r="Z110" s="601"/>
      <c r="AA110" s="601"/>
      <c r="AB110" s="601"/>
      <c r="AC110" s="601"/>
      <c r="AD110" s="601"/>
      <c r="AE110" s="601"/>
      <c r="AF110" s="601"/>
      <c r="AG110" s="601"/>
      <c r="AH110" s="601"/>
      <c r="AI110" s="601"/>
      <c r="AJ110" s="601"/>
      <c r="AK110" s="601"/>
      <c r="AL110" s="601"/>
      <c r="AM110" s="601"/>
      <c r="AN110" s="601"/>
      <c r="AO110" s="601"/>
      <c r="AP110" s="601"/>
      <c r="AQ110" s="601"/>
      <c r="AR110" s="601"/>
      <c r="AS110" s="601"/>
      <c r="AT110" s="601"/>
      <c r="AU110" s="601"/>
      <c r="AV110" s="601"/>
      <c r="AW110" s="601"/>
      <c r="AX110" s="601"/>
      <c r="AY110" s="601"/>
      <c r="AZ110" s="601"/>
      <c r="BA110" s="601"/>
      <c r="BB110" s="601"/>
    </row>
    <row r="111" spans="1:54" s="595" customFormat="1" ht="12.75" hidden="1" outlineLevel="1">
      <c r="A111" s="223" t="s">
        <v>3487</v>
      </c>
      <c r="B111" s="224"/>
      <c r="C111" s="224" t="s">
        <v>3488</v>
      </c>
      <c r="D111" s="224" t="s">
        <v>3489</v>
      </c>
      <c r="E111" s="246">
        <v>0</v>
      </c>
      <c r="F111" s="246">
        <v>7207.91</v>
      </c>
      <c r="G111" s="246"/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0</v>
      </c>
      <c r="N111" s="247">
        <v>0</v>
      </c>
      <c r="O111" s="247">
        <v>0</v>
      </c>
      <c r="P111" s="246">
        <v>0</v>
      </c>
      <c r="Q111" s="246">
        <v>0</v>
      </c>
      <c r="R111" s="246">
        <f t="shared" si="5"/>
        <v>7207.91</v>
      </c>
      <c r="S111" s="223"/>
      <c r="T111" s="601"/>
      <c r="U111" s="601"/>
      <c r="V111" s="601"/>
      <c r="W111" s="601"/>
      <c r="X111" s="601"/>
      <c r="Y111" s="601"/>
      <c r="Z111" s="601"/>
      <c r="AA111" s="601"/>
      <c r="AB111" s="601"/>
      <c r="AC111" s="601"/>
      <c r="AD111" s="601"/>
      <c r="AE111" s="601"/>
      <c r="AF111" s="601"/>
      <c r="AG111" s="601"/>
      <c r="AH111" s="601"/>
      <c r="AI111" s="601"/>
      <c r="AJ111" s="601"/>
      <c r="AK111" s="601"/>
      <c r="AL111" s="601"/>
      <c r="AM111" s="601"/>
      <c r="AN111" s="601"/>
      <c r="AO111" s="601"/>
      <c r="AP111" s="601"/>
      <c r="AQ111" s="601"/>
      <c r="AR111" s="601"/>
      <c r="AS111" s="601"/>
      <c r="AT111" s="601"/>
      <c r="AU111" s="601"/>
      <c r="AV111" s="601"/>
      <c r="AW111" s="601"/>
      <c r="AX111" s="601"/>
      <c r="AY111" s="601"/>
      <c r="AZ111" s="601"/>
      <c r="BA111" s="601"/>
      <c r="BB111" s="601"/>
    </row>
    <row r="112" spans="1:54" s="595" customFormat="1" ht="12.75" hidden="1" outlineLevel="1">
      <c r="A112" s="223" t="s">
        <v>894</v>
      </c>
      <c r="B112" s="224"/>
      <c r="C112" s="224" t="s">
        <v>895</v>
      </c>
      <c r="D112" s="224" t="s">
        <v>896</v>
      </c>
      <c r="E112" s="246">
        <v>-538.77</v>
      </c>
      <c r="F112" s="246">
        <v>0</v>
      </c>
      <c r="G112" s="246"/>
      <c r="H112" s="247">
        <v>0</v>
      </c>
      <c r="I112" s="247">
        <v>0</v>
      </c>
      <c r="J112" s="247">
        <v>0</v>
      </c>
      <c r="K112" s="247">
        <v>0</v>
      </c>
      <c r="L112" s="247">
        <v>0</v>
      </c>
      <c r="M112" s="247">
        <v>0</v>
      </c>
      <c r="N112" s="247">
        <v>0</v>
      </c>
      <c r="O112" s="247">
        <v>0</v>
      </c>
      <c r="P112" s="246">
        <v>0</v>
      </c>
      <c r="Q112" s="246">
        <v>0</v>
      </c>
      <c r="R112" s="246">
        <f t="shared" si="5"/>
        <v>-538.77</v>
      </c>
      <c r="S112" s="223"/>
      <c r="T112" s="601"/>
      <c r="U112" s="601"/>
      <c r="V112" s="601"/>
      <c r="W112" s="601"/>
      <c r="X112" s="601"/>
      <c r="Y112" s="601"/>
      <c r="Z112" s="601"/>
      <c r="AA112" s="601"/>
      <c r="AB112" s="601"/>
      <c r="AC112" s="601"/>
      <c r="AD112" s="601"/>
      <c r="AE112" s="601"/>
      <c r="AF112" s="601"/>
      <c r="AG112" s="601"/>
      <c r="AH112" s="601"/>
      <c r="AI112" s="601"/>
      <c r="AJ112" s="601"/>
      <c r="AK112" s="601"/>
      <c r="AL112" s="601"/>
      <c r="AM112" s="601"/>
      <c r="AN112" s="601"/>
      <c r="AO112" s="601"/>
      <c r="AP112" s="601"/>
      <c r="AQ112" s="601"/>
      <c r="AR112" s="601"/>
      <c r="AS112" s="601"/>
      <c r="AT112" s="601"/>
      <c r="AU112" s="601"/>
      <c r="AV112" s="601"/>
      <c r="AW112" s="601"/>
      <c r="AX112" s="601"/>
      <c r="AY112" s="601"/>
      <c r="AZ112" s="601"/>
      <c r="BA112" s="601"/>
      <c r="BB112" s="601"/>
    </row>
    <row r="113" spans="1:54" s="595" customFormat="1" ht="12.75" hidden="1" outlineLevel="1">
      <c r="A113" s="223" t="s">
        <v>3490</v>
      </c>
      <c r="B113" s="224"/>
      <c r="C113" s="224" t="s">
        <v>3491</v>
      </c>
      <c r="D113" s="224" t="s">
        <v>3492</v>
      </c>
      <c r="E113" s="246">
        <v>3641257.29</v>
      </c>
      <c r="F113" s="246">
        <v>4624</v>
      </c>
      <c r="G113" s="246"/>
      <c r="H113" s="247">
        <v>31113.51</v>
      </c>
      <c r="I113" s="247">
        <v>0</v>
      </c>
      <c r="J113" s="247">
        <v>0</v>
      </c>
      <c r="K113" s="247">
        <v>-155.18</v>
      </c>
      <c r="L113" s="247">
        <v>54841.66</v>
      </c>
      <c r="M113" s="247">
        <v>205031.77</v>
      </c>
      <c r="N113" s="247">
        <v>271.7</v>
      </c>
      <c r="O113" s="247">
        <v>58851.55</v>
      </c>
      <c r="P113" s="246">
        <v>349955.01</v>
      </c>
      <c r="Q113" s="246">
        <v>0</v>
      </c>
      <c r="R113" s="246">
        <f t="shared" si="5"/>
        <v>3995836.3</v>
      </c>
      <c r="S113" s="223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1"/>
      <c r="AE113" s="601"/>
      <c r="AF113" s="601"/>
      <c r="AG113" s="601"/>
      <c r="AH113" s="601"/>
      <c r="AI113" s="601"/>
      <c r="AJ113" s="601"/>
      <c r="AK113" s="601"/>
      <c r="AL113" s="601"/>
      <c r="AM113" s="601"/>
      <c r="AN113" s="601"/>
      <c r="AO113" s="601"/>
      <c r="AP113" s="601"/>
      <c r="AQ113" s="601"/>
      <c r="AR113" s="601"/>
      <c r="AS113" s="601"/>
      <c r="AT113" s="601"/>
      <c r="AU113" s="601"/>
      <c r="AV113" s="601"/>
      <c r="AW113" s="601"/>
      <c r="AX113" s="601"/>
      <c r="AY113" s="601"/>
      <c r="AZ113" s="601"/>
      <c r="BA113" s="601"/>
      <c r="BB113" s="601"/>
    </row>
    <row r="114" spans="1:54" s="595" customFormat="1" ht="12.75" hidden="1" outlineLevel="1">
      <c r="A114" s="223" t="s">
        <v>2760</v>
      </c>
      <c r="B114" s="224"/>
      <c r="C114" s="224" t="s">
        <v>2761</v>
      </c>
      <c r="D114" s="224" t="s">
        <v>2762</v>
      </c>
      <c r="E114" s="246">
        <v>553.5</v>
      </c>
      <c r="F114" s="246">
        <v>0</v>
      </c>
      <c r="G114" s="246"/>
      <c r="H114" s="247">
        <v>0</v>
      </c>
      <c r="I114" s="247">
        <v>0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0</v>
      </c>
      <c r="P114" s="246">
        <v>0</v>
      </c>
      <c r="Q114" s="246">
        <v>0</v>
      </c>
      <c r="R114" s="246">
        <f t="shared" si="5"/>
        <v>553.5</v>
      </c>
      <c r="S114" s="223"/>
      <c r="T114" s="601"/>
      <c r="U114" s="601"/>
      <c r="V114" s="601"/>
      <c r="W114" s="601"/>
      <c r="X114" s="601"/>
      <c r="Y114" s="601"/>
      <c r="Z114" s="601"/>
      <c r="AA114" s="601"/>
      <c r="AB114" s="601"/>
      <c r="AC114" s="601"/>
      <c r="AD114" s="601"/>
      <c r="AE114" s="601"/>
      <c r="AF114" s="601"/>
      <c r="AG114" s="601"/>
      <c r="AH114" s="601"/>
      <c r="AI114" s="601"/>
      <c r="AJ114" s="601"/>
      <c r="AK114" s="601"/>
      <c r="AL114" s="601"/>
      <c r="AM114" s="601"/>
      <c r="AN114" s="601"/>
      <c r="AO114" s="601"/>
      <c r="AP114" s="601"/>
      <c r="AQ114" s="601"/>
      <c r="AR114" s="601"/>
      <c r="AS114" s="601"/>
      <c r="AT114" s="601"/>
      <c r="AU114" s="601"/>
      <c r="AV114" s="601"/>
      <c r="AW114" s="601"/>
      <c r="AX114" s="601"/>
      <c r="AY114" s="601"/>
      <c r="AZ114" s="601"/>
      <c r="BA114" s="601"/>
      <c r="BB114" s="601"/>
    </row>
    <row r="115" spans="1:54" s="595" customFormat="1" ht="12.75" hidden="1" outlineLevel="1">
      <c r="A115" s="223" t="s">
        <v>3496</v>
      </c>
      <c r="B115" s="224"/>
      <c r="C115" s="224" t="s">
        <v>3497</v>
      </c>
      <c r="D115" s="224" t="s">
        <v>3498</v>
      </c>
      <c r="E115" s="246">
        <v>27085.52</v>
      </c>
      <c r="F115" s="246">
        <v>0</v>
      </c>
      <c r="G115" s="246"/>
      <c r="H115" s="247">
        <v>0</v>
      </c>
      <c r="I115" s="247">
        <v>0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15935.9</v>
      </c>
      <c r="P115" s="246">
        <v>15935.9</v>
      </c>
      <c r="Q115" s="246">
        <v>0</v>
      </c>
      <c r="R115" s="246">
        <f t="shared" si="5"/>
        <v>43021.42</v>
      </c>
      <c r="S115" s="223"/>
      <c r="T115" s="601"/>
      <c r="U115" s="601"/>
      <c r="V115" s="601"/>
      <c r="W115" s="601"/>
      <c r="X115" s="601"/>
      <c r="Y115" s="601"/>
      <c r="Z115" s="601"/>
      <c r="AA115" s="601"/>
      <c r="AB115" s="601"/>
      <c r="AC115" s="601"/>
      <c r="AD115" s="601"/>
      <c r="AE115" s="601"/>
      <c r="AF115" s="601"/>
      <c r="AG115" s="601"/>
      <c r="AH115" s="601"/>
      <c r="AI115" s="601"/>
      <c r="AJ115" s="601"/>
      <c r="AK115" s="601"/>
      <c r="AL115" s="601"/>
      <c r="AM115" s="601"/>
      <c r="AN115" s="601"/>
      <c r="AO115" s="601"/>
      <c r="AP115" s="601"/>
      <c r="AQ115" s="601"/>
      <c r="AR115" s="601"/>
      <c r="AS115" s="601"/>
      <c r="AT115" s="601"/>
      <c r="AU115" s="601"/>
      <c r="AV115" s="601"/>
      <c r="AW115" s="601"/>
      <c r="AX115" s="601"/>
      <c r="AY115" s="601"/>
      <c r="AZ115" s="601"/>
      <c r="BA115" s="601"/>
      <c r="BB115" s="601"/>
    </row>
    <row r="116" spans="1:54" s="595" customFormat="1" ht="12.75" hidden="1" outlineLevel="1">
      <c r="A116" s="223" t="s">
        <v>1015</v>
      </c>
      <c r="B116" s="224"/>
      <c r="C116" s="224" t="s">
        <v>1016</v>
      </c>
      <c r="D116" s="224" t="s">
        <v>1017</v>
      </c>
      <c r="E116" s="246">
        <v>0</v>
      </c>
      <c r="F116" s="246">
        <v>0</v>
      </c>
      <c r="G116" s="246"/>
      <c r="H116" s="247">
        <v>0</v>
      </c>
      <c r="I116" s="247">
        <v>0</v>
      </c>
      <c r="J116" s="247">
        <v>0</v>
      </c>
      <c r="K116" s="247">
        <v>0</v>
      </c>
      <c r="L116" s="247">
        <v>0</v>
      </c>
      <c r="M116" s="247">
        <v>0</v>
      </c>
      <c r="N116" s="247">
        <v>0</v>
      </c>
      <c r="O116" s="247">
        <v>262.5</v>
      </c>
      <c r="P116" s="246">
        <v>262.5</v>
      </c>
      <c r="Q116" s="246">
        <v>0</v>
      </c>
      <c r="R116" s="246">
        <f t="shared" si="5"/>
        <v>262.5</v>
      </c>
      <c r="S116" s="223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F116" s="601"/>
      <c r="AG116" s="601"/>
      <c r="AH116" s="601"/>
      <c r="AI116" s="601"/>
      <c r="AJ116" s="601"/>
      <c r="AK116" s="601"/>
      <c r="AL116" s="601"/>
      <c r="AM116" s="601"/>
      <c r="AN116" s="601"/>
      <c r="AO116" s="601"/>
      <c r="AP116" s="601"/>
      <c r="AQ116" s="601"/>
      <c r="AR116" s="601"/>
      <c r="AS116" s="601"/>
      <c r="AT116" s="601"/>
      <c r="AU116" s="601"/>
      <c r="AV116" s="601"/>
      <c r="AW116" s="601"/>
      <c r="AX116" s="601"/>
      <c r="AY116" s="601"/>
      <c r="AZ116" s="601"/>
      <c r="BA116" s="601"/>
      <c r="BB116" s="601"/>
    </row>
    <row r="117" spans="1:54" s="595" customFormat="1" ht="12.75" hidden="1" outlineLevel="1">
      <c r="A117" s="223" t="s">
        <v>2763</v>
      </c>
      <c r="B117" s="224"/>
      <c r="C117" s="224" t="s">
        <v>2764</v>
      </c>
      <c r="D117" s="224" t="s">
        <v>2765</v>
      </c>
      <c r="E117" s="246">
        <v>0</v>
      </c>
      <c r="F117" s="246">
        <v>0</v>
      </c>
      <c r="G117" s="246"/>
      <c r="H117" s="247">
        <v>0</v>
      </c>
      <c r="I117" s="247">
        <v>0</v>
      </c>
      <c r="J117" s="247">
        <v>188786</v>
      </c>
      <c r="K117" s="247">
        <v>0</v>
      </c>
      <c r="L117" s="247">
        <v>0</v>
      </c>
      <c r="M117" s="247">
        <v>0</v>
      </c>
      <c r="N117" s="247">
        <v>0</v>
      </c>
      <c r="O117" s="247">
        <v>2988</v>
      </c>
      <c r="P117" s="246">
        <v>191774</v>
      </c>
      <c r="Q117" s="246">
        <v>0</v>
      </c>
      <c r="R117" s="246">
        <f t="shared" si="5"/>
        <v>191774</v>
      </c>
      <c r="S117" s="223"/>
      <c r="T117" s="601"/>
      <c r="U117" s="601"/>
      <c r="V117" s="601"/>
      <c r="W117" s="601"/>
      <c r="X117" s="601"/>
      <c r="Y117" s="601"/>
      <c r="Z117" s="601"/>
      <c r="AA117" s="601"/>
      <c r="AB117" s="601"/>
      <c r="AC117" s="601"/>
      <c r="AD117" s="601"/>
      <c r="AE117" s="601"/>
      <c r="AF117" s="601"/>
      <c r="AG117" s="601"/>
      <c r="AH117" s="601"/>
      <c r="AI117" s="601"/>
      <c r="AJ117" s="601"/>
      <c r="AK117" s="601"/>
      <c r="AL117" s="601"/>
      <c r="AM117" s="601"/>
      <c r="AN117" s="601"/>
      <c r="AO117" s="601"/>
      <c r="AP117" s="601"/>
      <c r="AQ117" s="601"/>
      <c r="AR117" s="601"/>
      <c r="AS117" s="601"/>
      <c r="AT117" s="601"/>
      <c r="AU117" s="601"/>
      <c r="AV117" s="601"/>
      <c r="AW117" s="601"/>
      <c r="AX117" s="601"/>
      <c r="AY117" s="601"/>
      <c r="AZ117" s="601"/>
      <c r="BA117" s="601"/>
      <c r="BB117" s="601"/>
    </row>
    <row r="118" spans="1:54" s="595" customFormat="1" ht="12.75" hidden="1" outlineLevel="1">
      <c r="A118" s="223" t="s">
        <v>2766</v>
      </c>
      <c r="B118" s="224"/>
      <c r="C118" s="224" t="s">
        <v>2767</v>
      </c>
      <c r="D118" s="224" t="s">
        <v>2768</v>
      </c>
      <c r="E118" s="246">
        <v>12420</v>
      </c>
      <c r="F118" s="246">
        <v>0</v>
      </c>
      <c r="G118" s="246"/>
      <c r="H118" s="247">
        <v>0</v>
      </c>
      <c r="I118" s="247">
        <v>0</v>
      </c>
      <c r="J118" s="247">
        <v>0</v>
      </c>
      <c r="K118" s="247">
        <v>0</v>
      </c>
      <c r="L118" s="247">
        <v>0</v>
      </c>
      <c r="M118" s="247">
        <v>0</v>
      </c>
      <c r="N118" s="247">
        <v>0</v>
      </c>
      <c r="O118" s="247">
        <v>0</v>
      </c>
      <c r="P118" s="246">
        <v>0</v>
      </c>
      <c r="Q118" s="246">
        <v>0</v>
      </c>
      <c r="R118" s="246">
        <f t="shared" si="5"/>
        <v>12420</v>
      </c>
      <c r="S118" s="223"/>
      <c r="T118" s="601"/>
      <c r="U118" s="601"/>
      <c r="V118" s="601"/>
      <c r="W118" s="601"/>
      <c r="X118" s="601"/>
      <c r="Y118" s="601"/>
      <c r="Z118" s="601"/>
      <c r="AA118" s="601"/>
      <c r="AB118" s="601"/>
      <c r="AC118" s="601"/>
      <c r="AD118" s="601"/>
      <c r="AE118" s="601"/>
      <c r="AF118" s="601"/>
      <c r="AG118" s="601"/>
      <c r="AH118" s="601"/>
      <c r="AI118" s="601"/>
      <c r="AJ118" s="601"/>
      <c r="AK118" s="601"/>
      <c r="AL118" s="601"/>
      <c r="AM118" s="601"/>
      <c r="AN118" s="601"/>
      <c r="AO118" s="601"/>
      <c r="AP118" s="601"/>
      <c r="AQ118" s="601"/>
      <c r="AR118" s="601"/>
      <c r="AS118" s="601"/>
      <c r="AT118" s="601"/>
      <c r="AU118" s="601"/>
      <c r="AV118" s="601"/>
      <c r="AW118" s="601"/>
      <c r="AX118" s="601"/>
      <c r="AY118" s="601"/>
      <c r="AZ118" s="601"/>
      <c r="BA118" s="601"/>
      <c r="BB118" s="601"/>
    </row>
    <row r="119" spans="1:54" s="595" customFormat="1" ht="12.75" hidden="1" outlineLevel="1">
      <c r="A119" s="223" t="s">
        <v>3499</v>
      </c>
      <c r="B119" s="224"/>
      <c r="C119" s="224" t="s">
        <v>3500</v>
      </c>
      <c r="D119" s="224" t="s">
        <v>3501</v>
      </c>
      <c r="E119" s="246">
        <v>6383.55</v>
      </c>
      <c r="F119" s="246">
        <v>0</v>
      </c>
      <c r="G119" s="246"/>
      <c r="H119" s="247">
        <v>0</v>
      </c>
      <c r="I119" s="247">
        <v>0</v>
      </c>
      <c r="J119" s="247">
        <v>0</v>
      </c>
      <c r="K119" s="247">
        <v>0</v>
      </c>
      <c r="L119" s="247">
        <v>0</v>
      </c>
      <c r="M119" s="247">
        <v>0</v>
      </c>
      <c r="N119" s="247">
        <v>0</v>
      </c>
      <c r="O119" s="247">
        <v>0</v>
      </c>
      <c r="P119" s="246">
        <v>0</v>
      </c>
      <c r="Q119" s="246">
        <v>0</v>
      </c>
      <c r="R119" s="246">
        <f t="shared" si="5"/>
        <v>6383.55</v>
      </c>
      <c r="S119" s="223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F119" s="601"/>
      <c r="AG119" s="601"/>
      <c r="AH119" s="601"/>
      <c r="AI119" s="601"/>
      <c r="AJ119" s="601"/>
      <c r="AK119" s="601"/>
      <c r="AL119" s="601"/>
      <c r="AM119" s="601"/>
      <c r="AN119" s="601"/>
      <c r="AO119" s="601"/>
      <c r="AP119" s="601"/>
      <c r="AQ119" s="601"/>
      <c r="AR119" s="601"/>
      <c r="AS119" s="601"/>
      <c r="AT119" s="601"/>
      <c r="AU119" s="601"/>
      <c r="AV119" s="601"/>
      <c r="AW119" s="601"/>
      <c r="AX119" s="601"/>
      <c r="AY119" s="601"/>
      <c r="AZ119" s="601"/>
      <c r="BA119" s="601"/>
      <c r="BB119" s="601"/>
    </row>
    <row r="120" spans="1:54" s="595" customFormat="1" ht="12.75" hidden="1" outlineLevel="1">
      <c r="A120" s="223" t="s">
        <v>2769</v>
      </c>
      <c r="B120" s="224"/>
      <c r="C120" s="224" t="s">
        <v>2770</v>
      </c>
      <c r="D120" s="224" t="s">
        <v>2771</v>
      </c>
      <c r="E120" s="246">
        <v>4625313.27</v>
      </c>
      <c r="F120" s="246">
        <v>0</v>
      </c>
      <c r="G120" s="246"/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0</v>
      </c>
      <c r="P120" s="246">
        <v>0</v>
      </c>
      <c r="Q120" s="246">
        <v>0</v>
      </c>
      <c r="R120" s="246">
        <f t="shared" si="5"/>
        <v>4625313.27</v>
      </c>
      <c r="S120" s="223"/>
      <c r="T120" s="601"/>
      <c r="U120" s="601"/>
      <c r="V120" s="601"/>
      <c r="W120" s="601"/>
      <c r="X120" s="601"/>
      <c r="Y120" s="601"/>
      <c r="Z120" s="601"/>
      <c r="AA120" s="601"/>
      <c r="AB120" s="601"/>
      <c r="AC120" s="601"/>
      <c r="AD120" s="601"/>
      <c r="AE120" s="601"/>
      <c r="AF120" s="601"/>
      <c r="AG120" s="601"/>
      <c r="AH120" s="601"/>
      <c r="AI120" s="601"/>
      <c r="AJ120" s="601"/>
      <c r="AK120" s="601"/>
      <c r="AL120" s="601"/>
      <c r="AM120" s="601"/>
      <c r="AN120" s="601"/>
      <c r="AO120" s="601"/>
      <c r="AP120" s="601"/>
      <c r="AQ120" s="601"/>
      <c r="AR120" s="601"/>
      <c r="AS120" s="601"/>
      <c r="AT120" s="601"/>
      <c r="AU120" s="601"/>
      <c r="AV120" s="601"/>
      <c r="AW120" s="601"/>
      <c r="AX120" s="601"/>
      <c r="AY120" s="601"/>
      <c r="AZ120" s="601"/>
      <c r="BA120" s="601"/>
      <c r="BB120" s="601"/>
    </row>
    <row r="121" spans="1:54" s="595" customFormat="1" ht="12.75" hidden="1" outlineLevel="1">
      <c r="A121" s="223" t="s">
        <v>2772</v>
      </c>
      <c r="B121" s="224"/>
      <c r="C121" s="224" t="s">
        <v>2773</v>
      </c>
      <c r="D121" s="224" t="s">
        <v>2774</v>
      </c>
      <c r="E121" s="246">
        <v>20643.57</v>
      </c>
      <c r="F121" s="246">
        <v>0</v>
      </c>
      <c r="G121" s="246"/>
      <c r="H121" s="247">
        <v>0</v>
      </c>
      <c r="I121" s="247">
        <v>0</v>
      </c>
      <c r="J121" s="247">
        <v>0</v>
      </c>
      <c r="K121" s="247">
        <v>0</v>
      </c>
      <c r="L121" s="247">
        <v>0</v>
      </c>
      <c r="M121" s="247">
        <v>0</v>
      </c>
      <c r="N121" s="247">
        <v>0</v>
      </c>
      <c r="O121" s="247">
        <v>0</v>
      </c>
      <c r="P121" s="246">
        <v>0</v>
      </c>
      <c r="Q121" s="246">
        <v>0</v>
      </c>
      <c r="R121" s="246">
        <f t="shared" si="5"/>
        <v>20643.57</v>
      </c>
      <c r="S121" s="223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1"/>
      <c r="AL121" s="601"/>
      <c r="AM121" s="601"/>
      <c r="AN121" s="601"/>
      <c r="AO121" s="601"/>
      <c r="AP121" s="601"/>
      <c r="AQ121" s="601"/>
      <c r="AR121" s="601"/>
      <c r="AS121" s="601"/>
      <c r="AT121" s="601"/>
      <c r="AU121" s="601"/>
      <c r="AV121" s="601"/>
      <c r="AW121" s="601"/>
      <c r="AX121" s="601"/>
      <c r="AY121" s="601"/>
      <c r="AZ121" s="601"/>
      <c r="BA121" s="601"/>
      <c r="BB121" s="601"/>
    </row>
    <row r="122" spans="1:54" s="600" customFormat="1" ht="12.75" customHeight="1" collapsed="1">
      <c r="A122" s="209" t="s">
        <v>3508</v>
      </c>
      <c r="B122" s="209"/>
      <c r="C122" s="208" t="s">
        <v>2946</v>
      </c>
      <c r="D122" s="210"/>
      <c r="E122" s="101">
        <v>9074821.309999999</v>
      </c>
      <c r="F122" s="101">
        <v>17218.91</v>
      </c>
      <c r="G122" s="101">
        <v>0</v>
      </c>
      <c r="H122" s="100">
        <v>148439.51</v>
      </c>
      <c r="I122" s="100">
        <v>0</v>
      </c>
      <c r="J122" s="100">
        <v>195861.83</v>
      </c>
      <c r="K122" s="100">
        <v>-155.18</v>
      </c>
      <c r="L122" s="100">
        <v>54841.66</v>
      </c>
      <c r="M122" s="100">
        <v>205106.77</v>
      </c>
      <c r="N122" s="100">
        <v>271.7</v>
      </c>
      <c r="O122" s="100">
        <v>149522.07</v>
      </c>
      <c r="P122" s="101">
        <v>753888.36</v>
      </c>
      <c r="Q122" s="101">
        <v>0</v>
      </c>
      <c r="R122" s="101">
        <f t="shared" si="5"/>
        <v>9845928.579999998</v>
      </c>
      <c r="S122" s="208"/>
      <c r="T122" s="599"/>
      <c r="U122" s="599"/>
      <c r="V122" s="599"/>
      <c r="W122" s="599"/>
      <c r="X122" s="599"/>
      <c r="Y122" s="599"/>
      <c r="Z122" s="599"/>
      <c r="AA122" s="599"/>
      <c r="AB122" s="599"/>
      <c r="AC122" s="599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599"/>
      <c r="AP122" s="599"/>
      <c r="AQ122" s="599"/>
      <c r="AR122" s="599"/>
      <c r="AS122" s="599"/>
      <c r="AT122" s="599"/>
      <c r="AU122" s="599"/>
      <c r="AV122" s="599"/>
      <c r="AW122" s="599"/>
      <c r="AX122" s="599"/>
      <c r="AY122" s="599"/>
      <c r="AZ122" s="599"/>
      <c r="BA122" s="599"/>
      <c r="BB122" s="599"/>
    </row>
    <row r="123" spans="1:54" s="600" customFormat="1" ht="12.75" customHeight="1">
      <c r="A123" s="244" t="s">
        <v>728</v>
      </c>
      <c r="B123" s="214"/>
      <c r="C123" s="207" t="s">
        <v>2947</v>
      </c>
      <c r="D123" s="62"/>
      <c r="E123" s="103">
        <f aca="true" t="shared" si="6" ref="E123:R123">+E84+E86+E87+E88+E98+E100+E101+E102+E107+E108+E109+E122</f>
        <v>108521944.11</v>
      </c>
      <c r="F123" s="103">
        <f t="shared" si="6"/>
        <v>5586588.540000002</v>
      </c>
      <c r="G123" s="103">
        <f t="shared" si="6"/>
        <v>24712944.93</v>
      </c>
      <c r="H123" s="245">
        <f t="shared" si="6"/>
        <v>148439.51</v>
      </c>
      <c r="I123" s="245">
        <f t="shared" si="6"/>
        <v>0</v>
      </c>
      <c r="J123" s="245">
        <f t="shared" si="6"/>
        <v>195832.96</v>
      </c>
      <c r="K123" s="245">
        <f t="shared" si="6"/>
        <v>117767.63</v>
      </c>
      <c r="L123" s="245">
        <f t="shared" si="6"/>
        <v>54841.66</v>
      </c>
      <c r="M123" s="245">
        <f t="shared" si="6"/>
        <v>205106.77</v>
      </c>
      <c r="N123" s="245">
        <f t="shared" si="6"/>
        <v>271.7</v>
      </c>
      <c r="O123" s="245">
        <f t="shared" si="6"/>
        <v>260171.51</v>
      </c>
      <c r="P123" s="103">
        <f t="shared" si="6"/>
        <v>982431.74</v>
      </c>
      <c r="Q123" s="103">
        <f t="shared" si="6"/>
        <v>0</v>
      </c>
      <c r="R123" s="103">
        <f t="shared" si="6"/>
        <v>139803909.32</v>
      </c>
      <c r="S123" s="242"/>
      <c r="T123" s="599"/>
      <c r="U123" s="599"/>
      <c r="V123" s="599"/>
      <c r="W123" s="599"/>
      <c r="X123" s="599"/>
      <c r="Y123" s="599"/>
      <c r="Z123" s="599"/>
      <c r="AA123" s="599"/>
      <c r="AB123" s="599"/>
      <c r="AC123" s="599"/>
      <c r="AD123" s="599"/>
      <c r="AE123" s="599"/>
      <c r="AF123" s="599"/>
      <c r="AG123" s="599"/>
      <c r="AH123" s="599"/>
      <c r="AI123" s="599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599"/>
      <c r="AW123" s="599"/>
      <c r="AX123" s="599"/>
      <c r="AY123" s="599"/>
      <c r="AZ123" s="599"/>
      <c r="BA123" s="599"/>
      <c r="BB123" s="599"/>
    </row>
    <row r="124" spans="1:54" s="600" customFormat="1" ht="12.75" customHeight="1">
      <c r="A124" s="209"/>
      <c r="B124" s="209"/>
      <c r="C124" s="208"/>
      <c r="D124" s="210"/>
      <c r="E124" s="101"/>
      <c r="F124" s="101"/>
      <c r="G124" s="101"/>
      <c r="H124" s="100"/>
      <c r="I124" s="100"/>
      <c r="J124" s="100"/>
      <c r="K124" s="100"/>
      <c r="L124" s="100"/>
      <c r="M124" s="100"/>
      <c r="N124" s="100"/>
      <c r="O124" s="100"/>
      <c r="P124" s="101"/>
      <c r="Q124" s="101"/>
      <c r="R124" s="101"/>
      <c r="S124" s="208"/>
      <c r="T124" s="599"/>
      <c r="U124" s="599"/>
      <c r="V124" s="599"/>
      <c r="W124" s="599"/>
      <c r="X124" s="599"/>
      <c r="Y124" s="599"/>
      <c r="Z124" s="599"/>
      <c r="AA124" s="599"/>
      <c r="AB124" s="599"/>
      <c r="AC124" s="599"/>
      <c r="AD124" s="599"/>
      <c r="AE124" s="599"/>
      <c r="AF124" s="599"/>
      <c r="AG124" s="599"/>
      <c r="AH124" s="599"/>
      <c r="AI124" s="599"/>
      <c r="AJ124" s="599"/>
      <c r="AK124" s="599"/>
      <c r="AL124" s="599"/>
      <c r="AM124" s="599"/>
      <c r="AN124" s="599"/>
      <c r="AO124" s="599"/>
      <c r="AP124" s="599"/>
      <c r="AQ124" s="599"/>
      <c r="AR124" s="599"/>
      <c r="AS124" s="599"/>
      <c r="AT124" s="599"/>
      <c r="AU124" s="599"/>
      <c r="AV124" s="599"/>
      <c r="AW124" s="599"/>
      <c r="AX124" s="599"/>
      <c r="AY124" s="599"/>
      <c r="AZ124" s="599"/>
      <c r="BA124" s="599"/>
      <c r="BB124" s="599"/>
    </row>
    <row r="125" spans="1:54" s="600" customFormat="1" ht="12.75" customHeight="1">
      <c r="A125" s="241"/>
      <c r="B125" s="214" t="s">
        <v>2948</v>
      </c>
      <c r="C125" s="215"/>
      <c r="D125" s="72"/>
      <c r="E125" s="101"/>
      <c r="F125" s="101"/>
      <c r="G125" s="101"/>
      <c r="H125" s="248"/>
      <c r="I125" s="248"/>
      <c r="J125" s="248"/>
      <c r="K125" s="248"/>
      <c r="L125" s="248"/>
      <c r="M125" s="248"/>
      <c r="N125" s="248"/>
      <c r="O125" s="248"/>
      <c r="P125" s="101"/>
      <c r="Q125" s="101"/>
      <c r="R125" s="101"/>
      <c r="S125" s="242"/>
      <c r="T125" s="599"/>
      <c r="U125" s="599"/>
      <c r="V125" s="599"/>
      <c r="W125" s="599"/>
      <c r="X125" s="599"/>
      <c r="Y125" s="599"/>
      <c r="Z125" s="599"/>
      <c r="AA125" s="599"/>
      <c r="AB125" s="599"/>
      <c r="AC125" s="599"/>
      <c r="AD125" s="599"/>
      <c r="AE125" s="599"/>
      <c r="AF125" s="599"/>
      <c r="AG125" s="599"/>
      <c r="AH125" s="599"/>
      <c r="AI125" s="599"/>
      <c r="AJ125" s="599"/>
      <c r="AK125" s="599"/>
      <c r="AL125" s="599"/>
      <c r="AM125" s="599"/>
      <c r="AN125" s="599"/>
      <c r="AO125" s="599"/>
      <c r="AP125" s="599"/>
      <c r="AQ125" s="599"/>
      <c r="AR125" s="599"/>
      <c r="AS125" s="599"/>
      <c r="AT125" s="599"/>
      <c r="AU125" s="599"/>
      <c r="AV125" s="599"/>
      <c r="AW125" s="599"/>
      <c r="AX125" s="599"/>
      <c r="AY125" s="599"/>
      <c r="AZ125" s="599"/>
      <c r="BA125" s="599"/>
      <c r="BB125" s="599"/>
    </row>
    <row r="126" spans="1:54" s="595" customFormat="1" ht="12.75" hidden="1" outlineLevel="1">
      <c r="A126" s="223" t="s">
        <v>3509</v>
      </c>
      <c r="B126" s="224"/>
      <c r="C126" s="224" t="s">
        <v>3510</v>
      </c>
      <c r="D126" s="224" t="s">
        <v>3511</v>
      </c>
      <c r="E126" s="246">
        <v>30481772.35</v>
      </c>
      <c r="F126" s="246">
        <v>226384.04</v>
      </c>
      <c r="G126" s="246"/>
      <c r="H126" s="247">
        <v>0</v>
      </c>
      <c r="I126" s="247">
        <v>0</v>
      </c>
      <c r="J126" s="247">
        <v>0</v>
      </c>
      <c r="K126" s="247">
        <v>0</v>
      </c>
      <c r="L126" s="247">
        <v>0</v>
      </c>
      <c r="M126" s="247">
        <v>0</v>
      </c>
      <c r="N126" s="247">
        <v>0</v>
      </c>
      <c r="O126" s="247">
        <v>0</v>
      </c>
      <c r="P126" s="246">
        <v>0</v>
      </c>
      <c r="Q126" s="246">
        <v>0</v>
      </c>
      <c r="R126" s="246">
        <f aca="true" t="shared" si="7" ref="R126:R189">E126+F126+G126+P126+Q126</f>
        <v>30708156.39</v>
      </c>
      <c r="S126" s="223"/>
      <c r="T126" s="601"/>
      <c r="U126" s="601"/>
      <c r="V126" s="601"/>
      <c r="W126" s="601"/>
      <c r="X126" s="601"/>
      <c r="Y126" s="601"/>
      <c r="Z126" s="601"/>
      <c r="AA126" s="601"/>
      <c r="AB126" s="601"/>
      <c r="AC126" s="601"/>
      <c r="AD126" s="601"/>
      <c r="AE126" s="601"/>
      <c r="AF126" s="601"/>
      <c r="AG126" s="601"/>
      <c r="AH126" s="601"/>
      <c r="AI126" s="601"/>
      <c r="AJ126" s="601"/>
      <c r="AK126" s="601"/>
      <c r="AL126" s="601"/>
      <c r="AM126" s="601"/>
      <c r="AN126" s="601"/>
      <c r="AO126" s="601"/>
      <c r="AP126" s="601"/>
      <c r="AQ126" s="601"/>
      <c r="AR126" s="601"/>
      <c r="AS126" s="601"/>
      <c r="AT126" s="601"/>
      <c r="AU126" s="601"/>
      <c r="AV126" s="601"/>
      <c r="AW126" s="601"/>
      <c r="AX126" s="601"/>
      <c r="AY126" s="601"/>
      <c r="AZ126" s="601"/>
      <c r="BA126" s="601"/>
      <c r="BB126" s="601"/>
    </row>
    <row r="127" spans="1:54" s="595" customFormat="1" ht="12.75" hidden="1" outlineLevel="1">
      <c r="A127" s="223" t="s">
        <v>3512</v>
      </c>
      <c r="B127" s="224"/>
      <c r="C127" s="224" t="s">
        <v>3513</v>
      </c>
      <c r="D127" s="224" t="s">
        <v>3514</v>
      </c>
      <c r="E127" s="246">
        <v>6367695.57</v>
      </c>
      <c r="F127" s="246">
        <v>147151.99</v>
      </c>
      <c r="G127" s="246"/>
      <c r="H127" s="247">
        <v>0</v>
      </c>
      <c r="I127" s="247">
        <v>0</v>
      </c>
      <c r="J127" s="247">
        <v>0</v>
      </c>
      <c r="K127" s="247">
        <v>0</v>
      </c>
      <c r="L127" s="247">
        <v>0</v>
      </c>
      <c r="M127" s="247">
        <v>0</v>
      </c>
      <c r="N127" s="247">
        <v>0</v>
      </c>
      <c r="O127" s="247">
        <v>8596.1</v>
      </c>
      <c r="P127" s="246">
        <v>8596.1</v>
      </c>
      <c r="Q127" s="246">
        <v>0</v>
      </c>
      <c r="R127" s="246">
        <f t="shared" si="7"/>
        <v>6523443.66</v>
      </c>
      <c r="S127" s="223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K127" s="601"/>
      <c r="AL127" s="601"/>
      <c r="AM127" s="601"/>
      <c r="AN127" s="601"/>
      <c r="AO127" s="601"/>
      <c r="AP127" s="601"/>
      <c r="AQ127" s="601"/>
      <c r="AR127" s="601"/>
      <c r="AS127" s="601"/>
      <c r="AT127" s="601"/>
      <c r="AU127" s="601"/>
      <c r="AV127" s="601"/>
      <c r="AW127" s="601"/>
      <c r="AX127" s="601"/>
      <c r="AY127" s="601"/>
      <c r="AZ127" s="601"/>
      <c r="BA127" s="601"/>
      <c r="BB127" s="601"/>
    </row>
    <row r="128" spans="1:54" s="595" customFormat="1" ht="12.75" hidden="1" outlineLevel="1">
      <c r="A128" s="223" t="s">
        <v>3515</v>
      </c>
      <c r="B128" s="224"/>
      <c r="C128" s="224" t="s">
        <v>3516</v>
      </c>
      <c r="D128" s="224" t="s">
        <v>3517</v>
      </c>
      <c r="E128" s="246">
        <v>22431824.77</v>
      </c>
      <c r="F128" s="246">
        <v>930875.24</v>
      </c>
      <c r="G128" s="246"/>
      <c r="H128" s="247">
        <v>0</v>
      </c>
      <c r="I128" s="247">
        <v>0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7315</v>
      </c>
      <c r="P128" s="246">
        <v>7315</v>
      </c>
      <c r="Q128" s="246">
        <v>0</v>
      </c>
      <c r="R128" s="246">
        <f t="shared" si="7"/>
        <v>23370015.009999998</v>
      </c>
      <c r="S128" s="223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601"/>
      <c r="AE128" s="601"/>
      <c r="AF128" s="601"/>
      <c r="AG128" s="601"/>
      <c r="AH128" s="601"/>
      <c r="AI128" s="601"/>
      <c r="AJ128" s="601"/>
      <c r="AK128" s="601"/>
      <c r="AL128" s="601"/>
      <c r="AM128" s="601"/>
      <c r="AN128" s="601"/>
      <c r="AO128" s="601"/>
      <c r="AP128" s="601"/>
      <c r="AQ128" s="601"/>
      <c r="AR128" s="601"/>
      <c r="AS128" s="601"/>
      <c r="AT128" s="601"/>
      <c r="AU128" s="601"/>
      <c r="AV128" s="601"/>
      <c r="AW128" s="601"/>
      <c r="AX128" s="601"/>
      <c r="AY128" s="601"/>
      <c r="AZ128" s="601"/>
      <c r="BA128" s="601"/>
      <c r="BB128" s="601"/>
    </row>
    <row r="129" spans="1:54" s="595" customFormat="1" ht="12.75" hidden="1" outlineLevel="1">
      <c r="A129" s="223" t="s">
        <v>3518</v>
      </c>
      <c r="B129" s="224"/>
      <c r="C129" s="224" t="s">
        <v>3519</v>
      </c>
      <c r="D129" s="224" t="s">
        <v>3520</v>
      </c>
      <c r="E129" s="246">
        <v>3321312.16</v>
      </c>
      <c r="F129" s="246">
        <v>16710</v>
      </c>
      <c r="G129" s="246"/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>
        <v>0</v>
      </c>
      <c r="N129" s="247">
        <v>0</v>
      </c>
      <c r="O129" s="247">
        <v>0</v>
      </c>
      <c r="P129" s="246">
        <v>0</v>
      </c>
      <c r="Q129" s="246">
        <v>0</v>
      </c>
      <c r="R129" s="246">
        <f t="shared" si="7"/>
        <v>3338022.16</v>
      </c>
      <c r="S129" s="223"/>
      <c r="T129" s="601"/>
      <c r="U129" s="601"/>
      <c r="V129" s="601"/>
      <c r="W129" s="601"/>
      <c r="X129" s="601"/>
      <c r="Y129" s="601"/>
      <c r="Z129" s="601"/>
      <c r="AA129" s="601"/>
      <c r="AB129" s="601"/>
      <c r="AC129" s="601"/>
      <c r="AD129" s="601"/>
      <c r="AE129" s="601"/>
      <c r="AF129" s="601"/>
      <c r="AG129" s="601"/>
      <c r="AH129" s="601"/>
      <c r="AI129" s="601"/>
      <c r="AJ129" s="601"/>
      <c r="AK129" s="601"/>
      <c r="AL129" s="601"/>
      <c r="AM129" s="601"/>
      <c r="AN129" s="601"/>
      <c r="AO129" s="601"/>
      <c r="AP129" s="601"/>
      <c r="AQ129" s="601"/>
      <c r="AR129" s="601"/>
      <c r="AS129" s="601"/>
      <c r="AT129" s="601"/>
      <c r="AU129" s="601"/>
      <c r="AV129" s="601"/>
      <c r="AW129" s="601"/>
      <c r="AX129" s="601"/>
      <c r="AY129" s="601"/>
      <c r="AZ129" s="601"/>
      <c r="BA129" s="601"/>
      <c r="BB129" s="601"/>
    </row>
    <row r="130" spans="1:54" s="595" customFormat="1" ht="12.75" hidden="1" outlineLevel="1">
      <c r="A130" s="223" t="s">
        <v>3521</v>
      </c>
      <c r="B130" s="224"/>
      <c r="C130" s="224" t="s">
        <v>3522</v>
      </c>
      <c r="D130" s="224" t="s">
        <v>3523</v>
      </c>
      <c r="E130" s="246">
        <v>31188.33</v>
      </c>
      <c r="F130" s="246">
        <v>0</v>
      </c>
      <c r="G130" s="246"/>
      <c r="H130" s="247">
        <v>0</v>
      </c>
      <c r="I130" s="247">
        <v>0</v>
      </c>
      <c r="J130" s="247">
        <v>0</v>
      </c>
      <c r="K130" s="247">
        <v>0</v>
      </c>
      <c r="L130" s="247">
        <v>0</v>
      </c>
      <c r="M130" s="247">
        <v>0</v>
      </c>
      <c r="N130" s="247">
        <v>0</v>
      </c>
      <c r="O130" s="247">
        <v>0</v>
      </c>
      <c r="P130" s="246">
        <v>0</v>
      </c>
      <c r="Q130" s="246">
        <v>0</v>
      </c>
      <c r="R130" s="246">
        <f t="shared" si="7"/>
        <v>31188.33</v>
      </c>
      <c r="S130" s="223"/>
      <c r="T130" s="601"/>
      <c r="U130" s="601"/>
      <c r="V130" s="601"/>
      <c r="W130" s="601"/>
      <c r="X130" s="601"/>
      <c r="Y130" s="601"/>
      <c r="Z130" s="601"/>
      <c r="AA130" s="601"/>
      <c r="AB130" s="601"/>
      <c r="AC130" s="601"/>
      <c r="AD130" s="601"/>
      <c r="AE130" s="601"/>
      <c r="AF130" s="601"/>
      <c r="AG130" s="601"/>
      <c r="AH130" s="601"/>
      <c r="AI130" s="601"/>
      <c r="AJ130" s="601"/>
      <c r="AK130" s="601"/>
      <c r="AL130" s="601"/>
      <c r="AM130" s="601"/>
      <c r="AN130" s="601"/>
      <c r="AO130" s="601"/>
      <c r="AP130" s="601"/>
      <c r="AQ130" s="601"/>
      <c r="AR130" s="601"/>
      <c r="AS130" s="601"/>
      <c r="AT130" s="601"/>
      <c r="AU130" s="601"/>
      <c r="AV130" s="601"/>
      <c r="AW130" s="601"/>
      <c r="AX130" s="601"/>
      <c r="AY130" s="601"/>
      <c r="AZ130" s="601"/>
      <c r="BA130" s="601"/>
      <c r="BB130" s="601"/>
    </row>
    <row r="131" spans="1:54" s="595" customFormat="1" ht="12.75" hidden="1" outlineLevel="1">
      <c r="A131" s="223" t="s">
        <v>3524</v>
      </c>
      <c r="B131" s="224"/>
      <c r="C131" s="224" t="s">
        <v>3525</v>
      </c>
      <c r="D131" s="224" t="s">
        <v>3526</v>
      </c>
      <c r="E131" s="246">
        <v>14643911.2</v>
      </c>
      <c r="F131" s="246">
        <v>147330.23</v>
      </c>
      <c r="G131" s="246"/>
      <c r="H131" s="247">
        <v>45711.7</v>
      </c>
      <c r="I131" s="247">
        <v>56679.16</v>
      </c>
      <c r="J131" s="247">
        <v>32000</v>
      </c>
      <c r="K131" s="247">
        <v>82514.36</v>
      </c>
      <c r="L131" s="247">
        <v>75</v>
      </c>
      <c r="M131" s="247">
        <v>0</v>
      </c>
      <c r="N131" s="247">
        <v>0</v>
      </c>
      <c r="O131" s="247">
        <v>108761.97</v>
      </c>
      <c r="P131" s="246">
        <v>325742.19</v>
      </c>
      <c r="Q131" s="246">
        <v>0</v>
      </c>
      <c r="R131" s="246">
        <f t="shared" si="7"/>
        <v>15116983.62</v>
      </c>
      <c r="S131" s="223"/>
      <c r="T131" s="601"/>
      <c r="U131" s="601"/>
      <c r="V131" s="601"/>
      <c r="W131" s="601"/>
      <c r="X131" s="601"/>
      <c r="Y131" s="601"/>
      <c r="Z131" s="601"/>
      <c r="AA131" s="601"/>
      <c r="AB131" s="601"/>
      <c r="AC131" s="601"/>
      <c r="AD131" s="601"/>
      <c r="AE131" s="601"/>
      <c r="AF131" s="601"/>
      <c r="AG131" s="601"/>
      <c r="AH131" s="601"/>
      <c r="AI131" s="601"/>
      <c r="AJ131" s="601"/>
      <c r="AK131" s="601"/>
      <c r="AL131" s="601"/>
      <c r="AM131" s="601"/>
      <c r="AN131" s="601"/>
      <c r="AO131" s="601"/>
      <c r="AP131" s="601"/>
      <c r="AQ131" s="601"/>
      <c r="AR131" s="601"/>
      <c r="AS131" s="601"/>
      <c r="AT131" s="601"/>
      <c r="AU131" s="601"/>
      <c r="AV131" s="601"/>
      <c r="AW131" s="601"/>
      <c r="AX131" s="601"/>
      <c r="AY131" s="601"/>
      <c r="AZ131" s="601"/>
      <c r="BA131" s="601"/>
      <c r="BB131" s="601"/>
    </row>
    <row r="132" spans="1:54" s="595" customFormat="1" ht="12.75" hidden="1" outlineLevel="1">
      <c r="A132" s="223" t="s">
        <v>3527</v>
      </c>
      <c r="B132" s="224"/>
      <c r="C132" s="224" t="s">
        <v>3528</v>
      </c>
      <c r="D132" s="224" t="s">
        <v>3529</v>
      </c>
      <c r="E132" s="246">
        <v>10381137.78</v>
      </c>
      <c r="F132" s="246">
        <v>319202.41</v>
      </c>
      <c r="G132" s="246"/>
      <c r="H132" s="247">
        <v>0</v>
      </c>
      <c r="I132" s="247">
        <v>250706.68</v>
      </c>
      <c r="J132" s="247">
        <v>0</v>
      </c>
      <c r="K132" s="247">
        <v>1978.08</v>
      </c>
      <c r="L132" s="247">
        <v>0</v>
      </c>
      <c r="M132" s="247">
        <v>0</v>
      </c>
      <c r="N132" s="247">
        <v>0</v>
      </c>
      <c r="O132" s="247">
        <v>91481.85</v>
      </c>
      <c r="P132" s="246">
        <v>344166.61</v>
      </c>
      <c r="Q132" s="246">
        <v>0</v>
      </c>
      <c r="R132" s="246">
        <f t="shared" si="7"/>
        <v>11044506.799999999</v>
      </c>
      <c r="S132" s="223"/>
      <c r="T132" s="601"/>
      <c r="U132" s="601"/>
      <c r="V132" s="601"/>
      <c r="W132" s="601"/>
      <c r="X132" s="601"/>
      <c r="Y132" s="601"/>
      <c r="Z132" s="601"/>
      <c r="AA132" s="601"/>
      <c r="AB132" s="601"/>
      <c r="AC132" s="601"/>
      <c r="AD132" s="601"/>
      <c r="AE132" s="601"/>
      <c r="AF132" s="601"/>
      <c r="AG132" s="601"/>
      <c r="AH132" s="601"/>
      <c r="AI132" s="601"/>
      <c r="AJ132" s="601"/>
      <c r="AK132" s="601"/>
      <c r="AL132" s="601"/>
      <c r="AM132" s="601"/>
      <c r="AN132" s="601"/>
      <c r="AO132" s="601"/>
      <c r="AP132" s="601"/>
      <c r="AQ132" s="601"/>
      <c r="AR132" s="601"/>
      <c r="AS132" s="601"/>
      <c r="AT132" s="601"/>
      <c r="AU132" s="601"/>
      <c r="AV132" s="601"/>
      <c r="AW132" s="601"/>
      <c r="AX132" s="601"/>
      <c r="AY132" s="601"/>
      <c r="AZ132" s="601"/>
      <c r="BA132" s="601"/>
      <c r="BB132" s="601"/>
    </row>
    <row r="133" spans="1:54" s="595" customFormat="1" ht="12.75" hidden="1" outlineLevel="1">
      <c r="A133" s="223" t="s">
        <v>897</v>
      </c>
      <c r="B133" s="224"/>
      <c r="C133" s="224" t="s">
        <v>898</v>
      </c>
      <c r="D133" s="224" t="s">
        <v>899</v>
      </c>
      <c r="E133" s="246">
        <v>50</v>
      </c>
      <c r="F133" s="246">
        <v>0</v>
      </c>
      <c r="G133" s="246"/>
      <c r="H133" s="247">
        <v>0</v>
      </c>
      <c r="I133" s="247">
        <v>0</v>
      </c>
      <c r="J133" s="247">
        <v>0</v>
      </c>
      <c r="K133" s="247">
        <v>0</v>
      </c>
      <c r="L133" s="247">
        <v>0</v>
      </c>
      <c r="M133" s="247">
        <v>0</v>
      </c>
      <c r="N133" s="247">
        <v>0</v>
      </c>
      <c r="O133" s="247">
        <v>0</v>
      </c>
      <c r="P133" s="246">
        <v>0</v>
      </c>
      <c r="Q133" s="246">
        <v>0</v>
      </c>
      <c r="R133" s="246">
        <f t="shared" si="7"/>
        <v>50</v>
      </c>
      <c r="S133" s="223"/>
      <c r="T133" s="601"/>
      <c r="U133" s="601"/>
      <c r="V133" s="601"/>
      <c r="W133" s="601"/>
      <c r="X133" s="601"/>
      <c r="Y133" s="601"/>
      <c r="Z133" s="601"/>
      <c r="AA133" s="601"/>
      <c r="AB133" s="601"/>
      <c r="AC133" s="601"/>
      <c r="AD133" s="601"/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1"/>
      <c r="AW133" s="601"/>
      <c r="AX133" s="601"/>
      <c r="AY133" s="601"/>
      <c r="AZ133" s="601"/>
      <c r="BA133" s="601"/>
      <c r="BB133" s="601"/>
    </row>
    <row r="134" spans="1:54" s="595" customFormat="1" ht="12.75" hidden="1" outlineLevel="1">
      <c r="A134" s="223" t="s">
        <v>3530</v>
      </c>
      <c r="B134" s="224"/>
      <c r="C134" s="224" t="s">
        <v>3531</v>
      </c>
      <c r="D134" s="224" t="s">
        <v>3532</v>
      </c>
      <c r="E134" s="246">
        <v>2141412.23</v>
      </c>
      <c r="F134" s="246">
        <v>7650</v>
      </c>
      <c r="G134" s="246"/>
      <c r="H134" s="247">
        <v>26101.27</v>
      </c>
      <c r="I134" s="247">
        <v>0</v>
      </c>
      <c r="J134" s="247">
        <v>0</v>
      </c>
      <c r="K134" s="247">
        <v>8773.88</v>
      </c>
      <c r="L134" s="247">
        <v>1977</v>
      </c>
      <c r="M134" s="247">
        <v>132304.18</v>
      </c>
      <c r="N134" s="247">
        <v>0</v>
      </c>
      <c r="O134" s="247">
        <v>138777.01</v>
      </c>
      <c r="P134" s="246">
        <v>307933.34</v>
      </c>
      <c r="Q134" s="246">
        <v>0</v>
      </c>
      <c r="R134" s="246">
        <f t="shared" si="7"/>
        <v>2456995.57</v>
      </c>
      <c r="S134" s="223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  <c r="AM134" s="601"/>
      <c r="AN134" s="601"/>
      <c r="AO134" s="601"/>
      <c r="AP134" s="601"/>
      <c r="AQ134" s="601"/>
      <c r="AR134" s="601"/>
      <c r="AS134" s="601"/>
      <c r="AT134" s="601"/>
      <c r="AU134" s="601"/>
      <c r="AV134" s="601"/>
      <c r="AW134" s="601"/>
      <c r="AX134" s="601"/>
      <c r="AY134" s="601"/>
      <c r="AZ134" s="601"/>
      <c r="BA134" s="601"/>
      <c r="BB134" s="601"/>
    </row>
    <row r="135" spans="1:54" s="595" customFormat="1" ht="12.75" hidden="1" outlineLevel="1">
      <c r="A135" s="223" t="s">
        <v>3533</v>
      </c>
      <c r="B135" s="224"/>
      <c r="C135" s="224" t="s">
        <v>3534</v>
      </c>
      <c r="D135" s="224" t="s">
        <v>3535</v>
      </c>
      <c r="E135" s="246">
        <v>5986081.02</v>
      </c>
      <c r="F135" s="246">
        <v>271553.9</v>
      </c>
      <c r="G135" s="246"/>
      <c r="H135" s="247">
        <v>0</v>
      </c>
      <c r="I135" s="247">
        <v>28194.32</v>
      </c>
      <c r="J135" s="247">
        <v>0</v>
      </c>
      <c r="K135" s="247">
        <v>47457.08</v>
      </c>
      <c r="L135" s="247">
        <v>0</v>
      </c>
      <c r="M135" s="247">
        <v>3475.51</v>
      </c>
      <c r="N135" s="247">
        <v>0</v>
      </c>
      <c r="O135" s="247">
        <v>155934.83</v>
      </c>
      <c r="P135" s="246">
        <v>235061.74</v>
      </c>
      <c r="Q135" s="246">
        <v>0</v>
      </c>
      <c r="R135" s="246">
        <f t="shared" si="7"/>
        <v>6492696.66</v>
      </c>
      <c r="S135" s="223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1"/>
      <c r="AR135" s="601"/>
      <c r="AS135" s="601"/>
      <c r="AT135" s="601"/>
      <c r="AU135" s="601"/>
      <c r="AV135" s="601"/>
      <c r="AW135" s="601"/>
      <c r="AX135" s="601"/>
      <c r="AY135" s="601"/>
      <c r="AZ135" s="601"/>
      <c r="BA135" s="601"/>
      <c r="BB135" s="601"/>
    </row>
    <row r="136" spans="1:54" s="595" customFormat="1" ht="12.75" hidden="1" outlineLevel="1">
      <c r="A136" s="223" t="s">
        <v>3536</v>
      </c>
      <c r="B136" s="224"/>
      <c r="C136" s="224" t="s">
        <v>3537</v>
      </c>
      <c r="D136" s="224" t="s">
        <v>3538</v>
      </c>
      <c r="E136" s="246">
        <v>1046111.1</v>
      </c>
      <c r="F136" s="246">
        <v>0</v>
      </c>
      <c r="G136" s="246"/>
      <c r="H136" s="247">
        <v>1776617.45</v>
      </c>
      <c r="I136" s="247">
        <v>0</v>
      </c>
      <c r="J136" s="247">
        <v>0</v>
      </c>
      <c r="K136" s="247">
        <v>271243.22</v>
      </c>
      <c r="L136" s="247">
        <v>0</v>
      </c>
      <c r="M136" s="247">
        <v>0</v>
      </c>
      <c r="N136" s="247">
        <v>36826.22</v>
      </c>
      <c r="O136" s="247">
        <v>0</v>
      </c>
      <c r="P136" s="246">
        <v>2084686.89</v>
      </c>
      <c r="Q136" s="246">
        <v>0</v>
      </c>
      <c r="R136" s="246">
        <f t="shared" si="7"/>
        <v>3130797.9899999998</v>
      </c>
      <c r="S136" s="223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601"/>
      <c r="AU136" s="601"/>
      <c r="AV136" s="601"/>
      <c r="AW136" s="601"/>
      <c r="AX136" s="601"/>
      <c r="AY136" s="601"/>
      <c r="AZ136" s="601"/>
      <c r="BA136" s="601"/>
      <c r="BB136" s="601"/>
    </row>
    <row r="137" spans="1:54" s="595" customFormat="1" ht="12.75" hidden="1" outlineLevel="1">
      <c r="A137" s="223" t="s">
        <v>3539</v>
      </c>
      <c r="B137" s="224"/>
      <c r="C137" s="224" t="s">
        <v>3540</v>
      </c>
      <c r="D137" s="224" t="s">
        <v>3541</v>
      </c>
      <c r="E137" s="246">
        <v>3882729.48</v>
      </c>
      <c r="F137" s="246">
        <v>521.66</v>
      </c>
      <c r="G137" s="246"/>
      <c r="H137" s="247">
        <v>73058.64</v>
      </c>
      <c r="I137" s="247">
        <v>0</v>
      </c>
      <c r="J137" s="247">
        <v>243654.1</v>
      </c>
      <c r="K137" s="247">
        <v>112543.76</v>
      </c>
      <c r="L137" s="247">
        <v>0</v>
      </c>
      <c r="M137" s="247">
        <v>0</v>
      </c>
      <c r="N137" s="247">
        <v>86404.69</v>
      </c>
      <c r="O137" s="247">
        <v>-452.98</v>
      </c>
      <c r="P137" s="246">
        <v>515208.21</v>
      </c>
      <c r="Q137" s="246">
        <v>0</v>
      </c>
      <c r="R137" s="246">
        <f t="shared" si="7"/>
        <v>4398459.350000001</v>
      </c>
      <c r="S137" s="223"/>
      <c r="T137" s="601"/>
      <c r="U137" s="601"/>
      <c r="V137" s="601"/>
      <c r="W137" s="601"/>
      <c r="X137" s="601"/>
      <c r="Y137" s="601"/>
      <c r="Z137" s="601"/>
      <c r="AA137" s="601"/>
      <c r="AB137" s="601"/>
      <c r="AC137" s="601"/>
      <c r="AD137" s="601"/>
      <c r="AE137" s="601"/>
      <c r="AF137" s="601"/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601"/>
      <c r="AU137" s="601"/>
      <c r="AV137" s="601"/>
      <c r="AW137" s="601"/>
      <c r="AX137" s="601"/>
      <c r="AY137" s="601"/>
      <c r="AZ137" s="601"/>
      <c r="BA137" s="601"/>
      <c r="BB137" s="601"/>
    </row>
    <row r="138" spans="1:54" s="595" customFormat="1" ht="12.75" hidden="1" outlineLevel="1">
      <c r="A138" s="223" t="s">
        <v>3542</v>
      </c>
      <c r="B138" s="224"/>
      <c r="C138" s="224" t="s">
        <v>3543</v>
      </c>
      <c r="D138" s="224" t="s">
        <v>3544</v>
      </c>
      <c r="E138" s="246">
        <v>1565416.34</v>
      </c>
      <c r="F138" s="246">
        <v>31097.05</v>
      </c>
      <c r="G138" s="246"/>
      <c r="H138" s="247">
        <v>0</v>
      </c>
      <c r="I138" s="247">
        <v>0</v>
      </c>
      <c r="J138" s="247">
        <v>0</v>
      </c>
      <c r="K138" s="247">
        <v>4983.47</v>
      </c>
      <c r="L138" s="247">
        <v>66.5</v>
      </c>
      <c r="M138" s="247">
        <v>15290.1</v>
      </c>
      <c r="N138" s="247">
        <v>0</v>
      </c>
      <c r="O138" s="247">
        <v>12668.67</v>
      </c>
      <c r="P138" s="246">
        <v>33008.74</v>
      </c>
      <c r="Q138" s="246">
        <v>0</v>
      </c>
      <c r="R138" s="246">
        <f t="shared" si="7"/>
        <v>1629522.1300000001</v>
      </c>
      <c r="S138" s="223"/>
      <c r="T138" s="601"/>
      <c r="U138" s="601"/>
      <c r="V138" s="601"/>
      <c r="W138" s="601"/>
      <c r="X138" s="601"/>
      <c r="Y138" s="601"/>
      <c r="Z138" s="601"/>
      <c r="AA138" s="601"/>
      <c r="AB138" s="601"/>
      <c r="AC138" s="601"/>
      <c r="AD138" s="601"/>
      <c r="AE138" s="601"/>
      <c r="AF138" s="601"/>
      <c r="AG138" s="601"/>
      <c r="AH138" s="601"/>
      <c r="AI138" s="601"/>
      <c r="AJ138" s="601"/>
      <c r="AK138" s="601"/>
      <c r="AL138" s="601"/>
      <c r="AM138" s="601"/>
      <c r="AN138" s="601"/>
      <c r="AO138" s="601"/>
      <c r="AP138" s="601"/>
      <c r="AQ138" s="601"/>
      <c r="AR138" s="601"/>
      <c r="AS138" s="601"/>
      <c r="AT138" s="601"/>
      <c r="AU138" s="601"/>
      <c r="AV138" s="601"/>
      <c r="AW138" s="601"/>
      <c r="AX138" s="601"/>
      <c r="AY138" s="601"/>
      <c r="AZ138" s="601"/>
      <c r="BA138" s="601"/>
      <c r="BB138" s="601"/>
    </row>
    <row r="139" spans="1:54" s="595" customFormat="1" ht="12.75" hidden="1" outlineLevel="1">
      <c r="A139" s="223" t="s">
        <v>3545</v>
      </c>
      <c r="B139" s="224"/>
      <c r="C139" s="224" t="s">
        <v>3546</v>
      </c>
      <c r="D139" s="224" t="s">
        <v>3547</v>
      </c>
      <c r="E139" s="246">
        <v>-46000</v>
      </c>
      <c r="F139" s="246">
        <v>0</v>
      </c>
      <c r="G139" s="246"/>
      <c r="H139" s="247">
        <v>0</v>
      </c>
      <c r="I139" s="247">
        <v>0</v>
      </c>
      <c r="J139" s="247">
        <v>0</v>
      </c>
      <c r="K139" s="247">
        <v>0</v>
      </c>
      <c r="L139" s="247">
        <v>0</v>
      </c>
      <c r="M139" s="247">
        <v>0</v>
      </c>
      <c r="N139" s="247">
        <v>0</v>
      </c>
      <c r="O139" s="247">
        <v>0</v>
      </c>
      <c r="P139" s="246">
        <v>0</v>
      </c>
      <c r="Q139" s="246">
        <v>0</v>
      </c>
      <c r="R139" s="246">
        <f t="shared" si="7"/>
        <v>-46000</v>
      </c>
      <c r="S139" s="223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1"/>
      <c r="AL139" s="601"/>
      <c r="AM139" s="601"/>
      <c r="AN139" s="601"/>
      <c r="AO139" s="601"/>
      <c r="AP139" s="601"/>
      <c r="AQ139" s="601"/>
      <c r="AR139" s="601"/>
      <c r="AS139" s="601"/>
      <c r="AT139" s="601"/>
      <c r="AU139" s="601"/>
      <c r="AV139" s="601"/>
      <c r="AW139" s="601"/>
      <c r="AX139" s="601"/>
      <c r="AY139" s="601"/>
      <c r="AZ139" s="601"/>
      <c r="BA139" s="601"/>
      <c r="BB139" s="601"/>
    </row>
    <row r="140" spans="1:54" s="595" customFormat="1" ht="12.75" hidden="1" outlineLevel="1">
      <c r="A140" s="223" t="s">
        <v>3548</v>
      </c>
      <c r="B140" s="224"/>
      <c r="C140" s="224" t="s">
        <v>3549</v>
      </c>
      <c r="D140" s="224" t="s">
        <v>3550</v>
      </c>
      <c r="E140" s="246">
        <v>14463.79</v>
      </c>
      <c r="F140" s="246">
        <v>-8223.4</v>
      </c>
      <c r="G140" s="246"/>
      <c r="H140" s="247">
        <v>-4722.61</v>
      </c>
      <c r="I140" s="247">
        <v>3897.9</v>
      </c>
      <c r="J140" s="247">
        <v>10238.63</v>
      </c>
      <c r="K140" s="247">
        <v>-680.82</v>
      </c>
      <c r="L140" s="247">
        <v>-21966.13</v>
      </c>
      <c r="M140" s="247">
        <v>621.65</v>
      </c>
      <c r="N140" s="247">
        <v>905.25</v>
      </c>
      <c r="O140" s="247">
        <v>12492.58</v>
      </c>
      <c r="P140" s="246">
        <v>786.4499999999989</v>
      </c>
      <c r="Q140" s="246">
        <v>0</v>
      </c>
      <c r="R140" s="246">
        <f t="shared" si="7"/>
        <v>7026.84</v>
      </c>
      <c r="S140" s="223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1"/>
      <c r="AM140" s="601"/>
      <c r="AN140" s="601"/>
      <c r="AO140" s="601"/>
      <c r="AP140" s="601"/>
      <c r="AQ140" s="601"/>
      <c r="AR140" s="601"/>
      <c r="AS140" s="601"/>
      <c r="AT140" s="601"/>
      <c r="AU140" s="601"/>
      <c r="AV140" s="601"/>
      <c r="AW140" s="601"/>
      <c r="AX140" s="601"/>
      <c r="AY140" s="601"/>
      <c r="AZ140" s="601"/>
      <c r="BA140" s="601"/>
      <c r="BB140" s="601"/>
    </row>
    <row r="141" spans="1:54" s="595" customFormat="1" ht="12.75" hidden="1" outlineLevel="1">
      <c r="A141" s="223" t="s">
        <v>3551</v>
      </c>
      <c r="B141" s="224"/>
      <c r="C141" s="224" t="s">
        <v>3552</v>
      </c>
      <c r="D141" s="224" t="s">
        <v>3553</v>
      </c>
      <c r="E141" s="246">
        <v>7159015.7</v>
      </c>
      <c r="F141" s="246">
        <v>2500</v>
      </c>
      <c r="G141" s="246"/>
      <c r="H141" s="247">
        <v>0</v>
      </c>
      <c r="I141" s="247">
        <v>0</v>
      </c>
      <c r="J141" s="247">
        <v>0</v>
      </c>
      <c r="K141" s="247">
        <v>0</v>
      </c>
      <c r="L141" s="247">
        <v>0</v>
      </c>
      <c r="M141" s="247">
        <v>0</v>
      </c>
      <c r="N141" s="247">
        <v>0</v>
      </c>
      <c r="O141" s="247">
        <v>0</v>
      </c>
      <c r="P141" s="246">
        <v>0</v>
      </c>
      <c r="Q141" s="246">
        <v>0</v>
      </c>
      <c r="R141" s="246">
        <f t="shared" si="7"/>
        <v>7161515.7</v>
      </c>
      <c r="S141" s="223"/>
      <c r="T141" s="601"/>
      <c r="U141" s="601"/>
      <c r="V141" s="601"/>
      <c r="W141" s="601"/>
      <c r="X141" s="601"/>
      <c r="Y141" s="601"/>
      <c r="Z141" s="601"/>
      <c r="AA141" s="601"/>
      <c r="AB141" s="601"/>
      <c r="AC141" s="601"/>
      <c r="AD141" s="601"/>
      <c r="AE141" s="601"/>
      <c r="AF141" s="601"/>
      <c r="AG141" s="601"/>
      <c r="AH141" s="601"/>
      <c r="AI141" s="601"/>
      <c r="AJ141" s="601"/>
      <c r="AK141" s="601"/>
      <c r="AL141" s="601"/>
      <c r="AM141" s="601"/>
      <c r="AN141" s="601"/>
      <c r="AO141" s="601"/>
      <c r="AP141" s="601"/>
      <c r="AQ141" s="601"/>
      <c r="AR141" s="601"/>
      <c r="AS141" s="601"/>
      <c r="AT141" s="601"/>
      <c r="AU141" s="601"/>
      <c r="AV141" s="601"/>
      <c r="AW141" s="601"/>
      <c r="AX141" s="601"/>
      <c r="AY141" s="601"/>
      <c r="AZ141" s="601"/>
      <c r="BA141" s="601"/>
      <c r="BB141" s="601"/>
    </row>
    <row r="142" spans="1:54" s="595" customFormat="1" ht="12.75" hidden="1" outlineLevel="1">
      <c r="A142" s="223" t="s">
        <v>3554</v>
      </c>
      <c r="B142" s="224"/>
      <c r="C142" s="224" t="s">
        <v>783</v>
      </c>
      <c r="D142" s="224" t="s">
        <v>784</v>
      </c>
      <c r="E142" s="246">
        <v>-4267.5</v>
      </c>
      <c r="F142" s="246">
        <v>0</v>
      </c>
      <c r="G142" s="246"/>
      <c r="H142" s="247">
        <v>0</v>
      </c>
      <c r="I142" s="247">
        <v>0</v>
      </c>
      <c r="J142" s="247">
        <v>0</v>
      </c>
      <c r="K142" s="247">
        <v>0</v>
      </c>
      <c r="L142" s="247">
        <v>0</v>
      </c>
      <c r="M142" s="247">
        <v>0</v>
      </c>
      <c r="N142" s="247">
        <v>0</v>
      </c>
      <c r="O142" s="247">
        <v>0</v>
      </c>
      <c r="P142" s="246">
        <v>0</v>
      </c>
      <c r="Q142" s="246">
        <v>0</v>
      </c>
      <c r="R142" s="246">
        <f t="shared" si="7"/>
        <v>-4267.5</v>
      </c>
      <c r="S142" s="223"/>
      <c r="T142" s="601"/>
      <c r="U142" s="601"/>
      <c r="V142" s="601"/>
      <c r="W142" s="601"/>
      <c r="X142" s="601"/>
      <c r="Y142" s="601"/>
      <c r="Z142" s="601"/>
      <c r="AA142" s="601"/>
      <c r="AB142" s="601"/>
      <c r="AC142" s="601"/>
      <c r="AD142" s="601"/>
      <c r="AE142" s="601"/>
      <c r="AF142" s="601"/>
      <c r="AG142" s="601"/>
      <c r="AH142" s="601"/>
      <c r="AI142" s="601"/>
      <c r="AJ142" s="601"/>
      <c r="AK142" s="601"/>
      <c r="AL142" s="601"/>
      <c r="AM142" s="601"/>
      <c r="AN142" s="601"/>
      <c r="AO142" s="601"/>
      <c r="AP142" s="601"/>
      <c r="AQ142" s="601"/>
      <c r="AR142" s="601"/>
      <c r="AS142" s="601"/>
      <c r="AT142" s="601"/>
      <c r="AU142" s="601"/>
      <c r="AV142" s="601"/>
      <c r="AW142" s="601"/>
      <c r="AX142" s="601"/>
      <c r="AY142" s="601"/>
      <c r="AZ142" s="601"/>
      <c r="BA142" s="601"/>
      <c r="BB142" s="601"/>
    </row>
    <row r="143" spans="1:54" s="600" customFormat="1" ht="12.75" customHeight="1" collapsed="1">
      <c r="A143" s="209" t="s">
        <v>785</v>
      </c>
      <c r="B143" s="209"/>
      <c r="C143" s="208" t="s">
        <v>2949</v>
      </c>
      <c r="D143" s="210"/>
      <c r="E143" s="101">
        <v>109403854.32000001</v>
      </c>
      <c r="F143" s="101">
        <v>2092753.12</v>
      </c>
      <c r="G143" s="101">
        <v>8959952.16</v>
      </c>
      <c r="H143" s="100">
        <v>1916766.45</v>
      </c>
      <c r="I143" s="100">
        <v>339478.06</v>
      </c>
      <c r="J143" s="100">
        <v>285892.73</v>
      </c>
      <c r="K143" s="100">
        <v>528813.03</v>
      </c>
      <c r="L143" s="100">
        <v>-19847.63</v>
      </c>
      <c r="M143" s="100">
        <v>151691.44</v>
      </c>
      <c r="N143" s="100">
        <v>124136.16</v>
      </c>
      <c r="O143" s="100">
        <v>535575.03</v>
      </c>
      <c r="P143" s="101">
        <v>3862505.27</v>
      </c>
      <c r="Q143" s="101">
        <v>0</v>
      </c>
      <c r="R143" s="101">
        <f t="shared" si="7"/>
        <v>124319064.87</v>
      </c>
      <c r="S143" s="208"/>
      <c r="T143" s="599"/>
      <c r="U143" s="599"/>
      <c r="V143" s="599"/>
      <c r="W143" s="599"/>
      <c r="X143" s="599"/>
      <c r="Y143" s="599"/>
      <c r="Z143" s="599"/>
      <c r="AA143" s="599"/>
      <c r="AB143" s="599"/>
      <c r="AC143" s="599"/>
      <c r="AD143" s="599"/>
      <c r="AE143" s="599"/>
      <c r="AF143" s="599"/>
      <c r="AG143" s="599"/>
      <c r="AH143" s="599"/>
      <c r="AI143" s="599"/>
      <c r="AJ143" s="599"/>
      <c r="AK143" s="599"/>
      <c r="AL143" s="599"/>
      <c r="AM143" s="599"/>
      <c r="AN143" s="599"/>
      <c r="AO143" s="599"/>
      <c r="AP143" s="599"/>
      <c r="AQ143" s="599"/>
      <c r="AR143" s="599"/>
      <c r="AS143" s="599"/>
      <c r="AT143" s="599"/>
      <c r="AU143" s="599"/>
      <c r="AV143" s="599"/>
      <c r="AW143" s="599"/>
      <c r="AX143" s="599"/>
      <c r="AY143" s="599"/>
      <c r="AZ143" s="599"/>
      <c r="BA143" s="599"/>
      <c r="BB143" s="599"/>
    </row>
    <row r="144" spans="1:19" s="595" customFormat="1" ht="12.75" hidden="1" outlineLevel="1">
      <c r="A144" s="223" t="s">
        <v>786</v>
      </c>
      <c r="B144" s="224"/>
      <c r="C144" s="224" t="s">
        <v>2950</v>
      </c>
      <c r="D144" s="224" t="s">
        <v>787</v>
      </c>
      <c r="E144" s="246">
        <v>9395.76</v>
      </c>
      <c r="F144" s="246">
        <v>0</v>
      </c>
      <c r="G144" s="246"/>
      <c r="H144" s="247">
        <v>0</v>
      </c>
      <c r="I144" s="247">
        <v>0</v>
      </c>
      <c r="J144" s="247">
        <v>0</v>
      </c>
      <c r="K144" s="247">
        <v>0</v>
      </c>
      <c r="L144" s="247">
        <v>0</v>
      </c>
      <c r="M144" s="247">
        <v>0</v>
      </c>
      <c r="N144" s="247">
        <v>0</v>
      </c>
      <c r="O144" s="247">
        <v>0</v>
      </c>
      <c r="P144" s="246">
        <v>0</v>
      </c>
      <c r="Q144" s="246">
        <v>0</v>
      </c>
      <c r="R144" s="246">
        <f t="shared" si="7"/>
        <v>9395.76</v>
      </c>
      <c r="S144" s="223"/>
    </row>
    <row r="145" spans="1:19" s="595" customFormat="1" ht="12.75" hidden="1" outlineLevel="1">
      <c r="A145" s="223" t="s">
        <v>788</v>
      </c>
      <c r="B145" s="224"/>
      <c r="C145" s="224" t="s">
        <v>789</v>
      </c>
      <c r="D145" s="224" t="s">
        <v>790</v>
      </c>
      <c r="E145" s="246">
        <v>8073967.24</v>
      </c>
      <c r="F145" s="246">
        <v>44474.93</v>
      </c>
      <c r="G145" s="246"/>
      <c r="H145" s="247">
        <v>0</v>
      </c>
      <c r="I145" s="247">
        <v>0</v>
      </c>
      <c r="J145" s="247">
        <v>0</v>
      </c>
      <c r="K145" s="247">
        <v>0</v>
      </c>
      <c r="L145" s="247">
        <v>0</v>
      </c>
      <c r="M145" s="247">
        <v>0</v>
      </c>
      <c r="N145" s="247">
        <v>0</v>
      </c>
      <c r="O145" s="247">
        <v>0</v>
      </c>
      <c r="P145" s="246">
        <v>0</v>
      </c>
      <c r="Q145" s="246">
        <v>0</v>
      </c>
      <c r="R145" s="246">
        <f t="shared" si="7"/>
        <v>8118442.17</v>
      </c>
      <c r="S145" s="223"/>
    </row>
    <row r="146" spans="1:19" s="595" customFormat="1" ht="12.75" hidden="1" outlineLevel="1">
      <c r="A146" s="223" t="s">
        <v>791</v>
      </c>
      <c r="B146" s="224"/>
      <c r="C146" s="224" t="s">
        <v>792</v>
      </c>
      <c r="D146" s="224" t="s">
        <v>793</v>
      </c>
      <c r="E146" s="246">
        <v>1581138.99</v>
      </c>
      <c r="F146" s="246">
        <v>22303.68</v>
      </c>
      <c r="G146" s="246"/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2365.2</v>
      </c>
      <c r="P146" s="246">
        <v>2365.2</v>
      </c>
      <c r="Q146" s="246">
        <v>0</v>
      </c>
      <c r="R146" s="246">
        <f t="shared" si="7"/>
        <v>1605807.8699999999</v>
      </c>
      <c r="S146" s="223"/>
    </row>
    <row r="147" spans="1:19" s="595" customFormat="1" ht="12.75" hidden="1" outlineLevel="1">
      <c r="A147" s="223" t="s">
        <v>794</v>
      </c>
      <c r="B147" s="224"/>
      <c r="C147" s="224" t="s">
        <v>795</v>
      </c>
      <c r="D147" s="224" t="s">
        <v>796</v>
      </c>
      <c r="E147" s="246">
        <v>4350639.42</v>
      </c>
      <c r="F147" s="246">
        <v>100096.28</v>
      </c>
      <c r="G147" s="246"/>
      <c r="H147" s="247">
        <v>0</v>
      </c>
      <c r="I147" s="247">
        <v>0</v>
      </c>
      <c r="J147" s="247">
        <v>0</v>
      </c>
      <c r="K147" s="247">
        <v>0</v>
      </c>
      <c r="L147" s="247">
        <v>0</v>
      </c>
      <c r="M147" s="247">
        <v>0</v>
      </c>
      <c r="N147" s="247">
        <v>0</v>
      </c>
      <c r="O147" s="247">
        <v>2003.28</v>
      </c>
      <c r="P147" s="246">
        <v>2003.28</v>
      </c>
      <c r="Q147" s="246">
        <v>0</v>
      </c>
      <c r="R147" s="246">
        <f t="shared" si="7"/>
        <v>4452738.98</v>
      </c>
      <c r="S147" s="223"/>
    </row>
    <row r="148" spans="1:19" s="595" customFormat="1" ht="12.75" hidden="1" outlineLevel="1">
      <c r="A148" s="223" t="s">
        <v>797</v>
      </c>
      <c r="B148" s="224"/>
      <c r="C148" s="224" t="s">
        <v>798</v>
      </c>
      <c r="D148" s="224" t="s">
        <v>799</v>
      </c>
      <c r="E148" s="246">
        <v>48882.94</v>
      </c>
      <c r="F148" s="246">
        <v>382.5</v>
      </c>
      <c r="G148" s="246"/>
      <c r="H148" s="247">
        <v>0</v>
      </c>
      <c r="I148" s="247">
        <v>0</v>
      </c>
      <c r="J148" s="247">
        <v>0</v>
      </c>
      <c r="K148" s="247">
        <v>0</v>
      </c>
      <c r="L148" s="247">
        <v>0</v>
      </c>
      <c r="M148" s="247">
        <v>0</v>
      </c>
      <c r="N148" s="247">
        <v>0</v>
      </c>
      <c r="O148" s="247">
        <v>0</v>
      </c>
      <c r="P148" s="246">
        <v>0</v>
      </c>
      <c r="Q148" s="246">
        <v>0</v>
      </c>
      <c r="R148" s="246">
        <f t="shared" si="7"/>
        <v>49265.44</v>
      </c>
      <c r="S148" s="223"/>
    </row>
    <row r="149" spans="1:19" s="595" customFormat="1" ht="12.75" hidden="1" outlineLevel="1">
      <c r="A149" s="223" t="s">
        <v>800</v>
      </c>
      <c r="B149" s="224"/>
      <c r="C149" s="224" t="s">
        <v>801</v>
      </c>
      <c r="D149" s="224" t="s">
        <v>802</v>
      </c>
      <c r="E149" s="246">
        <v>3844417.57</v>
      </c>
      <c r="F149" s="246">
        <v>38361.57</v>
      </c>
      <c r="G149" s="246"/>
      <c r="H149" s="247">
        <v>12454.07</v>
      </c>
      <c r="I149" s="247">
        <v>15137.4</v>
      </c>
      <c r="J149" s="247">
        <v>8656.47</v>
      </c>
      <c r="K149" s="247">
        <v>22594.86</v>
      </c>
      <c r="L149" s="247">
        <v>5.74</v>
      </c>
      <c r="M149" s="247">
        <v>0</v>
      </c>
      <c r="N149" s="247">
        <v>0</v>
      </c>
      <c r="O149" s="247">
        <v>27770.1</v>
      </c>
      <c r="P149" s="246">
        <v>86618.64</v>
      </c>
      <c r="Q149" s="246">
        <v>0</v>
      </c>
      <c r="R149" s="246">
        <f t="shared" si="7"/>
        <v>3969397.78</v>
      </c>
      <c r="S149" s="223"/>
    </row>
    <row r="150" spans="1:19" s="595" customFormat="1" ht="12.75" hidden="1" outlineLevel="1">
      <c r="A150" s="223" t="s">
        <v>803</v>
      </c>
      <c r="B150" s="224"/>
      <c r="C150" s="224" t="s">
        <v>804</v>
      </c>
      <c r="D150" s="224" t="s">
        <v>805</v>
      </c>
      <c r="E150" s="246">
        <v>2727211.08</v>
      </c>
      <c r="F150" s="246">
        <v>79088.66</v>
      </c>
      <c r="G150" s="246"/>
      <c r="H150" s="247">
        <v>0</v>
      </c>
      <c r="I150" s="247">
        <v>66606.7</v>
      </c>
      <c r="J150" s="247">
        <v>0</v>
      </c>
      <c r="K150" s="247">
        <v>151.33</v>
      </c>
      <c r="L150" s="247">
        <v>0</v>
      </c>
      <c r="M150" s="247">
        <v>0</v>
      </c>
      <c r="N150" s="247">
        <v>0</v>
      </c>
      <c r="O150" s="247">
        <v>23274.04</v>
      </c>
      <c r="P150" s="246">
        <v>90032.07</v>
      </c>
      <c r="Q150" s="246">
        <v>0</v>
      </c>
      <c r="R150" s="246">
        <f t="shared" si="7"/>
        <v>2896331.81</v>
      </c>
      <c r="S150" s="223"/>
    </row>
    <row r="151" spans="1:19" s="595" customFormat="1" ht="12.75" hidden="1" outlineLevel="1">
      <c r="A151" s="223" t="s">
        <v>806</v>
      </c>
      <c r="B151" s="224"/>
      <c r="C151" s="224" t="s">
        <v>807</v>
      </c>
      <c r="D151" s="224" t="s">
        <v>808</v>
      </c>
      <c r="E151" s="246">
        <v>524071.01</v>
      </c>
      <c r="F151" s="246">
        <v>0</v>
      </c>
      <c r="G151" s="246"/>
      <c r="H151" s="247">
        <v>7019.31</v>
      </c>
      <c r="I151" s="247">
        <v>0</v>
      </c>
      <c r="J151" s="247">
        <v>0</v>
      </c>
      <c r="K151" s="247">
        <v>2336.31</v>
      </c>
      <c r="L151" s="247">
        <v>151.24</v>
      </c>
      <c r="M151" s="247">
        <v>36711.47</v>
      </c>
      <c r="N151" s="247">
        <v>0</v>
      </c>
      <c r="O151" s="247">
        <v>34348.16</v>
      </c>
      <c r="P151" s="246">
        <v>80566.49</v>
      </c>
      <c r="Q151" s="246">
        <v>0</v>
      </c>
      <c r="R151" s="246">
        <f t="shared" si="7"/>
        <v>604637.5</v>
      </c>
      <c r="S151" s="223"/>
    </row>
    <row r="152" spans="1:19" s="595" customFormat="1" ht="12.75" hidden="1" outlineLevel="1">
      <c r="A152" s="223" t="s">
        <v>809</v>
      </c>
      <c r="B152" s="224"/>
      <c r="C152" s="224" t="s">
        <v>810</v>
      </c>
      <c r="D152" s="224" t="s">
        <v>811</v>
      </c>
      <c r="E152" s="246">
        <v>1600009.37</v>
      </c>
      <c r="F152" s="246">
        <v>71545.07</v>
      </c>
      <c r="G152" s="246"/>
      <c r="H152" s="247">
        <v>0</v>
      </c>
      <c r="I152" s="247">
        <v>7158.92</v>
      </c>
      <c r="J152" s="247">
        <v>0</v>
      </c>
      <c r="K152" s="247">
        <v>8092.11</v>
      </c>
      <c r="L152" s="247">
        <v>0</v>
      </c>
      <c r="M152" s="247">
        <v>0</v>
      </c>
      <c r="N152" s="247">
        <v>0</v>
      </c>
      <c r="O152" s="247">
        <v>35863.9</v>
      </c>
      <c r="P152" s="246">
        <v>51114.93</v>
      </c>
      <c r="Q152" s="246">
        <v>0</v>
      </c>
      <c r="R152" s="246">
        <f t="shared" si="7"/>
        <v>1722669.37</v>
      </c>
      <c r="S152" s="223"/>
    </row>
    <row r="153" spans="1:19" s="595" customFormat="1" ht="12.75" hidden="1" outlineLevel="1">
      <c r="A153" s="223" t="s">
        <v>812</v>
      </c>
      <c r="B153" s="224"/>
      <c r="C153" s="224" t="s">
        <v>813</v>
      </c>
      <c r="D153" s="224" t="s">
        <v>814</v>
      </c>
      <c r="E153" s="246">
        <v>276989.17</v>
      </c>
      <c r="F153" s="246">
        <v>0</v>
      </c>
      <c r="G153" s="246"/>
      <c r="H153" s="247">
        <v>480805.57</v>
      </c>
      <c r="I153" s="247">
        <v>0</v>
      </c>
      <c r="J153" s="247">
        <v>0</v>
      </c>
      <c r="K153" s="247">
        <v>73747.61</v>
      </c>
      <c r="L153" s="247">
        <v>0</v>
      </c>
      <c r="M153" s="247">
        <v>0</v>
      </c>
      <c r="N153" s="247">
        <v>10150.14</v>
      </c>
      <c r="O153" s="247">
        <v>0</v>
      </c>
      <c r="P153" s="246">
        <v>564703.32</v>
      </c>
      <c r="Q153" s="246">
        <v>0</v>
      </c>
      <c r="R153" s="246">
        <f t="shared" si="7"/>
        <v>841692.49</v>
      </c>
      <c r="S153" s="223"/>
    </row>
    <row r="154" spans="1:19" s="595" customFormat="1" ht="12.75" hidden="1" outlineLevel="1">
      <c r="A154" s="223" t="s">
        <v>815</v>
      </c>
      <c r="B154" s="224"/>
      <c r="C154" s="224" t="s">
        <v>816</v>
      </c>
      <c r="D154" s="224" t="s">
        <v>817</v>
      </c>
      <c r="E154" s="246">
        <v>985133.56</v>
      </c>
      <c r="F154" s="246">
        <v>39.22</v>
      </c>
      <c r="G154" s="246"/>
      <c r="H154" s="247">
        <v>19574.91</v>
      </c>
      <c r="I154" s="247">
        <v>0</v>
      </c>
      <c r="J154" s="247">
        <v>62078.61</v>
      </c>
      <c r="K154" s="247">
        <v>30537.9</v>
      </c>
      <c r="L154" s="247">
        <v>0</v>
      </c>
      <c r="M154" s="247">
        <v>0</v>
      </c>
      <c r="N154" s="247">
        <v>23873.67</v>
      </c>
      <c r="O154" s="247">
        <v>-92.48</v>
      </c>
      <c r="P154" s="246">
        <v>135972.61</v>
      </c>
      <c r="Q154" s="246">
        <v>0</v>
      </c>
      <c r="R154" s="246">
        <f t="shared" si="7"/>
        <v>1121145.3900000001</v>
      </c>
      <c r="S154" s="223"/>
    </row>
    <row r="155" spans="1:19" s="595" customFormat="1" ht="12.75" hidden="1" outlineLevel="1">
      <c r="A155" s="223" t="s">
        <v>818</v>
      </c>
      <c r="B155" s="224"/>
      <c r="C155" s="224" t="s">
        <v>819</v>
      </c>
      <c r="D155" s="224" t="s">
        <v>820</v>
      </c>
      <c r="E155" s="246">
        <v>17189.6</v>
      </c>
      <c r="F155" s="246">
        <v>740.42</v>
      </c>
      <c r="G155" s="246"/>
      <c r="H155" s="247">
        <v>0</v>
      </c>
      <c r="I155" s="247">
        <v>0</v>
      </c>
      <c r="J155" s="247">
        <v>0</v>
      </c>
      <c r="K155" s="247">
        <v>327.15</v>
      </c>
      <c r="L155" s="247">
        <v>0</v>
      </c>
      <c r="M155" s="247">
        <v>0</v>
      </c>
      <c r="N155" s="247">
        <v>0</v>
      </c>
      <c r="O155" s="247">
        <v>128.84</v>
      </c>
      <c r="P155" s="246">
        <v>455.99</v>
      </c>
      <c r="Q155" s="246">
        <v>0</v>
      </c>
      <c r="R155" s="246">
        <f t="shared" si="7"/>
        <v>18386.01</v>
      </c>
      <c r="S155" s="223"/>
    </row>
    <row r="156" spans="1:19" s="595" customFormat="1" ht="12.75" hidden="1" outlineLevel="1">
      <c r="A156" s="223" t="s">
        <v>821</v>
      </c>
      <c r="B156" s="224"/>
      <c r="C156" s="224" t="s">
        <v>822</v>
      </c>
      <c r="D156" s="224" t="s">
        <v>823</v>
      </c>
      <c r="E156" s="246">
        <v>10502.92</v>
      </c>
      <c r="F156" s="246">
        <v>0</v>
      </c>
      <c r="G156" s="246"/>
      <c r="H156" s="247">
        <v>0</v>
      </c>
      <c r="I156" s="247">
        <v>0</v>
      </c>
      <c r="J156" s="247">
        <v>0</v>
      </c>
      <c r="K156" s="247">
        <v>0</v>
      </c>
      <c r="L156" s="247">
        <v>0</v>
      </c>
      <c r="M156" s="247">
        <v>0</v>
      </c>
      <c r="N156" s="247">
        <v>0</v>
      </c>
      <c r="O156" s="247">
        <v>0</v>
      </c>
      <c r="P156" s="246">
        <v>0</v>
      </c>
      <c r="Q156" s="246">
        <v>0</v>
      </c>
      <c r="R156" s="246">
        <f t="shared" si="7"/>
        <v>10502.92</v>
      </c>
      <c r="S156" s="223"/>
    </row>
    <row r="157" spans="1:19" s="595" customFormat="1" ht="12.75" hidden="1" outlineLevel="1">
      <c r="A157" s="223" t="s">
        <v>824</v>
      </c>
      <c r="B157" s="224"/>
      <c r="C157" s="224" t="s">
        <v>825</v>
      </c>
      <c r="D157" s="224" t="s">
        <v>826</v>
      </c>
      <c r="E157" s="246">
        <v>-147784.97</v>
      </c>
      <c r="F157" s="246">
        <v>-5236.52</v>
      </c>
      <c r="G157" s="246"/>
      <c r="H157" s="247">
        <v>-6718</v>
      </c>
      <c r="I157" s="247">
        <v>-576.98</v>
      </c>
      <c r="J157" s="247">
        <v>1697.56</v>
      </c>
      <c r="K157" s="247">
        <v>-1186.69</v>
      </c>
      <c r="L157" s="247">
        <v>-4795.22</v>
      </c>
      <c r="M157" s="247">
        <v>-33.29</v>
      </c>
      <c r="N157" s="247">
        <v>-256.17</v>
      </c>
      <c r="O157" s="247">
        <v>742.93</v>
      </c>
      <c r="P157" s="246">
        <v>-11125.86</v>
      </c>
      <c r="Q157" s="246">
        <v>0</v>
      </c>
      <c r="R157" s="246">
        <f t="shared" si="7"/>
        <v>-164147.34999999998</v>
      </c>
      <c r="S157" s="223"/>
    </row>
    <row r="158" spans="1:19" s="595" customFormat="1" ht="12.75" hidden="1" outlineLevel="1">
      <c r="A158" s="223" t="s">
        <v>827</v>
      </c>
      <c r="B158" s="224"/>
      <c r="C158" s="224" t="s">
        <v>828</v>
      </c>
      <c r="D158" s="224" t="s">
        <v>829</v>
      </c>
      <c r="E158" s="246">
        <v>-431.83</v>
      </c>
      <c r="F158" s="246">
        <v>703.72</v>
      </c>
      <c r="G158" s="246"/>
      <c r="H158" s="247">
        <v>0</v>
      </c>
      <c r="I158" s="247">
        <v>0</v>
      </c>
      <c r="J158" s="247">
        <v>0</v>
      </c>
      <c r="K158" s="247">
        <v>0</v>
      </c>
      <c r="L158" s="247">
        <v>0</v>
      </c>
      <c r="M158" s="247">
        <v>0</v>
      </c>
      <c r="N158" s="247">
        <v>0</v>
      </c>
      <c r="O158" s="247">
        <v>0</v>
      </c>
      <c r="P158" s="246">
        <v>0</v>
      </c>
      <c r="Q158" s="246">
        <v>0</v>
      </c>
      <c r="R158" s="246">
        <f t="shared" si="7"/>
        <v>271.89000000000004</v>
      </c>
      <c r="S158" s="223"/>
    </row>
    <row r="159" spans="1:59" s="600" customFormat="1" ht="12.75" customHeight="1" collapsed="1">
      <c r="A159" s="209" t="s">
        <v>830</v>
      </c>
      <c r="B159" s="209"/>
      <c r="C159" s="208" t="s">
        <v>2950</v>
      </c>
      <c r="D159" s="210"/>
      <c r="E159" s="101">
        <v>23901331.83000001</v>
      </c>
      <c r="F159" s="101">
        <v>352499.53</v>
      </c>
      <c r="G159" s="101">
        <v>2025301.08</v>
      </c>
      <c r="H159" s="100">
        <v>513135.86</v>
      </c>
      <c r="I159" s="100">
        <v>88326.04</v>
      </c>
      <c r="J159" s="100">
        <v>72432.64</v>
      </c>
      <c r="K159" s="100">
        <v>136600.58</v>
      </c>
      <c r="L159" s="100">
        <v>-4638.24</v>
      </c>
      <c r="M159" s="100">
        <v>36678.18</v>
      </c>
      <c r="N159" s="100">
        <v>33767.64</v>
      </c>
      <c r="O159" s="100">
        <v>126403.97</v>
      </c>
      <c r="P159" s="101">
        <v>1002706.67</v>
      </c>
      <c r="Q159" s="101">
        <v>0</v>
      </c>
      <c r="R159" s="101">
        <f t="shared" si="7"/>
        <v>27281839.110000014</v>
      </c>
      <c r="S159" s="208"/>
      <c r="T159" s="599"/>
      <c r="U159" s="599"/>
      <c r="V159" s="599"/>
      <c r="W159" s="599"/>
      <c r="X159" s="599"/>
      <c r="Y159" s="599"/>
      <c r="Z159" s="599"/>
      <c r="AA159" s="599"/>
      <c r="AB159" s="599"/>
      <c r="AC159" s="599"/>
      <c r="AD159" s="599"/>
      <c r="AE159" s="599"/>
      <c r="AF159" s="599"/>
      <c r="AG159" s="599"/>
      <c r="AH159" s="599"/>
      <c r="AI159" s="599"/>
      <c r="AJ159" s="599"/>
      <c r="AK159" s="599"/>
      <c r="AL159" s="599"/>
      <c r="AM159" s="599"/>
      <c r="AN159" s="599"/>
      <c r="AO159" s="599"/>
      <c r="AP159" s="599"/>
      <c r="AQ159" s="599"/>
      <c r="AR159" s="599"/>
      <c r="AS159" s="599"/>
      <c r="AT159" s="599"/>
      <c r="AU159" s="599"/>
      <c r="AV159" s="599"/>
      <c r="AW159" s="599"/>
      <c r="AX159" s="599"/>
      <c r="AY159" s="599"/>
      <c r="AZ159" s="599"/>
      <c r="BA159" s="599"/>
      <c r="BB159" s="599"/>
      <c r="BC159" s="599"/>
      <c r="BD159" s="599"/>
      <c r="BE159" s="599"/>
      <c r="BF159" s="599"/>
      <c r="BG159" s="599"/>
    </row>
    <row r="160" spans="1:19" s="595" customFormat="1" ht="12.75" hidden="1" outlineLevel="1">
      <c r="A160" s="223" t="s">
        <v>834</v>
      </c>
      <c r="B160" s="224"/>
      <c r="C160" s="224" t="s">
        <v>835</v>
      </c>
      <c r="D160" s="224" t="s">
        <v>836</v>
      </c>
      <c r="E160" s="246">
        <v>-646015.9</v>
      </c>
      <c r="F160" s="246">
        <v>17219.78</v>
      </c>
      <c r="G160" s="246"/>
      <c r="H160" s="247">
        <v>-4318516.74</v>
      </c>
      <c r="I160" s="247">
        <v>-749235.99</v>
      </c>
      <c r="J160" s="247">
        <v>-546834.29</v>
      </c>
      <c r="K160" s="247">
        <v>-1191004.46</v>
      </c>
      <c r="L160" s="247">
        <v>-1033736.8</v>
      </c>
      <c r="M160" s="247">
        <v>-1379792.73</v>
      </c>
      <c r="N160" s="247">
        <v>-351269.42</v>
      </c>
      <c r="O160" s="247">
        <v>-415011.5</v>
      </c>
      <c r="P160" s="246">
        <v>-9985401.93</v>
      </c>
      <c r="Q160" s="246">
        <v>0</v>
      </c>
      <c r="R160" s="246">
        <f t="shared" si="7"/>
        <v>-10614198.049999999</v>
      </c>
      <c r="S160" s="223"/>
    </row>
    <row r="161" spans="1:19" s="595" customFormat="1" ht="12.75" hidden="1" outlineLevel="1">
      <c r="A161" s="223" t="s">
        <v>1789</v>
      </c>
      <c r="B161" s="224"/>
      <c r="C161" s="224" t="s">
        <v>1790</v>
      </c>
      <c r="D161" s="224" t="s">
        <v>1791</v>
      </c>
      <c r="E161" s="246">
        <v>21370.51</v>
      </c>
      <c r="F161" s="246">
        <v>0</v>
      </c>
      <c r="G161" s="246"/>
      <c r="H161" s="247">
        <v>950470.95</v>
      </c>
      <c r="I161" s="247">
        <v>0</v>
      </c>
      <c r="J161" s="247">
        <v>0</v>
      </c>
      <c r="K161" s="247">
        <v>308037.72</v>
      </c>
      <c r="L161" s="247">
        <v>0</v>
      </c>
      <c r="M161" s="247">
        <v>0</v>
      </c>
      <c r="N161" s="247">
        <v>135603.21</v>
      </c>
      <c r="O161" s="247">
        <v>0</v>
      </c>
      <c r="P161" s="246">
        <v>1394111.88</v>
      </c>
      <c r="Q161" s="246">
        <v>0</v>
      </c>
      <c r="R161" s="246">
        <f t="shared" si="7"/>
        <v>1415482.39</v>
      </c>
      <c r="S161" s="223"/>
    </row>
    <row r="162" spans="1:19" s="595" customFormat="1" ht="12.75" hidden="1" outlineLevel="1">
      <c r="A162" s="223" t="s">
        <v>1792</v>
      </c>
      <c r="B162" s="224"/>
      <c r="C162" s="224" t="s">
        <v>1793</v>
      </c>
      <c r="D162" s="224" t="s">
        <v>1794</v>
      </c>
      <c r="E162" s="246">
        <v>0</v>
      </c>
      <c r="F162" s="246">
        <v>0</v>
      </c>
      <c r="G162" s="246"/>
      <c r="H162" s="247">
        <v>0</v>
      </c>
      <c r="I162" s="247">
        <v>0</v>
      </c>
      <c r="J162" s="247">
        <v>0</v>
      </c>
      <c r="K162" s="247">
        <v>0</v>
      </c>
      <c r="L162" s="247">
        <v>5282</v>
      </c>
      <c r="M162" s="247">
        <v>0</v>
      </c>
      <c r="N162" s="247">
        <v>0</v>
      </c>
      <c r="O162" s="247">
        <v>0</v>
      </c>
      <c r="P162" s="246">
        <v>5282</v>
      </c>
      <c r="Q162" s="246">
        <v>0</v>
      </c>
      <c r="R162" s="246">
        <f t="shared" si="7"/>
        <v>5282</v>
      </c>
      <c r="S162" s="223"/>
    </row>
    <row r="163" spans="1:19" s="595" customFormat="1" ht="12.75" hidden="1" outlineLevel="1">
      <c r="A163" s="223" t="s">
        <v>1795</v>
      </c>
      <c r="B163" s="224"/>
      <c r="C163" s="224" t="s">
        <v>1796</v>
      </c>
      <c r="D163" s="224" t="s">
        <v>1797</v>
      </c>
      <c r="E163" s="246">
        <v>0</v>
      </c>
      <c r="F163" s="246">
        <v>0</v>
      </c>
      <c r="G163" s="246"/>
      <c r="H163" s="247">
        <v>0</v>
      </c>
      <c r="I163" s="247">
        <v>0</v>
      </c>
      <c r="J163" s="247">
        <v>0</v>
      </c>
      <c r="K163" s="247">
        <v>0</v>
      </c>
      <c r="L163" s="247">
        <v>94.75</v>
      </c>
      <c r="M163" s="247">
        <v>0</v>
      </c>
      <c r="N163" s="247">
        <v>0</v>
      </c>
      <c r="O163" s="247">
        <v>0</v>
      </c>
      <c r="P163" s="246">
        <v>94.75</v>
      </c>
      <c r="Q163" s="246">
        <v>0</v>
      </c>
      <c r="R163" s="246">
        <f t="shared" si="7"/>
        <v>94.75</v>
      </c>
      <c r="S163" s="223"/>
    </row>
    <row r="164" spans="1:19" s="595" customFormat="1" ht="12.75" hidden="1" outlineLevel="1">
      <c r="A164" s="223" t="s">
        <v>1798</v>
      </c>
      <c r="B164" s="224"/>
      <c r="C164" s="224" t="s">
        <v>1799</v>
      </c>
      <c r="D164" s="224" t="s">
        <v>1800</v>
      </c>
      <c r="E164" s="246">
        <v>0</v>
      </c>
      <c r="F164" s="246">
        <v>0</v>
      </c>
      <c r="G164" s="246"/>
      <c r="H164" s="247">
        <v>0</v>
      </c>
      <c r="I164" s="247">
        <v>0</v>
      </c>
      <c r="J164" s="247">
        <v>0</v>
      </c>
      <c r="K164" s="247">
        <v>0</v>
      </c>
      <c r="L164" s="247">
        <v>7282.85</v>
      </c>
      <c r="M164" s="247">
        <v>0</v>
      </c>
      <c r="N164" s="247">
        <v>0</v>
      </c>
      <c r="O164" s="247">
        <v>0</v>
      </c>
      <c r="P164" s="246">
        <v>7282.85</v>
      </c>
      <c r="Q164" s="246">
        <v>0</v>
      </c>
      <c r="R164" s="246">
        <f t="shared" si="7"/>
        <v>7282.85</v>
      </c>
      <c r="S164" s="223"/>
    </row>
    <row r="165" spans="1:19" s="595" customFormat="1" ht="12.75" hidden="1" outlineLevel="1">
      <c r="A165" s="223" t="s">
        <v>1801</v>
      </c>
      <c r="B165" s="224"/>
      <c r="C165" s="224" t="s">
        <v>1802</v>
      </c>
      <c r="D165" s="224" t="s">
        <v>1803</v>
      </c>
      <c r="E165" s="246">
        <v>0</v>
      </c>
      <c r="F165" s="246">
        <v>0</v>
      </c>
      <c r="G165" s="246"/>
      <c r="H165" s="247">
        <v>0</v>
      </c>
      <c r="I165" s="247">
        <v>0</v>
      </c>
      <c r="J165" s="247">
        <v>0</v>
      </c>
      <c r="K165" s="247">
        <v>0</v>
      </c>
      <c r="L165" s="247">
        <v>300</v>
      </c>
      <c r="M165" s="247">
        <v>0</v>
      </c>
      <c r="N165" s="247">
        <v>0</v>
      </c>
      <c r="O165" s="247">
        <v>0</v>
      </c>
      <c r="P165" s="246">
        <v>300</v>
      </c>
      <c r="Q165" s="246">
        <v>0</v>
      </c>
      <c r="R165" s="246">
        <f t="shared" si="7"/>
        <v>300</v>
      </c>
      <c r="S165" s="223"/>
    </row>
    <row r="166" spans="1:19" s="595" customFormat="1" ht="12.75" hidden="1" outlineLevel="1">
      <c r="A166" s="223" t="s">
        <v>1804</v>
      </c>
      <c r="B166" s="224"/>
      <c r="C166" s="224" t="s">
        <v>1805</v>
      </c>
      <c r="D166" s="224" t="s">
        <v>1806</v>
      </c>
      <c r="E166" s="246">
        <v>0</v>
      </c>
      <c r="F166" s="246">
        <v>0</v>
      </c>
      <c r="G166" s="246"/>
      <c r="H166" s="247">
        <v>0</v>
      </c>
      <c r="I166" s="247">
        <v>0</v>
      </c>
      <c r="J166" s="247">
        <v>0</v>
      </c>
      <c r="K166" s="247">
        <v>0</v>
      </c>
      <c r="L166" s="247">
        <v>13152.63</v>
      </c>
      <c r="M166" s="247">
        <v>0</v>
      </c>
      <c r="N166" s="247">
        <v>0</v>
      </c>
      <c r="O166" s="247">
        <v>0</v>
      </c>
      <c r="P166" s="246">
        <v>13152.63</v>
      </c>
      <c r="Q166" s="246">
        <v>0</v>
      </c>
      <c r="R166" s="246">
        <f t="shared" si="7"/>
        <v>13152.63</v>
      </c>
      <c r="S166" s="223"/>
    </row>
    <row r="167" spans="1:19" s="595" customFormat="1" ht="12.75" hidden="1" outlineLevel="1">
      <c r="A167" s="223" t="s">
        <v>1807</v>
      </c>
      <c r="B167" s="224"/>
      <c r="C167" s="224" t="s">
        <v>1808</v>
      </c>
      <c r="D167" s="224" t="s">
        <v>1809</v>
      </c>
      <c r="E167" s="246">
        <v>0</v>
      </c>
      <c r="F167" s="246">
        <v>0</v>
      </c>
      <c r="G167" s="246"/>
      <c r="H167" s="247">
        <v>0</v>
      </c>
      <c r="I167" s="247">
        <v>0</v>
      </c>
      <c r="J167" s="247">
        <v>0</v>
      </c>
      <c r="K167" s="247">
        <v>0</v>
      </c>
      <c r="L167" s="247">
        <v>4948.42</v>
      </c>
      <c r="M167" s="247">
        <v>0</v>
      </c>
      <c r="N167" s="247">
        <v>0</v>
      </c>
      <c r="O167" s="247">
        <v>0</v>
      </c>
      <c r="P167" s="246">
        <v>4948.42</v>
      </c>
      <c r="Q167" s="246">
        <v>0</v>
      </c>
      <c r="R167" s="246">
        <f t="shared" si="7"/>
        <v>4948.42</v>
      </c>
      <c r="S167" s="223"/>
    </row>
    <row r="168" spans="1:19" s="595" customFormat="1" ht="12.75" hidden="1" outlineLevel="1">
      <c r="A168" s="223" t="s">
        <v>1810</v>
      </c>
      <c r="B168" s="224"/>
      <c r="C168" s="224" t="s">
        <v>1811</v>
      </c>
      <c r="D168" s="224" t="s">
        <v>1812</v>
      </c>
      <c r="E168" s="246">
        <v>0</v>
      </c>
      <c r="F168" s="246">
        <v>0</v>
      </c>
      <c r="G168" s="246"/>
      <c r="H168" s="247">
        <v>0</v>
      </c>
      <c r="I168" s="247">
        <v>0</v>
      </c>
      <c r="J168" s="247">
        <v>0</v>
      </c>
      <c r="K168" s="247">
        <v>0</v>
      </c>
      <c r="L168" s="247">
        <v>876.86</v>
      </c>
      <c r="M168" s="247">
        <v>0</v>
      </c>
      <c r="N168" s="247">
        <v>0</v>
      </c>
      <c r="O168" s="247">
        <v>0</v>
      </c>
      <c r="P168" s="246">
        <v>876.86</v>
      </c>
      <c r="Q168" s="246">
        <v>0</v>
      </c>
      <c r="R168" s="246">
        <f t="shared" si="7"/>
        <v>876.86</v>
      </c>
      <c r="S168" s="223"/>
    </row>
    <row r="169" spans="1:19" s="595" customFormat="1" ht="12.75" hidden="1" outlineLevel="1">
      <c r="A169" s="223" t="s">
        <v>1825</v>
      </c>
      <c r="B169" s="224"/>
      <c r="C169" s="224" t="s">
        <v>1826</v>
      </c>
      <c r="D169" s="224" t="s">
        <v>1827</v>
      </c>
      <c r="E169" s="246">
        <v>0</v>
      </c>
      <c r="F169" s="246">
        <v>0</v>
      </c>
      <c r="G169" s="246"/>
      <c r="H169" s="247">
        <v>0</v>
      </c>
      <c r="I169" s="247">
        <v>0</v>
      </c>
      <c r="J169" s="247">
        <v>0</v>
      </c>
      <c r="K169" s="247">
        <v>0</v>
      </c>
      <c r="L169" s="247">
        <v>147779.23</v>
      </c>
      <c r="M169" s="247">
        <v>0</v>
      </c>
      <c r="N169" s="247">
        <v>0</v>
      </c>
      <c r="O169" s="247">
        <v>0</v>
      </c>
      <c r="P169" s="246">
        <v>147779.23</v>
      </c>
      <c r="Q169" s="246">
        <v>0</v>
      </c>
      <c r="R169" s="246">
        <f t="shared" si="7"/>
        <v>147779.23</v>
      </c>
      <c r="S169" s="223"/>
    </row>
    <row r="170" spans="1:19" s="595" customFormat="1" ht="12.75" hidden="1" outlineLevel="1">
      <c r="A170" s="223" t="s">
        <v>903</v>
      </c>
      <c r="B170" s="224"/>
      <c r="C170" s="224" t="s">
        <v>904</v>
      </c>
      <c r="D170" s="224" t="s">
        <v>905</v>
      </c>
      <c r="E170" s="246">
        <v>0</v>
      </c>
      <c r="F170" s="246">
        <v>0</v>
      </c>
      <c r="G170" s="246"/>
      <c r="H170" s="247">
        <v>0</v>
      </c>
      <c r="I170" s="247">
        <v>0</v>
      </c>
      <c r="J170" s="247">
        <v>0</v>
      </c>
      <c r="K170" s="247">
        <v>0</v>
      </c>
      <c r="L170" s="247">
        <v>1891</v>
      </c>
      <c r="M170" s="247">
        <v>0</v>
      </c>
      <c r="N170" s="247">
        <v>0</v>
      </c>
      <c r="O170" s="247">
        <v>0</v>
      </c>
      <c r="P170" s="246">
        <v>1891</v>
      </c>
      <c r="Q170" s="246">
        <v>0</v>
      </c>
      <c r="R170" s="246">
        <f t="shared" si="7"/>
        <v>1891</v>
      </c>
      <c r="S170" s="223"/>
    </row>
    <row r="171" spans="1:19" s="595" customFormat="1" ht="12.75" hidden="1" outlineLevel="1">
      <c r="A171" s="223" t="s">
        <v>1828</v>
      </c>
      <c r="B171" s="224"/>
      <c r="C171" s="224" t="s">
        <v>1829</v>
      </c>
      <c r="D171" s="224" t="s">
        <v>1830</v>
      </c>
      <c r="E171" s="246">
        <v>0</v>
      </c>
      <c r="F171" s="246">
        <v>0</v>
      </c>
      <c r="G171" s="246"/>
      <c r="H171" s="247">
        <v>0</v>
      </c>
      <c r="I171" s="247">
        <v>0</v>
      </c>
      <c r="J171" s="247">
        <v>0</v>
      </c>
      <c r="K171" s="247">
        <v>243348.13</v>
      </c>
      <c r="L171" s="247">
        <v>591462.41</v>
      </c>
      <c r="M171" s="247">
        <v>0</v>
      </c>
      <c r="N171" s="247">
        <v>0</v>
      </c>
      <c r="O171" s="247">
        <v>0</v>
      </c>
      <c r="P171" s="246">
        <v>834810.54</v>
      </c>
      <c r="Q171" s="246">
        <v>0</v>
      </c>
      <c r="R171" s="246">
        <f t="shared" si="7"/>
        <v>834810.54</v>
      </c>
      <c r="S171" s="223"/>
    </row>
    <row r="172" spans="1:19" s="595" customFormat="1" ht="12.75" hidden="1" outlineLevel="1">
      <c r="A172" s="223" t="s">
        <v>1831</v>
      </c>
      <c r="B172" s="224"/>
      <c r="C172" s="224" t="s">
        <v>1832</v>
      </c>
      <c r="D172" s="224" t="s">
        <v>1833</v>
      </c>
      <c r="E172" s="246">
        <v>0</v>
      </c>
      <c r="F172" s="246">
        <v>0</v>
      </c>
      <c r="G172" s="246"/>
      <c r="H172" s="247">
        <v>1077431.57</v>
      </c>
      <c r="I172" s="247">
        <v>0</v>
      </c>
      <c r="J172" s="247">
        <v>0</v>
      </c>
      <c r="K172" s="247">
        <v>0</v>
      </c>
      <c r="L172" s="247">
        <v>0</v>
      </c>
      <c r="M172" s="247">
        <v>0</v>
      </c>
      <c r="N172" s="247">
        <v>3395.77</v>
      </c>
      <c r="O172" s="247">
        <v>0</v>
      </c>
      <c r="P172" s="246">
        <v>1080827.34</v>
      </c>
      <c r="Q172" s="246">
        <v>0</v>
      </c>
      <c r="R172" s="246">
        <f t="shared" si="7"/>
        <v>1080827.34</v>
      </c>
      <c r="S172" s="223"/>
    </row>
    <row r="173" spans="1:19" s="595" customFormat="1" ht="12.75" hidden="1" outlineLevel="1">
      <c r="A173" s="223" t="s">
        <v>1834</v>
      </c>
      <c r="B173" s="224"/>
      <c r="C173" s="224" t="s">
        <v>1835</v>
      </c>
      <c r="D173" s="224" t="s">
        <v>1836</v>
      </c>
      <c r="E173" s="246">
        <v>249</v>
      </c>
      <c r="F173" s="246">
        <v>0</v>
      </c>
      <c r="G173" s="246"/>
      <c r="H173" s="247">
        <v>0</v>
      </c>
      <c r="I173" s="247">
        <v>0</v>
      </c>
      <c r="J173" s="247">
        <v>0</v>
      </c>
      <c r="K173" s="247">
        <v>0</v>
      </c>
      <c r="L173" s="247">
        <v>0</v>
      </c>
      <c r="M173" s="247">
        <v>0</v>
      </c>
      <c r="N173" s="247">
        <v>0</v>
      </c>
      <c r="O173" s="247">
        <v>0</v>
      </c>
      <c r="P173" s="246">
        <v>0</v>
      </c>
      <c r="Q173" s="246">
        <v>0</v>
      </c>
      <c r="R173" s="246">
        <f t="shared" si="7"/>
        <v>249</v>
      </c>
      <c r="S173" s="223"/>
    </row>
    <row r="174" spans="1:19" s="595" customFormat="1" ht="12.75" hidden="1" outlineLevel="1">
      <c r="A174" s="223" t="s">
        <v>1837</v>
      </c>
      <c r="B174" s="224"/>
      <c r="C174" s="224" t="s">
        <v>1838</v>
      </c>
      <c r="D174" s="224" t="s">
        <v>1839</v>
      </c>
      <c r="E174" s="246">
        <v>0</v>
      </c>
      <c r="F174" s="246">
        <v>0</v>
      </c>
      <c r="G174" s="246"/>
      <c r="H174" s="247">
        <v>0</v>
      </c>
      <c r="I174" s="247">
        <v>0</v>
      </c>
      <c r="J174" s="247">
        <v>0</v>
      </c>
      <c r="K174" s="247">
        <v>0</v>
      </c>
      <c r="L174" s="247">
        <v>15680.52</v>
      </c>
      <c r="M174" s="247">
        <v>0</v>
      </c>
      <c r="N174" s="247">
        <v>0</v>
      </c>
      <c r="O174" s="247">
        <v>0</v>
      </c>
      <c r="P174" s="246">
        <v>15680.52</v>
      </c>
      <c r="Q174" s="246">
        <v>0</v>
      </c>
      <c r="R174" s="246">
        <f t="shared" si="7"/>
        <v>15680.52</v>
      </c>
      <c r="S174" s="223"/>
    </row>
    <row r="175" spans="1:19" s="595" customFormat="1" ht="12.75" hidden="1" outlineLevel="1">
      <c r="A175" s="223" t="s">
        <v>1840</v>
      </c>
      <c r="B175" s="224"/>
      <c r="C175" s="224" t="s">
        <v>1841</v>
      </c>
      <c r="D175" s="224" t="s">
        <v>1842</v>
      </c>
      <c r="E175" s="246">
        <v>0</v>
      </c>
      <c r="F175" s="246">
        <v>0</v>
      </c>
      <c r="G175" s="246"/>
      <c r="H175" s="247">
        <v>0</v>
      </c>
      <c r="I175" s="247">
        <v>0</v>
      </c>
      <c r="J175" s="247">
        <v>0</v>
      </c>
      <c r="K175" s="247">
        <v>0</v>
      </c>
      <c r="L175" s="247">
        <v>2218.11</v>
      </c>
      <c r="M175" s="247">
        <v>0</v>
      </c>
      <c r="N175" s="247">
        <v>0</v>
      </c>
      <c r="O175" s="247">
        <v>0</v>
      </c>
      <c r="P175" s="246">
        <v>2218.11</v>
      </c>
      <c r="Q175" s="246">
        <v>0</v>
      </c>
      <c r="R175" s="246">
        <f t="shared" si="7"/>
        <v>2218.11</v>
      </c>
      <c r="S175" s="223"/>
    </row>
    <row r="176" spans="1:19" s="595" customFormat="1" ht="12.75" hidden="1" outlineLevel="1">
      <c r="A176" s="223" t="s">
        <v>1843</v>
      </c>
      <c r="B176" s="224"/>
      <c r="C176" s="224" t="s">
        <v>1844</v>
      </c>
      <c r="D176" s="224" t="s">
        <v>1845</v>
      </c>
      <c r="E176" s="246">
        <v>0</v>
      </c>
      <c r="F176" s="246">
        <v>2070.46</v>
      </c>
      <c r="G176" s="246"/>
      <c r="H176" s="247">
        <v>0</v>
      </c>
      <c r="I176" s="247">
        <v>0</v>
      </c>
      <c r="J176" s="247">
        <v>0</v>
      </c>
      <c r="K176" s="247">
        <v>0</v>
      </c>
      <c r="L176" s="247">
        <v>0</v>
      </c>
      <c r="M176" s="247">
        <v>0</v>
      </c>
      <c r="N176" s="247">
        <v>0</v>
      </c>
      <c r="O176" s="247">
        <v>0</v>
      </c>
      <c r="P176" s="246">
        <v>0</v>
      </c>
      <c r="Q176" s="246">
        <v>0</v>
      </c>
      <c r="R176" s="246">
        <f t="shared" si="7"/>
        <v>2070.46</v>
      </c>
      <c r="S176" s="223"/>
    </row>
    <row r="177" spans="1:19" s="595" customFormat="1" ht="12.75" hidden="1" outlineLevel="1">
      <c r="A177" s="223" t="s">
        <v>1849</v>
      </c>
      <c r="B177" s="224"/>
      <c r="C177" s="224" t="s">
        <v>1850</v>
      </c>
      <c r="D177" s="224" t="s">
        <v>1851</v>
      </c>
      <c r="E177" s="246">
        <v>0</v>
      </c>
      <c r="F177" s="246">
        <v>0</v>
      </c>
      <c r="G177" s="246"/>
      <c r="H177" s="247">
        <v>0</v>
      </c>
      <c r="I177" s="247">
        <v>0</v>
      </c>
      <c r="J177" s="247">
        <v>0</v>
      </c>
      <c r="K177" s="247">
        <v>0</v>
      </c>
      <c r="L177" s="247">
        <v>1574.03</v>
      </c>
      <c r="M177" s="247">
        <v>0</v>
      </c>
      <c r="N177" s="247">
        <v>0</v>
      </c>
      <c r="O177" s="247">
        <v>0</v>
      </c>
      <c r="P177" s="246">
        <v>1574.03</v>
      </c>
      <c r="Q177" s="246">
        <v>0</v>
      </c>
      <c r="R177" s="246">
        <f t="shared" si="7"/>
        <v>1574.03</v>
      </c>
      <c r="S177" s="223"/>
    </row>
    <row r="178" spans="1:19" s="595" customFormat="1" ht="12.75" hidden="1" outlineLevel="1">
      <c r="A178" s="223" t="s">
        <v>1852</v>
      </c>
      <c r="B178" s="224"/>
      <c r="C178" s="224" t="s">
        <v>1853</v>
      </c>
      <c r="D178" s="224" t="s">
        <v>1854</v>
      </c>
      <c r="E178" s="246">
        <v>0</v>
      </c>
      <c r="F178" s="246">
        <v>0</v>
      </c>
      <c r="G178" s="246"/>
      <c r="H178" s="247">
        <v>0</v>
      </c>
      <c r="I178" s="247">
        <v>0</v>
      </c>
      <c r="J178" s="247">
        <v>0</v>
      </c>
      <c r="K178" s="247">
        <v>0</v>
      </c>
      <c r="L178" s="247">
        <v>325.41</v>
      </c>
      <c r="M178" s="247">
        <v>0</v>
      </c>
      <c r="N178" s="247">
        <v>0</v>
      </c>
      <c r="O178" s="247">
        <v>0</v>
      </c>
      <c r="P178" s="246">
        <v>325.41</v>
      </c>
      <c r="Q178" s="246">
        <v>0</v>
      </c>
      <c r="R178" s="246">
        <f t="shared" si="7"/>
        <v>325.41</v>
      </c>
      <c r="S178" s="223"/>
    </row>
    <row r="179" spans="1:19" s="595" customFormat="1" ht="12.75" hidden="1" outlineLevel="1">
      <c r="A179" s="223" t="s">
        <v>1855</v>
      </c>
      <c r="B179" s="224"/>
      <c r="C179" s="224" t="s">
        <v>1856</v>
      </c>
      <c r="D179" s="224" t="s">
        <v>1857</v>
      </c>
      <c r="E179" s="246">
        <v>-6638.9</v>
      </c>
      <c r="F179" s="246">
        <v>422.85</v>
      </c>
      <c r="G179" s="246"/>
      <c r="H179" s="247">
        <v>0</v>
      </c>
      <c r="I179" s="247">
        <v>0</v>
      </c>
      <c r="J179" s="247">
        <v>140142.67</v>
      </c>
      <c r="K179" s="247">
        <v>0</v>
      </c>
      <c r="L179" s="247">
        <v>0</v>
      </c>
      <c r="M179" s="247">
        <v>0</v>
      </c>
      <c r="N179" s="247">
        <v>0</v>
      </c>
      <c r="O179" s="247">
        <v>-23670.29</v>
      </c>
      <c r="P179" s="246">
        <v>116472.38</v>
      </c>
      <c r="Q179" s="246">
        <v>0</v>
      </c>
      <c r="R179" s="246">
        <f t="shared" si="7"/>
        <v>110256.33</v>
      </c>
      <c r="S179" s="223"/>
    </row>
    <row r="180" spans="1:19" s="595" customFormat="1" ht="12.75" hidden="1" outlineLevel="1">
      <c r="A180" s="223" t="s">
        <v>1858</v>
      </c>
      <c r="B180" s="224"/>
      <c r="C180" s="224" t="s">
        <v>1859</v>
      </c>
      <c r="D180" s="224" t="s">
        <v>1860</v>
      </c>
      <c r="E180" s="246">
        <v>1042907.13</v>
      </c>
      <c r="F180" s="246">
        <v>18150.77</v>
      </c>
      <c r="G180" s="246"/>
      <c r="H180" s="247">
        <v>0</v>
      </c>
      <c r="I180" s="247">
        <v>0</v>
      </c>
      <c r="J180" s="247">
        <v>415.88</v>
      </c>
      <c r="K180" s="247">
        <v>0</v>
      </c>
      <c r="L180" s="247">
        <v>0</v>
      </c>
      <c r="M180" s="247">
        <v>0</v>
      </c>
      <c r="N180" s="247">
        <v>0</v>
      </c>
      <c r="O180" s="247">
        <v>5679.15</v>
      </c>
      <c r="P180" s="246">
        <v>6095.03</v>
      </c>
      <c r="Q180" s="246">
        <v>0</v>
      </c>
      <c r="R180" s="246">
        <f t="shared" si="7"/>
        <v>1067152.93</v>
      </c>
      <c r="S180" s="223"/>
    </row>
    <row r="181" spans="1:19" s="595" customFormat="1" ht="12.75" hidden="1" outlineLevel="1">
      <c r="A181" s="223" t="s">
        <v>1861</v>
      </c>
      <c r="B181" s="224"/>
      <c r="C181" s="224" t="s">
        <v>1862</v>
      </c>
      <c r="D181" s="224" t="s">
        <v>1863</v>
      </c>
      <c r="E181" s="246">
        <v>154984.3</v>
      </c>
      <c r="F181" s="246">
        <v>7974.18</v>
      </c>
      <c r="G181" s="246"/>
      <c r="H181" s="247">
        <v>0</v>
      </c>
      <c r="I181" s="247">
        <v>3020.06</v>
      </c>
      <c r="J181" s="247">
        <v>0</v>
      </c>
      <c r="K181" s="247">
        <v>0</v>
      </c>
      <c r="L181" s="247">
        <v>0</v>
      </c>
      <c r="M181" s="247">
        <v>0</v>
      </c>
      <c r="N181" s="247">
        <v>0</v>
      </c>
      <c r="O181" s="247">
        <v>1490.49</v>
      </c>
      <c r="P181" s="246">
        <v>4510.55</v>
      </c>
      <c r="Q181" s="246">
        <v>0</v>
      </c>
      <c r="R181" s="246">
        <f t="shared" si="7"/>
        <v>167469.02999999997</v>
      </c>
      <c r="S181" s="223"/>
    </row>
    <row r="182" spans="1:19" s="595" customFormat="1" ht="12.75" hidden="1" outlineLevel="1">
      <c r="A182" s="223" t="s">
        <v>1864</v>
      </c>
      <c r="B182" s="224"/>
      <c r="C182" s="224" t="s">
        <v>1865</v>
      </c>
      <c r="D182" s="224" t="s">
        <v>1866</v>
      </c>
      <c r="E182" s="246">
        <v>566864.66</v>
      </c>
      <c r="F182" s="246">
        <v>11423.72</v>
      </c>
      <c r="G182" s="246"/>
      <c r="H182" s="247">
        <v>0</v>
      </c>
      <c r="I182" s="247">
        <v>2232.02</v>
      </c>
      <c r="J182" s="247">
        <v>0</v>
      </c>
      <c r="K182" s="247">
        <v>0</v>
      </c>
      <c r="L182" s="247">
        <v>0</v>
      </c>
      <c r="M182" s="247">
        <v>0</v>
      </c>
      <c r="N182" s="247">
        <v>0</v>
      </c>
      <c r="O182" s="247">
        <v>4774.92</v>
      </c>
      <c r="P182" s="246">
        <v>7006.94</v>
      </c>
      <c r="Q182" s="246">
        <v>0</v>
      </c>
      <c r="R182" s="246">
        <f t="shared" si="7"/>
        <v>585295.32</v>
      </c>
      <c r="S182" s="223"/>
    </row>
    <row r="183" spans="1:19" s="595" customFormat="1" ht="12.75" hidden="1" outlineLevel="1">
      <c r="A183" s="223" t="s">
        <v>1867</v>
      </c>
      <c r="B183" s="224"/>
      <c r="C183" s="224" t="s">
        <v>1868</v>
      </c>
      <c r="D183" s="224" t="s">
        <v>1869</v>
      </c>
      <c r="E183" s="246">
        <v>342460.65</v>
      </c>
      <c r="F183" s="246">
        <v>94229.13</v>
      </c>
      <c r="G183" s="246"/>
      <c r="H183" s="247">
        <v>0</v>
      </c>
      <c r="I183" s="247">
        <v>0</v>
      </c>
      <c r="J183" s="247">
        <v>0</v>
      </c>
      <c r="K183" s="247">
        <v>0</v>
      </c>
      <c r="L183" s="247">
        <v>0</v>
      </c>
      <c r="M183" s="247">
        <v>0</v>
      </c>
      <c r="N183" s="247">
        <v>0</v>
      </c>
      <c r="O183" s="247">
        <v>0</v>
      </c>
      <c r="P183" s="246">
        <v>0</v>
      </c>
      <c r="Q183" s="246">
        <v>0</v>
      </c>
      <c r="R183" s="246">
        <f t="shared" si="7"/>
        <v>436689.78</v>
      </c>
      <c r="S183" s="223"/>
    </row>
    <row r="184" spans="1:19" s="595" customFormat="1" ht="12.75" hidden="1" outlineLevel="1">
      <c r="A184" s="223" t="s">
        <v>1870</v>
      </c>
      <c r="B184" s="224"/>
      <c r="C184" s="224" t="s">
        <v>1871</v>
      </c>
      <c r="D184" s="224" t="s">
        <v>1872</v>
      </c>
      <c r="E184" s="246">
        <v>12423.25</v>
      </c>
      <c r="F184" s="246">
        <v>0</v>
      </c>
      <c r="G184" s="246"/>
      <c r="H184" s="247">
        <v>0</v>
      </c>
      <c r="I184" s="247">
        <v>0</v>
      </c>
      <c r="J184" s="247">
        <v>0</v>
      </c>
      <c r="K184" s="247">
        <v>0</v>
      </c>
      <c r="L184" s="247">
        <v>0</v>
      </c>
      <c r="M184" s="247">
        <v>0</v>
      </c>
      <c r="N184" s="247">
        <v>0</v>
      </c>
      <c r="O184" s="247">
        <v>0</v>
      </c>
      <c r="P184" s="246">
        <v>0</v>
      </c>
      <c r="Q184" s="246">
        <v>0</v>
      </c>
      <c r="R184" s="246">
        <f t="shared" si="7"/>
        <v>12423.25</v>
      </c>
      <c r="S184" s="223"/>
    </row>
    <row r="185" spans="1:19" s="595" customFormat="1" ht="12.75" hidden="1" outlineLevel="1">
      <c r="A185" s="223" t="s">
        <v>1873</v>
      </c>
      <c r="B185" s="224"/>
      <c r="C185" s="224" t="s">
        <v>1874</v>
      </c>
      <c r="D185" s="224" t="s">
        <v>1875</v>
      </c>
      <c r="E185" s="246">
        <v>6997.59</v>
      </c>
      <c r="F185" s="246">
        <v>615.32</v>
      </c>
      <c r="G185" s="246"/>
      <c r="H185" s="247">
        <v>0</v>
      </c>
      <c r="I185" s="247">
        <v>0</v>
      </c>
      <c r="J185" s="247">
        <v>0</v>
      </c>
      <c r="K185" s="247">
        <v>0</v>
      </c>
      <c r="L185" s="247">
        <v>0</v>
      </c>
      <c r="M185" s="247">
        <v>0</v>
      </c>
      <c r="N185" s="247">
        <v>0</v>
      </c>
      <c r="O185" s="247">
        <v>0</v>
      </c>
      <c r="P185" s="246">
        <v>0</v>
      </c>
      <c r="Q185" s="246">
        <v>0</v>
      </c>
      <c r="R185" s="246">
        <f t="shared" si="7"/>
        <v>7612.91</v>
      </c>
      <c r="S185" s="223"/>
    </row>
    <row r="186" spans="1:19" s="595" customFormat="1" ht="12.75" hidden="1" outlineLevel="1">
      <c r="A186" s="223" t="s">
        <v>1876</v>
      </c>
      <c r="B186" s="224"/>
      <c r="C186" s="224" t="s">
        <v>1877</v>
      </c>
      <c r="D186" s="224" t="s">
        <v>1878</v>
      </c>
      <c r="E186" s="246">
        <v>17962.83</v>
      </c>
      <c r="F186" s="246">
        <v>214.5</v>
      </c>
      <c r="G186" s="246"/>
      <c r="H186" s="247">
        <v>0</v>
      </c>
      <c r="I186" s="247">
        <v>0</v>
      </c>
      <c r="J186" s="247">
        <v>0</v>
      </c>
      <c r="K186" s="247">
        <v>0</v>
      </c>
      <c r="L186" s="247">
        <v>0</v>
      </c>
      <c r="M186" s="247">
        <v>0</v>
      </c>
      <c r="N186" s="247">
        <v>0</v>
      </c>
      <c r="O186" s="247">
        <v>0</v>
      </c>
      <c r="P186" s="246">
        <v>0</v>
      </c>
      <c r="Q186" s="246">
        <v>0</v>
      </c>
      <c r="R186" s="246">
        <f t="shared" si="7"/>
        <v>18177.33</v>
      </c>
      <c r="S186" s="223"/>
    </row>
    <row r="187" spans="1:19" s="595" customFormat="1" ht="12.75" hidden="1" outlineLevel="1">
      <c r="A187" s="223" t="s">
        <v>1879</v>
      </c>
      <c r="B187" s="224"/>
      <c r="C187" s="224" t="s">
        <v>1880</v>
      </c>
      <c r="D187" s="224" t="s">
        <v>1881</v>
      </c>
      <c r="E187" s="246">
        <v>1223.62</v>
      </c>
      <c r="F187" s="246">
        <v>0</v>
      </c>
      <c r="G187" s="246"/>
      <c r="H187" s="247">
        <v>0</v>
      </c>
      <c r="I187" s="247">
        <v>0</v>
      </c>
      <c r="J187" s="247">
        <v>0</v>
      </c>
      <c r="K187" s="247">
        <v>0</v>
      </c>
      <c r="L187" s="247">
        <v>0</v>
      </c>
      <c r="M187" s="247">
        <v>0</v>
      </c>
      <c r="N187" s="247">
        <v>0</v>
      </c>
      <c r="O187" s="247">
        <v>0</v>
      </c>
      <c r="P187" s="246">
        <v>0</v>
      </c>
      <c r="Q187" s="246">
        <v>0</v>
      </c>
      <c r="R187" s="246">
        <f t="shared" si="7"/>
        <v>1223.62</v>
      </c>
      <c r="S187" s="223"/>
    </row>
    <row r="188" spans="1:19" s="595" customFormat="1" ht="12.75" hidden="1" outlineLevel="1">
      <c r="A188" s="223" t="s">
        <v>1885</v>
      </c>
      <c r="B188" s="224"/>
      <c r="C188" s="224" t="s">
        <v>1886</v>
      </c>
      <c r="D188" s="224" t="s">
        <v>1887</v>
      </c>
      <c r="E188" s="246">
        <v>58911.67</v>
      </c>
      <c r="F188" s="246">
        <v>0</v>
      </c>
      <c r="G188" s="246"/>
      <c r="H188" s="247">
        <v>0</v>
      </c>
      <c r="I188" s="247">
        <v>0</v>
      </c>
      <c r="J188" s="247">
        <v>0</v>
      </c>
      <c r="K188" s="247">
        <v>0</v>
      </c>
      <c r="L188" s="247">
        <v>0</v>
      </c>
      <c r="M188" s="247">
        <v>0</v>
      </c>
      <c r="N188" s="247">
        <v>0</v>
      </c>
      <c r="O188" s="247">
        <v>0</v>
      </c>
      <c r="P188" s="246">
        <v>0</v>
      </c>
      <c r="Q188" s="246">
        <v>0</v>
      </c>
      <c r="R188" s="246">
        <f t="shared" si="7"/>
        <v>58911.67</v>
      </c>
      <c r="S188" s="223"/>
    </row>
    <row r="189" spans="1:19" s="595" customFormat="1" ht="12.75" hidden="1" outlineLevel="1">
      <c r="A189" s="223" t="s">
        <v>1888</v>
      </c>
      <c r="B189" s="224"/>
      <c r="C189" s="224" t="s">
        <v>1889</v>
      </c>
      <c r="D189" s="224" t="s">
        <v>1890</v>
      </c>
      <c r="E189" s="246">
        <v>306.48</v>
      </c>
      <c r="F189" s="246">
        <v>0</v>
      </c>
      <c r="G189" s="246"/>
      <c r="H189" s="247">
        <v>0</v>
      </c>
      <c r="I189" s="247">
        <v>0</v>
      </c>
      <c r="J189" s="247">
        <v>0</v>
      </c>
      <c r="K189" s="247">
        <v>0</v>
      </c>
      <c r="L189" s="247">
        <v>0</v>
      </c>
      <c r="M189" s="247">
        <v>0</v>
      </c>
      <c r="N189" s="247">
        <v>0</v>
      </c>
      <c r="O189" s="247">
        <v>0</v>
      </c>
      <c r="P189" s="246">
        <v>0</v>
      </c>
      <c r="Q189" s="246">
        <v>0</v>
      </c>
      <c r="R189" s="246">
        <f t="shared" si="7"/>
        <v>306.48</v>
      </c>
      <c r="S189" s="223"/>
    </row>
    <row r="190" spans="1:19" s="595" customFormat="1" ht="12.75" hidden="1" outlineLevel="1">
      <c r="A190" s="223" t="s">
        <v>1891</v>
      </c>
      <c r="B190" s="224"/>
      <c r="C190" s="224" t="s">
        <v>1892</v>
      </c>
      <c r="D190" s="224" t="s">
        <v>1893</v>
      </c>
      <c r="E190" s="246">
        <v>6627.05</v>
      </c>
      <c r="F190" s="246">
        <v>1594</v>
      </c>
      <c r="G190" s="246"/>
      <c r="H190" s="247">
        <v>0</v>
      </c>
      <c r="I190" s="247">
        <v>0</v>
      </c>
      <c r="J190" s="247">
        <v>0</v>
      </c>
      <c r="K190" s="247">
        <v>0</v>
      </c>
      <c r="L190" s="247">
        <v>0</v>
      </c>
      <c r="M190" s="247">
        <v>0</v>
      </c>
      <c r="N190" s="247">
        <v>0</v>
      </c>
      <c r="O190" s="247">
        <v>0</v>
      </c>
      <c r="P190" s="246">
        <v>0</v>
      </c>
      <c r="Q190" s="246">
        <v>0</v>
      </c>
      <c r="R190" s="246">
        <f aca="true" t="shared" si="8" ref="R190:R253">E190+F190+G190+P190+Q190</f>
        <v>8221.05</v>
      </c>
      <c r="S190" s="223"/>
    </row>
    <row r="191" spans="1:19" s="595" customFormat="1" ht="12.75" hidden="1" outlineLevel="1">
      <c r="A191" s="223" t="s">
        <v>1894</v>
      </c>
      <c r="B191" s="224"/>
      <c r="C191" s="224" t="s">
        <v>1895</v>
      </c>
      <c r="D191" s="224" t="s">
        <v>1896</v>
      </c>
      <c r="E191" s="246">
        <v>4195.05</v>
      </c>
      <c r="F191" s="246">
        <v>8140</v>
      </c>
      <c r="G191" s="246"/>
      <c r="H191" s="247">
        <v>0</v>
      </c>
      <c r="I191" s="247">
        <v>0</v>
      </c>
      <c r="J191" s="247">
        <v>0</v>
      </c>
      <c r="K191" s="247">
        <v>0</v>
      </c>
      <c r="L191" s="247">
        <v>0</v>
      </c>
      <c r="M191" s="247">
        <v>0</v>
      </c>
      <c r="N191" s="247">
        <v>0</v>
      </c>
      <c r="O191" s="247">
        <v>0</v>
      </c>
      <c r="P191" s="246">
        <v>0</v>
      </c>
      <c r="Q191" s="246">
        <v>0</v>
      </c>
      <c r="R191" s="246">
        <f t="shared" si="8"/>
        <v>12335.05</v>
      </c>
      <c r="S191" s="223"/>
    </row>
    <row r="192" spans="1:19" s="595" customFormat="1" ht="12.75" hidden="1" outlineLevel="1">
      <c r="A192" s="223" t="s">
        <v>1897</v>
      </c>
      <c r="B192" s="224"/>
      <c r="C192" s="224" t="s">
        <v>1898</v>
      </c>
      <c r="D192" s="224" t="s">
        <v>1899</v>
      </c>
      <c r="E192" s="246">
        <v>452155.5</v>
      </c>
      <c r="F192" s="246">
        <v>10710.27</v>
      </c>
      <c r="G192" s="246"/>
      <c r="H192" s="247">
        <v>0</v>
      </c>
      <c r="I192" s="247">
        <v>90</v>
      </c>
      <c r="J192" s="247">
        <v>68.99</v>
      </c>
      <c r="K192" s="247">
        <v>0</v>
      </c>
      <c r="L192" s="247">
        <v>0</v>
      </c>
      <c r="M192" s="247">
        <v>444.45</v>
      </c>
      <c r="N192" s="247">
        <v>0</v>
      </c>
      <c r="O192" s="247">
        <v>5785</v>
      </c>
      <c r="P192" s="246">
        <v>6388.44</v>
      </c>
      <c r="Q192" s="246">
        <v>0</v>
      </c>
      <c r="R192" s="246">
        <f t="shared" si="8"/>
        <v>469254.21</v>
      </c>
      <c r="S192" s="223"/>
    </row>
    <row r="193" spans="1:19" s="595" customFormat="1" ht="12.75" hidden="1" outlineLevel="1">
      <c r="A193" s="223" t="s">
        <v>1900</v>
      </c>
      <c r="B193" s="224"/>
      <c r="C193" s="224" t="s">
        <v>1901</v>
      </c>
      <c r="D193" s="224" t="s">
        <v>1902</v>
      </c>
      <c r="E193" s="246">
        <v>107299.77</v>
      </c>
      <c r="F193" s="246">
        <v>1444.98</v>
      </c>
      <c r="G193" s="246"/>
      <c r="H193" s="247">
        <v>0</v>
      </c>
      <c r="I193" s="247">
        <v>0</v>
      </c>
      <c r="J193" s="247">
        <v>0</v>
      </c>
      <c r="K193" s="247">
        <v>0</v>
      </c>
      <c r="L193" s="247">
        <v>0</v>
      </c>
      <c r="M193" s="247">
        <v>0</v>
      </c>
      <c r="N193" s="247">
        <v>0</v>
      </c>
      <c r="O193" s="247">
        <v>0</v>
      </c>
      <c r="P193" s="246">
        <v>0</v>
      </c>
      <c r="Q193" s="246">
        <v>0</v>
      </c>
      <c r="R193" s="246">
        <f t="shared" si="8"/>
        <v>108744.75</v>
      </c>
      <c r="S193" s="223"/>
    </row>
    <row r="194" spans="1:19" s="595" customFormat="1" ht="12.75" hidden="1" outlineLevel="1">
      <c r="A194" s="223" t="s">
        <v>1903</v>
      </c>
      <c r="B194" s="224"/>
      <c r="C194" s="224" t="s">
        <v>1904</v>
      </c>
      <c r="D194" s="224" t="s">
        <v>1905</v>
      </c>
      <c r="E194" s="246">
        <v>18825.11</v>
      </c>
      <c r="F194" s="246">
        <v>65.95</v>
      </c>
      <c r="G194" s="246"/>
      <c r="H194" s="247">
        <v>0</v>
      </c>
      <c r="I194" s="247">
        <v>0</v>
      </c>
      <c r="J194" s="247">
        <v>0</v>
      </c>
      <c r="K194" s="247">
        <v>0</v>
      </c>
      <c r="L194" s="247">
        <v>0</v>
      </c>
      <c r="M194" s="247">
        <v>0</v>
      </c>
      <c r="N194" s="247">
        <v>0</v>
      </c>
      <c r="O194" s="247">
        <v>0</v>
      </c>
      <c r="P194" s="246">
        <v>0</v>
      </c>
      <c r="Q194" s="246">
        <v>0</v>
      </c>
      <c r="R194" s="246">
        <f t="shared" si="8"/>
        <v>18891.06</v>
      </c>
      <c r="S194" s="223"/>
    </row>
    <row r="195" spans="1:19" s="595" customFormat="1" ht="12.75" hidden="1" outlineLevel="1">
      <c r="A195" s="223" t="s">
        <v>1906</v>
      </c>
      <c r="B195" s="224"/>
      <c r="C195" s="224" t="s">
        <v>1907</v>
      </c>
      <c r="D195" s="224" t="s">
        <v>1908</v>
      </c>
      <c r="E195" s="246">
        <v>184039.31</v>
      </c>
      <c r="F195" s="246">
        <v>150</v>
      </c>
      <c r="G195" s="246"/>
      <c r="H195" s="247">
        <v>0</v>
      </c>
      <c r="I195" s="247">
        <v>130</v>
      </c>
      <c r="J195" s="247">
        <v>0</v>
      </c>
      <c r="K195" s="247">
        <v>0</v>
      </c>
      <c r="L195" s="247">
        <v>0</v>
      </c>
      <c r="M195" s="247">
        <v>0</v>
      </c>
      <c r="N195" s="247">
        <v>0</v>
      </c>
      <c r="O195" s="247">
        <v>3201.58</v>
      </c>
      <c r="P195" s="246">
        <v>3331.58</v>
      </c>
      <c r="Q195" s="246">
        <v>0</v>
      </c>
      <c r="R195" s="246">
        <f t="shared" si="8"/>
        <v>187520.88999999998</v>
      </c>
      <c r="S195" s="223"/>
    </row>
    <row r="196" spans="1:19" s="595" customFormat="1" ht="12.75" hidden="1" outlineLevel="1">
      <c r="A196" s="223" t="s">
        <v>1909</v>
      </c>
      <c r="B196" s="224"/>
      <c r="C196" s="224" t="s">
        <v>1910</v>
      </c>
      <c r="D196" s="224" t="s">
        <v>1911</v>
      </c>
      <c r="E196" s="246">
        <v>96541.01</v>
      </c>
      <c r="F196" s="246">
        <v>0</v>
      </c>
      <c r="G196" s="246"/>
      <c r="H196" s="247">
        <v>225</v>
      </c>
      <c r="I196" s="247">
        <v>147.8</v>
      </c>
      <c r="J196" s="247">
        <v>734.78</v>
      </c>
      <c r="K196" s="247">
        <v>0</v>
      </c>
      <c r="L196" s="247">
        <v>0</v>
      </c>
      <c r="M196" s="247">
        <v>0</v>
      </c>
      <c r="N196" s="247">
        <v>0</v>
      </c>
      <c r="O196" s="247">
        <v>100</v>
      </c>
      <c r="P196" s="246">
        <v>1207.58</v>
      </c>
      <c r="Q196" s="246">
        <v>0</v>
      </c>
      <c r="R196" s="246">
        <f t="shared" si="8"/>
        <v>97748.59</v>
      </c>
      <c r="S196" s="223"/>
    </row>
    <row r="197" spans="1:19" s="595" customFormat="1" ht="12.75" hidden="1" outlineLevel="1">
      <c r="A197" s="223" t="s">
        <v>1912</v>
      </c>
      <c r="B197" s="224"/>
      <c r="C197" s="224" t="s">
        <v>1913</v>
      </c>
      <c r="D197" s="224" t="s">
        <v>1914</v>
      </c>
      <c r="E197" s="246">
        <v>6945.48</v>
      </c>
      <c r="F197" s="246">
        <v>0</v>
      </c>
      <c r="G197" s="246"/>
      <c r="H197" s="247">
        <v>0</v>
      </c>
      <c r="I197" s="247">
        <v>0</v>
      </c>
      <c r="J197" s="247">
        <v>0</v>
      </c>
      <c r="K197" s="247">
        <v>0</v>
      </c>
      <c r="L197" s="247">
        <v>0</v>
      </c>
      <c r="M197" s="247">
        <v>0</v>
      </c>
      <c r="N197" s="247">
        <v>0</v>
      </c>
      <c r="O197" s="247">
        <v>200</v>
      </c>
      <c r="P197" s="246">
        <v>200</v>
      </c>
      <c r="Q197" s="246">
        <v>0</v>
      </c>
      <c r="R197" s="246">
        <f t="shared" si="8"/>
        <v>7145.48</v>
      </c>
      <c r="S197" s="223"/>
    </row>
    <row r="198" spans="1:19" s="595" customFormat="1" ht="12.75" hidden="1" outlineLevel="1">
      <c r="A198" s="223" t="s">
        <v>1915</v>
      </c>
      <c r="B198" s="224"/>
      <c r="C198" s="224" t="s">
        <v>1916</v>
      </c>
      <c r="D198" s="224" t="s">
        <v>1917</v>
      </c>
      <c r="E198" s="246">
        <v>14675.06</v>
      </c>
      <c r="F198" s="246">
        <v>0</v>
      </c>
      <c r="G198" s="246"/>
      <c r="H198" s="247">
        <v>0</v>
      </c>
      <c r="I198" s="247">
        <v>3932.04</v>
      </c>
      <c r="J198" s="247">
        <v>0</v>
      </c>
      <c r="K198" s="247">
        <v>0</v>
      </c>
      <c r="L198" s="247">
        <v>0</v>
      </c>
      <c r="M198" s="247">
        <v>0</v>
      </c>
      <c r="N198" s="247">
        <v>0</v>
      </c>
      <c r="O198" s="247">
        <v>480</v>
      </c>
      <c r="P198" s="246">
        <v>4412.04</v>
      </c>
      <c r="Q198" s="246">
        <v>0</v>
      </c>
      <c r="R198" s="246">
        <f t="shared" si="8"/>
        <v>19087.1</v>
      </c>
      <c r="S198" s="223"/>
    </row>
    <row r="199" spans="1:19" s="595" customFormat="1" ht="12.75" hidden="1" outlineLevel="1">
      <c r="A199" s="223" t="s">
        <v>1918</v>
      </c>
      <c r="B199" s="224"/>
      <c r="C199" s="224" t="s">
        <v>1919</v>
      </c>
      <c r="D199" s="224" t="s">
        <v>1920</v>
      </c>
      <c r="E199" s="246">
        <v>18752.4</v>
      </c>
      <c r="F199" s="246">
        <v>325</v>
      </c>
      <c r="G199" s="246"/>
      <c r="H199" s="247">
        <v>0</v>
      </c>
      <c r="I199" s="247">
        <v>0</v>
      </c>
      <c r="J199" s="247">
        <v>0</v>
      </c>
      <c r="K199" s="247">
        <v>0</v>
      </c>
      <c r="L199" s="247">
        <v>0</v>
      </c>
      <c r="M199" s="247">
        <v>0</v>
      </c>
      <c r="N199" s="247">
        <v>0</v>
      </c>
      <c r="O199" s="247">
        <v>175</v>
      </c>
      <c r="P199" s="246">
        <v>175</v>
      </c>
      <c r="Q199" s="246">
        <v>0</v>
      </c>
      <c r="R199" s="246">
        <f t="shared" si="8"/>
        <v>19252.4</v>
      </c>
      <c r="S199" s="223"/>
    </row>
    <row r="200" spans="1:19" s="595" customFormat="1" ht="12.75" hidden="1" outlineLevel="1">
      <c r="A200" s="223" t="s">
        <v>1921</v>
      </c>
      <c r="B200" s="224"/>
      <c r="C200" s="224" t="s">
        <v>1922</v>
      </c>
      <c r="D200" s="224" t="s">
        <v>1923</v>
      </c>
      <c r="E200" s="246">
        <v>563060.76</v>
      </c>
      <c r="F200" s="246">
        <v>101215.89</v>
      </c>
      <c r="G200" s="246"/>
      <c r="H200" s="247">
        <v>48.57</v>
      </c>
      <c r="I200" s="247">
        <v>1117.85</v>
      </c>
      <c r="J200" s="247">
        <v>485583.28</v>
      </c>
      <c r="K200" s="247">
        <v>914.82</v>
      </c>
      <c r="L200" s="247">
        <v>384.27</v>
      </c>
      <c r="M200" s="247">
        <v>0</v>
      </c>
      <c r="N200" s="247">
        <v>41.49</v>
      </c>
      <c r="O200" s="247">
        <v>3572.49</v>
      </c>
      <c r="P200" s="246">
        <v>491662.77</v>
      </c>
      <c r="Q200" s="246">
        <v>0</v>
      </c>
      <c r="R200" s="246">
        <f t="shared" si="8"/>
        <v>1155939.42</v>
      </c>
      <c r="S200" s="223"/>
    </row>
    <row r="201" spans="1:19" s="595" customFormat="1" ht="12.75" hidden="1" outlineLevel="1">
      <c r="A201" s="223" t="s">
        <v>1924</v>
      </c>
      <c r="B201" s="224"/>
      <c r="C201" s="224" t="s">
        <v>1925</v>
      </c>
      <c r="D201" s="224" t="s">
        <v>1926</v>
      </c>
      <c r="E201" s="246">
        <v>9102.25</v>
      </c>
      <c r="F201" s="246">
        <v>383.06</v>
      </c>
      <c r="G201" s="246"/>
      <c r="H201" s="247">
        <v>0</v>
      </c>
      <c r="I201" s="247">
        <v>1.06</v>
      </c>
      <c r="J201" s="247">
        <v>58391.63</v>
      </c>
      <c r="K201" s="247">
        <v>0</v>
      </c>
      <c r="L201" s="247">
        <v>0</v>
      </c>
      <c r="M201" s="247">
        <v>0</v>
      </c>
      <c r="N201" s="247">
        <v>0</v>
      </c>
      <c r="O201" s="247">
        <v>242.09</v>
      </c>
      <c r="P201" s="246">
        <v>58634.78</v>
      </c>
      <c r="Q201" s="246">
        <v>0</v>
      </c>
      <c r="R201" s="246">
        <f t="shared" si="8"/>
        <v>68120.09</v>
      </c>
      <c r="S201" s="223"/>
    </row>
    <row r="202" spans="1:19" s="595" customFormat="1" ht="12.75" hidden="1" outlineLevel="1">
      <c r="A202" s="223" t="s">
        <v>1927</v>
      </c>
      <c r="B202" s="224"/>
      <c r="C202" s="224" t="s">
        <v>1928</v>
      </c>
      <c r="D202" s="224" t="s">
        <v>1929</v>
      </c>
      <c r="E202" s="246">
        <v>25367.97</v>
      </c>
      <c r="F202" s="246">
        <v>0</v>
      </c>
      <c r="G202" s="246"/>
      <c r="H202" s="247">
        <v>0</v>
      </c>
      <c r="I202" s="247">
        <v>0</v>
      </c>
      <c r="J202" s="247">
        <v>4676.2</v>
      </c>
      <c r="K202" s="247">
        <v>0</v>
      </c>
      <c r="L202" s="247">
        <v>0</v>
      </c>
      <c r="M202" s="247">
        <v>0</v>
      </c>
      <c r="N202" s="247">
        <v>0</v>
      </c>
      <c r="O202" s="247">
        <v>1376.43</v>
      </c>
      <c r="P202" s="246">
        <v>6052.63</v>
      </c>
      <c r="Q202" s="246">
        <v>0</v>
      </c>
      <c r="R202" s="246">
        <f t="shared" si="8"/>
        <v>31420.600000000002</v>
      </c>
      <c r="S202" s="223"/>
    </row>
    <row r="203" spans="1:19" s="595" customFormat="1" ht="12.75" hidden="1" outlineLevel="1">
      <c r="A203" s="223" t="s">
        <v>1930</v>
      </c>
      <c r="B203" s="224"/>
      <c r="C203" s="224" t="s">
        <v>1931</v>
      </c>
      <c r="D203" s="224" t="s">
        <v>1932</v>
      </c>
      <c r="E203" s="246">
        <v>21250.16</v>
      </c>
      <c r="F203" s="246">
        <v>21.36</v>
      </c>
      <c r="G203" s="246"/>
      <c r="H203" s="247">
        <v>0</v>
      </c>
      <c r="I203" s="247">
        <v>26.93</v>
      </c>
      <c r="J203" s="247">
        <v>0</v>
      </c>
      <c r="K203" s="247">
        <v>0</v>
      </c>
      <c r="L203" s="247">
        <v>0</v>
      </c>
      <c r="M203" s="247">
        <v>0</v>
      </c>
      <c r="N203" s="247">
        <v>0</v>
      </c>
      <c r="O203" s="247">
        <v>803.65</v>
      </c>
      <c r="P203" s="246">
        <v>830.58</v>
      </c>
      <c r="Q203" s="246">
        <v>0</v>
      </c>
      <c r="R203" s="246">
        <f t="shared" si="8"/>
        <v>22102.100000000002</v>
      </c>
      <c r="S203" s="223"/>
    </row>
    <row r="204" spans="1:19" s="595" customFormat="1" ht="12.75" hidden="1" outlineLevel="1">
      <c r="A204" s="223" t="s">
        <v>1933</v>
      </c>
      <c r="B204" s="224"/>
      <c r="C204" s="224" t="s">
        <v>1934</v>
      </c>
      <c r="D204" s="224" t="s">
        <v>1935</v>
      </c>
      <c r="E204" s="246">
        <v>19614.41</v>
      </c>
      <c r="F204" s="246">
        <v>0</v>
      </c>
      <c r="G204" s="246"/>
      <c r="H204" s="247">
        <v>0</v>
      </c>
      <c r="I204" s="247">
        <v>0</v>
      </c>
      <c r="J204" s="247">
        <v>0</v>
      </c>
      <c r="K204" s="247">
        <v>0</v>
      </c>
      <c r="L204" s="247">
        <v>0</v>
      </c>
      <c r="M204" s="247">
        <v>0</v>
      </c>
      <c r="N204" s="247">
        <v>0</v>
      </c>
      <c r="O204" s="247">
        <v>863.1</v>
      </c>
      <c r="P204" s="246">
        <v>863.1</v>
      </c>
      <c r="Q204" s="246">
        <v>0</v>
      </c>
      <c r="R204" s="246">
        <f t="shared" si="8"/>
        <v>20477.51</v>
      </c>
      <c r="S204" s="223"/>
    </row>
    <row r="205" spans="1:19" s="595" customFormat="1" ht="12.75" hidden="1" outlineLevel="1">
      <c r="A205" s="223" t="s">
        <v>1936</v>
      </c>
      <c r="B205" s="224"/>
      <c r="C205" s="224" t="s">
        <v>1937</v>
      </c>
      <c r="D205" s="224" t="s">
        <v>1938</v>
      </c>
      <c r="E205" s="246">
        <v>259.54</v>
      </c>
      <c r="F205" s="246">
        <v>0</v>
      </c>
      <c r="G205" s="246"/>
      <c r="H205" s="247">
        <v>0</v>
      </c>
      <c r="I205" s="247">
        <v>0</v>
      </c>
      <c r="J205" s="247">
        <v>0</v>
      </c>
      <c r="K205" s="247">
        <v>0</v>
      </c>
      <c r="L205" s="247">
        <v>0</v>
      </c>
      <c r="M205" s="247">
        <v>0</v>
      </c>
      <c r="N205" s="247">
        <v>0</v>
      </c>
      <c r="O205" s="247">
        <v>0</v>
      </c>
      <c r="P205" s="246">
        <v>0</v>
      </c>
      <c r="Q205" s="246">
        <v>0</v>
      </c>
      <c r="R205" s="246">
        <f t="shared" si="8"/>
        <v>259.54</v>
      </c>
      <c r="S205" s="223"/>
    </row>
    <row r="206" spans="1:19" s="595" customFormat="1" ht="12.75" hidden="1" outlineLevel="1">
      <c r="A206" s="223" t="s">
        <v>1939</v>
      </c>
      <c r="B206" s="224"/>
      <c r="C206" s="224" t="s">
        <v>1940</v>
      </c>
      <c r="D206" s="224" t="s">
        <v>1941</v>
      </c>
      <c r="E206" s="246">
        <v>353613.9</v>
      </c>
      <c r="F206" s="246">
        <v>60014.28</v>
      </c>
      <c r="G206" s="246"/>
      <c r="H206" s="247">
        <v>1620</v>
      </c>
      <c r="I206" s="247">
        <v>3603.55</v>
      </c>
      <c r="J206" s="247">
        <v>2057.49</v>
      </c>
      <c r="K206" s="247">
        <v>6300</v>
      </c>
      <c r="L206" s="247">
        <v>0</v>
      </c>
      <c r="M206" s="247">
        <v>136395.96</v>
      </c>
      <c r="N206" s="247">
        <v>0</v>
      </c>
      <c r="O206" s="247">
        <v>37565.89</v>
      </c>
      <c r="P206" s="246">
        <v>187542.89</v>
      </c>
      <c r="Q206" s="246">
        <v>0</v>
      </c>
      <c r="R206" s="246">
        <f t="shared" si="8"/>
        <v>601171.0700000001</v>
      </c>
      <c r="S206" s="223"/>
    </row>
    <row r="207" spans="1:19" s="595" customFormat="1" ht="12.75" hidden="1" outlineLevel="1">
      <c r="A207" s="223" t="s">
        <v>1942</v>
      </c>
      <c r="B207" s="224"/>
      <c r="C207" s="224" t="s">
        <v>1943</v>
      </c>
      <c r="D207" s="224" t="s">
        <v>1944</v>
      </c>
      <c r="E207" s="246">
        <v>2581.8</v>
      </c>
      <c r="F207" s="246">
        <v>0</v>
      </c>
      <c r="G207" s="246"/>
      <c r="H207" s="247">
        <v>0</v>
      </c>
      <c r="I207" s="247">
        <v>56.99</v>
      </c>
      <c r="J207" s="247">
        <v>0</v>
      </c>
      <c r="K207" s="247">
        <v>0</v>
      </c>
      <c r="L207" s="247">
        <v>0</v>
      </c>
      <c r="M207" s="247">
        <v>0</v>
      </c>
      <c r="N207" s="247">
        <v>0</v>
      </c>
      <c r="O207" s="247">
        <v>0</v>
      </c>
      <c r="P207" s="246">
        <v>56.99</v>
      </c>
      <c r="Q207" s="246">
        <v>0</v>
      </c>
      <c r="R207" s="246">
        <f t="shared" si="8"/>
        <v>2638.79</v>
      </c>
      <c r="S207" s="223"/>
    </row>
    <row r="208" spans="1:19" s="595" customFormat="1" ht="12.75" hidden="1" outlineLevel="1">
      <c r="A208" s="223" t="s">
        <v>1945</v>
      </c>
      <c r="B208" s="224"/>
      <c r="C208" s="224" t="s">
        <v>1946</v>
      </c>
      <c r="D208" s="224" t="s">
        <v>1947</v>
      </c>
      <c r="E208" s="246">
        <v>264183.12</v>
      </c>
      <c r="F208" s="246">
        <v>1855</v>
      </c>
      <c r="G208" s="246"/>
      <c r="H208" s="247">
        <v>0</v>
      </c>
      <c r="I208" s="247">
        <v>0</v>
      </c>
      <c r="J208" s="247">
        <v>0</v>
      </c>
      <c r="K208" s="247">
        <v>600</v>
      </c>
      <c r="L208" s="247">
        <v>0</v>
      </c>
      <c r="M208" s="247">
        <v>5450</v>
      </c>
      <c r="N208" s="247">
        <v>0</v>
      </c>
      <c r="O208" s="247">
        <v>7140.35</v>
      </c>
      <c r="P208" s="246">
        <v>13190.35</v>
      </c>
      <c r="Q208" s="246">
        <v>0</v>
      </c>
      <c r="R208" s="246">
        <f t="shared" si="8"/>
        <v>279228.47</v>
      </c>
      <c r="S208" s="223"/>
    </row>
    <row r="209" spans="1:19" s="595" customFormat="1" ht="12.75" hidden="1" outlineLevel="1">
      <c r="A209" s="223" t="s">
        <v>1948</v>
      </c>
      <c r="B209" s="224"/>
      <c r="C209" s="224" t="s">
        <v>1949</v>
      </c>
      <c r="D209" s="224" t="s">
        <v>1950</v>
      </c>
      <c r="E209" s="246">
        <v>299.45</v>
      </c>
      <c r="F209" s="246">
        <v>0</v>
      </c>
      <c r="G209" s="246"/>
      <c r="H209" s="247">
        <v>0</v>
      </c>
      <c r="I209" s="247">
        <v>0</v>
      </c>
      <c r="J209" s="247">
        <v>0</v>
      </c>
      <c r="K209" s="247">
        <v>0</v>
      </c>
      <c r="L209" s="247">
        <v>0</v>
      </c>
      <c r="M209" s="247">
        <v>0</v>
      </c>
      <c r="N209" s="247">
        <v>0</v>
      </c>
      <c r="O209" s="247">
        <v>0</v>
      </c>
      <c r="P209" s="246">
        <v>0</v>
      </c>
      <c r="Q209" s="246">
        <v>0</v>
      </c>
      <c r="R209" s="246">
        <f t="shared" si="8"/>
        <v>299.45</v>
      </c>
      <c r="S209" s="223"/>
    </row>
    <row r="210" spans="1:19" s="595" customFormat="1" ht="12.75" hidden="1" outlineLevel="1">
      <c r="A210" s="223" t="s">
        <v>1951</v>
      </c>
      <c r="B210" s="224"/>
      <c r="C210" s="224" t="s">
        <v>1952</v>
      </c>
      <c r="D210" s="224" t="s">
        <v>1953</v>
      </c>
      <c r="E210" s="246">
        <v>90830.08</v>
      </c>
      <c r="F210" s="246">
        <v>2039.78</v>
      </c>
      <c r="G210" s="246"/>
      <c r="H210" s="247">
        <v>0</v>
      </c>
      <c r="I210" s="247">
        <v>13111.22</v>
      </c>
      <c r="J210" s="247">
        <v>4167.53</v>
      </c>
      <c r="K210" s="247">
        <v>0</v>
      </c>
      <c r="L210" s="247">
        <v>0</v>
      </c>
      <c r="M210" s="247">
        <v>15292.38</v>
      </c>
      <c r="N210" s="247">
        <v>0</v>
      </c>
      <c r="O210" s="247">
        <v>1084.1</v>
      </c>
      <c r="P210" s="246">
        <v>33655.23</v>
      </c>
      <c r="Q210" s="246">
        <v>0</v>
      </c>
      <c r="R210" s="246">
        <f t="shared" si="8"/>
        <v>126525.09</v>
      </c>
      <c r="S210" s="223"/>
    </row>
    <row r="211" spans="1:19" s="595" customFormat="1" ht="12.75" hidden="1" outlineLevel="1">
      <c r="A211" s="223" t="s">
        <v>1954</v>
      </c>
      <c r="B211" s="224"/>
      <c r="C211" s="224" t="s">
        <v>1955</v>
      </c>
      <c r="D211" s="224" t="s">
        <v>1956</v>
      </c>
      <c r="E211" s="246">
        <v>54485.13</v>
      </c>
      <c r="F211" s="246">
        <v>87</v>
      </c>
      <c r="G211" s="246"/>
      <c r="H211" s="247">
        <v>0</v>
      </c>
      <c r="I211" s="247">
        <v>0</v>
      </c>
      <c r="J211" s="247">
        <v>87</v>
      </c>
      <c r="K211" s="247">
        <v>146.38</v>
      </c>
      <c r="L211" s="247">
        <v>0</v>
      </c>
      <c r="M211" s="247">
        <v>20965.3</v>
      </c>
      <c r="N211" s="247">
        <v>0</v>
      </c>
      <c r="O211" s="247">
        <v>702.04</v>
      </c>
      <c r="P211" s="246">
        <v>21900.72</v>
      </c>
      <c r="Q211" s="246">
        <v>0</v>
      </c>
      <c r="R211" s="246">
        <f t="shared" si="8"/>
        <v>76472.85</v>
      </c>
      <c r="S211" s="223"/>
    </row>
    <row r="212" spans="1:19" s="595" customFormat="1" ht="12.75" hidden="1" outlineLevel="1">
      <c r="A212" s="223" t="s">
        <v>1957</v>
      </c>
      <c r="B212" s="224"/>
      <c r="C212" s="224" t="s">
        <v>1958</v>
      </c>
      <c r="D212" s="224" t="s">
        <v>1959</v>
      </c>
      <c r="E212" s="246">
        <v>69218.2</v>
      </c>
      <c r="F212" s="246">
        <v>1810.37</v>
      </c>
      <c r="G212" s="246"/>
      <c r="H212" s="247">
        <v>0</v>
      </c>
      <c r="I212" s="247">
        <v>153.81</v>
      </c>
      <c r="J212" s="247">
        <v>94.6</v>
      </c>
      <c r="K212" s="247">
        <v>67.46</v>
      </c>
      <c r="L212" s="247">
        <v>0</v>
      </c>
      <c r="M212" s="247">
        <v>91276.88</v>
      </c>
      <c r="N212" s="247">
        <v>0</v>
      </c>
      <c r="O212" s="247">
        <v>3294.41</v>
      </c>
      <c r="P212" s="246">
        <v>94887.16</v>
      </c>
      <c r="Q212" s="246">
        <v>0</v>
      </c>
      <c r="R212" s="246">
        <f t="shared" si="8"/>
        <v>165915.72999999998</v>
      </c>
      <c r="S212" s="223"/>
    </row>
    <row r="213" spans="1:19" s="595" customFormat="1" ht="12.75" hidden="1" outlineLevel="1">
      <c r="A213" s="223" t="s">
        <v>1960</v>
      </c>
      <c r="B213" s="224"/>
      <c r="C213" s="224" t="s">
        <v>1961</v>
      </c>
      <c r="D213" s="224" t="s">
        <v>1962</v>
      </c>
      <c r="E213" s="246">
        <v>103395.5</v>
      </c>
      <c r="F213" s="246">
        <v>104625.09</v>
      </c>
      <c r="G213" s="246"/>
      <c r="H213" s="247">
        <v>0</v>
      </c>
      <c r="I213" s="247">
        <v>0</v>
      </c>
      <c r="J213" s="247">
        <v>0</v>
      </c>
      <c r="K213" s="247">
        <v>0</v>
      </c>
      <c r="L213" s="247">
        <v>0</v>
      </c>
      <c r="M213" s="247">
        <v>5901.07</v>
      </c>
      <c r="N213" s="247">
        <v>0</v>
      </c>
      <c r="O213" s="247">
        <v>395.2</v>
      </c>
      <c r="P213" s="246">
        <v>6296.27</v>
      </c>
      <c r="Q213" s="246">
        <v>0</v>
      </c>
      <c r="R213" s="246">
        <f t="shared" si="8"/>
        <v>214316.86</v>
      </c>
      <c r="S213" s="223"/>
    </row>
    <row r="214" spans="1:19" s="595" customFormat="1" ht="12.75" hidden="1" outlineLevel="1">
      <c r="A214" s="223" t="s">
        <v>1963</v>
      </c>
      <c r="B214" s="224"/>
      <c r="C214" s="224" t="s">
        <v>1964</v>
      </c>
      <c r="D214" s="224" t="s">
        <v>1965</v>
      </c>
      <c r="E214" s="246">
        <v>130173.6</v>
      </c>
      <c r="F214" s="246">
        <v>6465.38</v>
      </c>
      <c r="G214" s="246"/>
      <c r="H214" s="247">
        <v>0</v>
      </c>
      <c r="I214" s="247">
        <v>2236.81</v>
      </c>
      <c r="J214" s="247">
        <v>0</v>
      </c>
      <c r="K214" s="247">
        <v>0</v>
      </c>
      <c r="L214" s="247">
        <v>0</v>
      </c>
      <c r="M214" s="247">
        <v>0</v>
      </c>
      <c r="N214" s="247">
        <v>0</v>
      </c>
      <c r="O214" s="247">
        <v>0</v>
      </c>
      <c r="P214" s="246">
        <v>2236.81</v>
      </c>
      <c r="Q214" s="246">
        <v>0</v>
      </c>
      <c r="R214" s="246">
        <f t="shared" si="8"/>
        <v>138875.79</v>
      </c>
      <c r="S214" s="223"/>
    </row>
    <row r="215" spans="1:19" s="595" customFormat="1" ht="12.75" hidden="1" outlineLevel="1">
      <c r="A215" s="223" t="s">
        <v>1969</v>
      </c>
      <c r="B215" s="224"/>
      <c r="C215" s="224" t="s">
        <v>1970</v>
      </c>
      <c r="D215" s="224" t="s">
        <v>1971</v>
      </c>
      <c r="E215" s="246">
        <v>21858.72</v>
      </c>
      <c r="F215" s="246">
        <v>0</v>
      </c>
      <c r="G215" s="246"/>
      <c r="H215" s="247">
        <v>0</v>
      </c>
      <c r="I215" s="247">
        <v>0</v>
      </c>
      <c r="J215" s="247">
        <v>0</v>
      </c>
      <c r="K215" s="247">
        <v>0</v>
      </c>
      <c r="L215" s="247">
        <v>0</v>
      </c>
      <c r="M215" s="247">
        <v>0</v>
      </c>
      <c r="N215" s="247">
        <v>0</v>
      </c>
      <c r="O215" s="247">
        <v>0</v>
      </c>
      <c r="P215" s="246">
        <v>0</v>
      </c>
      <c r="Q215" s="246">
        <v>0</v>
      </c>
      <c r="R215" s="246">
        <f t="shared" si="8"/>
        <v>21858.72</v>
      </c>
      <c r="S215" s="223"/>
    </row>
    <row r="216" spans="1:19" s="595" customFormat="1" ht="12.75" hidden="1" outlineLevel="1">
      <c r="A216" s="223" t="s">
        <v>1972</v>
      </c>
      <c r="B216" s="224"/>
      <c r="C216" s="224" t="s">
        <v>1973</v>
      </c>
      <c r="D216" s="224" t="s">
        <v>1974</v>
      </c>
      <c r="E216" s="246">
        <v>91639.23</v>
      </c>
      <c r="F216" s="246">
        <v>2095.52</v>
      </c>
      <c r="G216" s="246"/>
      <c r="H216" s="247">
        <v>0</v>
      </c>
      <c r="I216" s="247">
        <v>0</v>
      </c>
      <c r="J216" s="247">
        <v>0</v>
      </c>
      <c r="K216" s="247">
        <v>0</v>
      </c>
      <c r="L216" s="247">
        <v>0</v>
      </c>
      <c r="M216" s="247">
        <v>0</v>
      </c>
      <c r="N216" s="247">
        <v>0</v>
      </c>
      <c r="O216" s="247">
        <v>0</v>
      </c>
      <c r="P216" s="246">
        <v>0</v>
      </c>
      <c r="Q216" s="246">
        <v>0</v>
      </c>
      <c r="R216" s="246">
        <f t="shared" si="8"/>
        <v>93734.75</v>
      </c>
      <c r="S216" s="223"/>
    </row>
    <row r="217" spans="1:19" s="595" customFormat="1" ht="12.75" hidden="1" outlineLevel="1">
      <c r="A217" s="223" t="s">
        <v>1975</v>
      </c>
      <c r="B217" s="224"/>
      <c r="C217" s="224" t="s">
        <v>1976</v>
      </c>
      <c r="D217" s="224" t="s">
        <v>1977</v>
      </c>
      <c r="E217" s="246">
        <v>18784.76</v>
      </c>
      <c r="F217" s="246">
        <v>0</v>
      </c>
      <c r="G217" s="246"/>
      <c r="H217" s="247">
        <v>0</v>
      </c>
      <c r="I217" s="247">
        <v>0</v>
      </c>
      <c r="J217" s="247">
        <v>0</v>
      </c>
      <c r="K217" s="247">
        <v>0</v>
      </c>
      <c r="L217" s="247">
        <v>0</v>
      </c>
      <c r="M217" s="247">
        <v>0</v>
      </c>
      <c r="N217" s="247">
        <v>0</v>
      </c>
      <c r="O217" s="247">
        <v>0</v>
      </c>
      <c r="P217" s="246">
        <v>0</v>
      </c>
      <c r="Q217" s="246">
        <v>0</v>
      </c>
      <c r="R217" s="246">
        <f t="shared" si="8"/>
        <v>18784.76</v>
      </c>
      <c r="S217" s="223"/>
    </row>
    <row r="218" spans="1:19" s="595" customFormat="1" ht="12.75" hidden="1" outlineLevel="1">
      <c r="A218" s="223" t="s">
        <v>1978</v>
      </c>
      <c r="B218" s="224"/>
      <c r="C218" s="224" t="s">
        <v>1979</v>
      </c>
      <c r="D218" s="224" t="s">
        <v>1980</v>
      </c>
      <c r="E218" s="246">
        <v>1206846.45</v>
      </c>
      <c r="F218" s="246">
        <v>0</v>
      </c>
      <c r="G218" s="246"/>
      <c r="H218" s="247">
        <v>0</v>
      </c>
      <c r="I218" s="247">
        <v>0</v>
      </c>
      <c r="J218" s="247">
        <v>0</v>
      </c>
      <c r="K218" s="247">
        <v>0</v>
      </c>
      <c r="L218" s="247">
        <v>0</v>
      </c>
      <c r="M218" s="247">
        <v>0</v>
      </c>
      <c r="N218" s="247">
        <v>0</v>
      </c>
      <c r="O218" s="247">
        <v>0</v>
      </c>
      <c r="P218" s="246">
        <v>0</v>
      </c>
      <c r="Q218" s="246">
        <v>0</v>
      </c>
      <c r="R218" s="246">
        <f t="shared" si="8"/>
        <v>1206846.45</v>
      </c>
      <c r="S218" s="223"/>
    </row>
    <row r="219" spans="1:19" s="595" customFormat="1" ht="12.75" hidden="1" outlineLevel="1">
      <c r="A219" s="223" t="s">
        <v>1981</v>
      </c>
      <c r="B219" s="224"/>
      <c r="C219" s="224" t="s">
        <v>1982</v>
      </c>
      <c r="D219" s="224" t="s">
        <v>1983</v>
      </c>
      <c r="E219" s="246">
        <v>140096.06</v>
      </c>
      <c r="F219" s="246">
        <v>32577.39</v>
      </c>
      <c r="G219" s="246"/>
      <c r="H219" s="247">
        <v>0</v>
      </c>
      <c r="I219" s="247">
        <v>0</v>
      </c>
      <c r="J219" s="247">
        <v>0</v>
      </c>
      <c r="K219" s="247">
        <v>0</v>
      </c>
      <c r="L219" s="247">
        <v>0</v>
      </c>
      <c r="M219" s="247">
        <v>0</v>
      </c>
      <c r="N219" s="247">
        <v>0</v>
      </c>
      <c r="O219" s="247">
        <v>32.35</v>
      </c>
      <c r="P219" s="246">
        <v>32.35</v>
      </c>
      <c r="Q219" s="246">
        <v>0</v>
      </c>
      <c r="R219" s="246">
        <f t="shared" si="8"/>
        <v>172705.80000000002</v>
      </c>
      <c r="S219" s="223"/>
    </row>
    <row r="220" spans="1:19" s="595" customFormat="1" ht="12.75" hidden="1" outlineLevel="1">
      <c r="A220" s="223" t="s">
        <v>1984</v>
      </c>
      <c r="B220" s="224"/>
      <c r="C220" s="224" t="s">
        <v>1985</v>
      </c>
      <c r="D220" s="224" t="s">
        <v>1986</v>
      </c>
      <c r="E220" s="246">
        <v>580953.79</v>
      </c>
      <c r="F220" s="246">
        <v>64922.14</v>
      </c>
      <c r="G220" s="246"/>
      <c r="H220" s="247">
        <v>0</v>
      </c>
      <c r="I220" s="247">
        <v>0</v>
      </c>
      <c r="J220" s="247">
        <v>0</v>
      </c>
      <c r="K220" s="247">
        <v>0</v>
      </c>
      <c r="L220" s="247">
        <v>372.28</v>
      </c>
      <c r="M220" s="247">
        <v>0</v>
      </c>
      <c r="N220" s="247">
        <v>0</v>
      </c>
      <c r="O220" s="247">
        <v>124.15</v>
      </c>
      <c r="P220" s="246">
        <v>496.43</v>
      </c>
      <c r="Q220" s="246">
        <v>0</v>
      </c>
      <c r="R220" s="246">
        <f t="shared" si="8"/>
        <v>646372.3600000001</v>
      </c>
      <c r="S220" s="223"/>
    </row>
    <row r="221" spans="1:19" s="595" customFormat="1" ht="12.75" hidden="1" outlineLevel="1">
      <c r="A221" s="223" t="s">
        <v>1987</v>
      </c>
      <c r="B221" s="224"/>
      <c r="C221" s="224" t="s">
        <v>1988</v>
      </c>
      <c r="D221" s="224" t="s">
        <v>1989</v>
      </c>
      <c r="E221" s="246">
        <v>381938.15</v>
      </c>
      <c r="F221" s="246">
        <v>35015.91</v>
      </c>
      <c r="G221" s="246"/>
      <c r="H221" s="247">
        <v>0</v>
      </c>
      <c r="I221" s="247">
        <v>17545.07</v>
      </c>
      <c r="J221" s="247">
        <v>70.54</v>
      </c>
      <c r="K221" s="247">
        <v>6178.85</v>
      </c>
      <c r="L221" s="247">
        <v>88</v>
      </c>
      <c r="M221" s="247">
        <v>0</v>
      </c>
      <c r="N221" s="247">
        <v>365.9</v>
      </c>
      <c r="O221" s="247">
        <v>1155.52</v>
      </c>
      <c r="P221" s="246">
        <v>25403.88</v>
      </c>
      <c r="Q221" s="246">
        <v>0</v>
      </c>
      <c r="R221" s="246">
        <f t="shared" si="8"/>
        <v>442357.94000000006</v>
      </c>
      <c r="S221" s="223"/>
    </row>
    <row r="222" spans="1:19" s="595" customFormat="1" ht="12.75" hidden="1" outlineLevel="1">
      <c r="A222" s="223" t="s">
        <v>1990</v>
      </c>
      <c r="B222" s="224"/>
      <c r="C222" s="224" t="s">
        <v>1991</v>
      </c>
      <c r="D222" s="224" t="s">
        <v>1992</v>
      </c>
      <c r="E222" s="246">
        <v>158531.15</v>
      </c>
      <c r="F222" s="246">
        <v>0</v>
      </c>
      <c r="G222" s="246"/>
      <c r="H222" s="247">
        <v>0</v>
      </c>
      <c r="I222" s="247">
        <v>0</v>
      </c>
      <c r="J222" s="247">
        <v>0</v>
      </c>
      <c r="K222" s="247">
        <v>0</v>
      </c>
      <c r="L222" s="247">
        <v>0</v>
      </c>
      <c r="M222" s="247">
        <v>0</v>
      </c>
      <c r="N222" s="247">
        <v>0</v>
      </c>
      <c r="O222" s="247">
        <v>0</v>
      </c>
      <c r="P222" s="246">
        <v>0</v>
      </c>
      <c r="Q222" s="246">
        <v>0</v>
      </c>
      <c r="R222" s="246">
        <f t="shared" si="8"/>
        <v>158531.15</v>
      </c>
      <c r="S222" s="223"/>
    </row>
    <row r="223" spans="1:19" s="595" customFormat="1" ht="12.75" hidden="1" outlineLevel="1">
      <c r="A223" s="223" t="s">
        <v>1993</v>
      </c>
      <c r="B223" s="224"/>
      <c r="C223" s="224" t="s">
        <v>1994</v>
      </c>
      <c r="D223" s="224" t="s">
        <v>1995</v>
      </c>
      <c r="E223" s="246">
        <v>3230659.06</v>
      </c>
      <c r="F223" s="246">
        <v>122895.53</v>
      </c>
      <c r="G223" s="246"/>
      <c r="H223" s="247">
        <v>5587.15</v>
      </c>
      <c r="I223" s="247">
        <v>0</v>
      </c>
      <c r="J223" s="247">
        <v>2529.56</v>
      </c>
      <c r="K223" s="247">
        <v>150</v>
      </c>
      <c r="L223" s="247">
        <v>0</v>
      </c>
      <c r="M223" s="247">
        <v>0</v>
      </c>
      <c r="N223" s="247">
        <v>854.62</v>
      </c>
      <c r="O223" s="247">
        <v>49780.58</v>
      </c>
      <c r="P223" s="246">
        <v>58901.91</v>
      </c>
      <c r="Q223" s="246">
        <v>0</v>
      </c>
      <c r="R223" s="246">
        <f t="shared" si="8"/>
        <v>3412456.5</v>
      </c>
      <c r="S223" s="223"/>
    </row>
    <row r="224" spans="1:19" s="595" customFormat="1" ht="12.75" hidden="1" outlineLevel="1">
      <c r="A224" s="223" t="s">
        <v>1996</v>
      </c>
      <c r="B224" s="224"/>
      <c r="C224" s="224" t="s">
        <v>1997</v>
      </c>
      <c r="D224" s="224" t="s">
        <v>1998</v>
      </c>
      <c r="E224" s="246">
        <v>418596.62</v>
      </c>
      <c r="F224" s="246">
        <v>30095.23</v>
      </c>
      <c r="G224" s="246"/>
      <c r="H224" s="247">
        <v>87.92</v>
      </c>
      <c r="I224" s="247">
        <v>4206.08</v>
      </c>
      <c r="J224" s="247">
        <v>967.54</v>
      </c>
      <c r="K224" s="247">
        <v>1297.91</v>
      </c>
      <c r="L224" s="247">
        <v>3607.71</v>
      </c>
      <c r="M224" s="247">
        <v>0</v>
      </c>
      <c r="N224" s="247">
        <v>0</v>
      </c>
      <c r="O224" s="247">
        <v>11970.3</v>
      </c>
      <c r="P224" s="246">
        <v>22137.46</v>
      </c>
      <c r="Q224" s="246">
        <v>0</v>
      </c>
      <c r="R224" s="246">
        <f t="shared" si="8"/>
        <v>470829.31</v>
      </c>
      <c r="S224" s="223"/>
    </row>
    <row r="225" spans="1:19" s="595" customFormat="1" ht="12.75" hidden="1" outlineLevel="1">
      <c r="A225" s="223" t="s">
        <v>1999</v>
      </c>
      <c r="B225" s="224"/>
      <c r="C225" s="224" t="s">
        <v>2000</v>
      </c>
      <c r="D225" s="224" t="s">
        <v>2001</v>
      </c>
      <c r="E225" s="246">
        <v>12957.02</v>
      </c>
      <c r="F225" s="246">
        <v>0</v>
      </c>
      <c r="G225" s="246"/>
      <c r="H225" s="247">
        <v>0</v>
      </c>
      <c r="I225" s="247">
        <v>0</v>
      </c>
      <c r="J225" s="247">
        <v>0</v>
      </c>
      <c r="K225" s="247">
        <v>0</v>
      </c>
      <c r="L225" s="247">
        <v>0</v>
      </c>
      <c r="M225" s="247">
        <v>104658.94</v>
      </c>
      <c r="N225" s="247">
        <v>0</v>
      </c>
      <c r="O225" s="247">
        <v>0</v>
      </c>
      <c r="P225" s="246">
        <v>104658.94</v>
      </c>
      <c r="Q225" s="246">
        <v>0</v>
      </c>
      <c r="R225" s="246">
        <f t="shared" si="8"/>
        <v>117615.96</v>
      </c>
      <c r="S225" s="223"/>
    </row>
    <row r="226" spans="1:19" s="595" customFormat="1" ht="12.75" hidden="1" outlineLevel="1">
      <c r="A226" s="223" t="s">
        <v>2002</v>
      </c>
      <c r="B226" s="224"/>
      <c r="C226" s="224" t="s">
        <v>2003</v>
      </c>
      <c r="D226" s="224" t="s">
        <v>2004</v>
      </c>
      <c r="E226" s="246">
        <v>3930.17</v>
      </c>
      <c r="F226" s="246">
        <v>0</v>
      </c>
      <c r="G226" s="246"/>
      <c r="H226" s="247">
        <v>0</v>
      </c>
      <c r="I226" s="247">
        <v>0</v>
      </c>
      <c r="J226" s="247">
        <v>0</v>
      </c>
      <c r="K226" s="247">
        <v>0</v>
      </c>
      <c r="L226" s="247">
        <v>0</v>
      </c>
      <c r="M226" s="247">
        <v>0</v>
      </c>
      <c r="N226" s="247">
        <v>0</v>
      </c>
      <c r="O226" s="247">
        <v>0</v>
      </c>
      <c r="P226" s="246">
        <v>0</v>
      </c>
      <c r="Q226" s="246">
        <v>0</v>
      </c>
      <c r="R226" s="246">
        <f t="shared" si="8"/>
        <v>3930.17</v>
      </c>
      <c r="S226" s="223"/>
    </row>
    <row r="227" spans="1:19" s="595" customFormat="1" ht="12.75" hidden="1" outlineLevel="1">
      <c r="A227" s="223" t="s">
        <v>2005</v>
      </c>
      <c r="B227" s="224"/>
      <c r="C227" s="224" t="s">
        <v>2006</v>
      </c>
      <c r="D227" s="224" t="s">
        <v>2007</v>
      </c>
      <c r="E227" s="246">
        <v>1258.54</v>
      </c>
      <c r="F227" s="246">
        <v>0</v>
      </c>
      <c r="G227" s="246"/>
      <c r="H227" s="247">
        <v>0</v>
      </c>
      <c r="I227" s="247">
        <v>0</v>
      </c>
      <c r="J227" s="247">
        <v>0</v>
      </c>
      <c r="K227" s="247">
        <v>0</v>
      </c>
      <c r="L227" s="247">
        <v>0</v>
      </c>
      <c r="M227" s="247">
        <v>0</v>
      </c>
      <c r="N227" s="247">
        <v>40</v>
      </c>
      <c r="O227" s="247">
        <v>0</v>
      </c>
      <c r="P227" s="246">
        <v>40</v>
      </c>
      <c r="Q227" s="246">
        <v>0</v>
      </c>
      <c r="R227" s="246">
        <f t="shared" si="8"/>
        <v>1298.54</v>
      </c>
      <c r="S227" s="223"/>
    </row>
    <row r="228" spans="1:19" s="595" customFormat="1" ht="12.75" hidden="1" outlineLevel="1">
      <c r="A228" s="223" t="s">
        <v>2008</v>
      </c>
      <c r="B228" s="224"/>
      <c r="C228" s="224" t="s">
        <v>2009</v>
      </c>
      <c r="D228" s="224" t="s">
        <v>2010</v>
      </c>
      <c r="E228" s="246">
        <v>326257.34</v>
      </c>
      <c r="F228" s="246">
        <v>31787.25</v>
      </c>
      <c r="G228" s="246"/>
      <c r="H228" s="247">
        <v>0</v>
      </c>
      <c r="I228" s="247">
        <v>1288.92</v>
      </c>
      <c r="J228" s="247">
        <v>0</v>
      </c>
      <c r="K228" s="247">
        <v>0</v>
      </c>
      <c r="L228" s="247">
        <v>0</v>
      </c>
      <c r="M228" s="247">
        <v>0</v>
      </c>
      <c r="N228" s="247">
        <v>118</v>
      </c>
      <c r="O228" s="247">
        <v>352.37</v>
      </c>
      <c r="P228" s="246">
        <v>1759.29</v>
      </c>
      <c r="Q228" s="246">
        <v>0</v>
      </c>
      <c r="R228" s="246">
        <f t="shared" si="8"/>
        <v>359803.88</v>
      </c>
      <c r="S228" s="223"/>
    </row>
    <row r="229" spans="1:19" s="595" customFormat="1" ht="12.75" hidden="1" outlineLevel="1">
      <c r="A229" s="223" t="s">
        <v>2011</v>
      </c>
      <c r="B229" s="224"/>
      <c r="C229" s="224" t="s">
        <v>2012</v>
      </c>
      <c r="D229" s="224" t="s">
        <v>2013</v>
      </c>
      <c r="E229" s="246">
        <v>64355.61</v>
      </c>
      <c r="F229" s="246">
        <v>15943.58</v>
      </c>
      <c r="G229" s="246"/>
      <c r="H229" s="247">
        <v>0</v>
      </c>
      <c r="I229" s="247">
        <v>0</v>
      </c>
      <c r="J229" s="247">
        <v>0</v>
      </c>
      <c r="K229" s="247">
        <v>0</v>
      </c>
      <c r="L229" s="247">
        <v>0</v>
      </c>
      <c r="M229" s="247">
        <v>0</v>
      </c>
      <c r="N229" s="247">
        <v>0</v>
      </c>
      <c r="O229" s="247">
        <v>0</v>
      </c>
      <c r="P229" s="246">
        <v>0</v>
      </c>
      <c r="Q229" s="246">
        <v>0</v>
      </c>
      <c r="R229" s="246">
        <f t="shared" si="8"/>
        <v>80299.19</v>
      </c>
      <c r="S229" s="223"/>
    </row>
    <row r="230" spans="1:19" s="595" customFormat="1" ht="12.75" hidden="1" outlineLevel="1">
      <c r="A230" s="223" t="s">
        <v>2014</v>
      </c>
      <c r="B230" s="224"/>
      <c r="C230" s="224" t="s">
        <v>2015</v>
      </c>
      <c r="D230" s="224" t="s">
        <v>2016</v>
      </c>
      <c r="E230" s="246">
        <v>3584.36</v>
      </c>
      <c r="F230" s="246">
        <v>0</v>
      </c>
      <c r="G230" s="246"/>
      <c r="H230" s="247">
        <v>0</v>
      </c>
      <c r="I230" s="247">
        <v>0</v>
      </c>
      <c r="J230" s="247">
        <v>0</v>
      </c>
      <c r="K230" s="247">
        <v>0</v>
      </c>
      <c r="L230" s="247">
        <v>0</v>
      </c>
      <c r="M230" s="247">
        <v>0</v>
      </c>
      <c r="N230" s="247">
        <v>0</v>
      </c>
      <c r="O230" s="247">
        <v>0</v>
      </c>
      <c r="P230" s="246">
        <v>0</v>
      </c>
      <c r="Q230" s="246">
        <v>0</v>
      </c>
      <c r="R230" s="246">
        <f t="shared" si="8"/>
        <v>3584.36</v>
      </c>
      <c r="S230" s="223"/>
    </row>
    <row r="231" spans="1:19" s="595" customFormat="1" ht="12.75" hidden="1" outlineLevel="1">
      <c r="A231" s="223" t="s">
        <v>2017</v>
      </c>
      <c r="B231" s="224"/>
      <c r="C231" s="224" t="s">
        <v>2018</v>
      </c>
      <c r="D231" s="224" t="s">
        <v>2019</v>
      </c>
      <c r="E231" s="246">
        <v>10264.82</v>
      </c>
      <c r="F231" s="246">
        <v>0</v>
      </c>
      <c r="G231" s="246"/>
      <c r="H231" s="247">
        <v>0</v>
      </c>
      <c r="I231" s="247">
        <v>0</v>
      </c>
      <c r="J231" s="247">
        <v>0</v>
      </c>
      <c r="K231" s="247">
        <v>0</v>
      </c>
      <c r="L231" s="247">
        <v>0</v>
      </c>
      <c r="M231" s="247">
        <v>0</v>
      </c>
      <c r="N231" s="247">
        <v>0</v>
      </c>
      <c r="O231" s="247">
        <v>0</v>
      </c>
      <c r="P231" s="246">
        <v>0</v>
      </c>
      <c r="Q231" s="246">
        <v>0</v>
      </c>
      <c r="R231" s="246">
        <f t="shared" si="8"/>
        <v>10264.82</v>
      </c>
      <c r="S231" s="223"/>
    </row>
    <row r="232" spans="1:19" s="595" customFormat="1" ht="12.75" hidden="1" outlineLevel="1">
      <c r="A232" s="223" t="s">
        <v>2020</v>
      </c>
      <c r="B232" s="224"/>
      <c r="C232" s="224" t="s">
        <v>2021</v>
      </c>
      <c r="D232" s="224" t="s">
        <v>2022</v>
      </c>
      <c r="E232" s="246">
        <v>330572.59</v>
      </c>
      <c r="F232" s="246">
        <v>99.99</v>
      </c>
      <c r="G232" s="246"/>
      <c r="H232" s="247">
        <v>0</v>
      </c>
      <c r="I232" s="247">
        <v>0</v>
      </c>
      <c r="J232" s="247">
        <v>0</v>
      </c>
      <c r="K232" s="247">
        <v>0</v>
      </c>
      <c r="L232" s="247">
        <v>0</v>
      </c>
      <c r="M232" s="247">
        <v>0</v>
      </c>
      <c r="N232" s="247">
        <v>0</v>
      </c>
      <c r="O232" s="247">
        <v>10789.32</v>
      </c>
      <c r="P232" s="246">
        <v>10789.32</v>
      </c>
      <c r="Q232" s="246">
        <v>0</v>
      </c>
      <c r="R232" s="246">
        <f t="shared" si="8"/>
        <v>341461.9</v>
      </c>
      <c r="S232" s="223"/>
    </row>
    <row r="233" spans="1:19" s="595" customFormat="1" ht="12.75" hidden="1" outlineLevel="1">
      <c r="A233" s="223" t="s">
        <v>2023</v>
      </c>
      <c r="B233" s="224"/>
      <c r="C233" s="224" t="s">
        <v>2024</v>
      </c>
      <c r="D233" s="224" t="s">
        <v>2025</v>
      </c>
      <c r="E233" s="246">
        <v>26166.58</v>
      </c>
      <c r="F233" s="246">
        <v>200</v>
      </c>
      <c r="G233" s="246"/>
      <c r="H233" s="247">
        <v>0</v>
      </c>
      <c r="I233" s="247">
        <v>0</v>
      </c>
      <c r="J233" s="247">
        <v>0</v>
      </c>
      <c r="K233" s="247">
        <v>0</v>
      </c>
      <c r="L233" s="247">
        <v>0</v>
      </c>
      <c r="M233" s="247">
        <v>0</v>
      </c>
      <c r="N233" s="247">
        <v>0</v>
      </c>
      <c r="O233" s="247">
        <v>0</v>
      </c>
      <c r="P233" s="246">
        <v>0</v>
      </c>
      <c r="Q233" s="246">
        <v>0</v>
      </c>
      <c r="R233" s="246">
        <f t="shared" si="8"/>
        <v>26366.58</v>
      </c>
      <c r="S233" s="223"/>
    </row>
    <row r="234" spans="1:19" s="595" customFormat="1" ht="12.75" hidden="1" outlineLevel="1">
      <c r="A234" s="223" t="s">
        <v>2026</v>
      </c>
      <c r="B234" s="224"/>
      <c r="C234" s="224" t="s">
        <v>2027</v>
      </c>
      <c r="D234" s="224" t="s">
        <v>2028</v>
      </c>
      <c r="E234" s="246">
        <v>10278.85</v>
      </c>
      <c r="F234" s="246">
        <v>0</v>
      </c>
      <c r="G234" s="246"/>
      <c r="H234" s="247">
        <v>0</v>
      </c>
      <c r="I234" s="247">
        <v>0</v>
      </c>
      <c r="J234" s="247">
        <v>0</v>
      </c>
      <c r="K234" s="247">
        <v>0</v>
      </c>
      <c r="L234" s="247">
        <v>0</v>
      </c>
      <c r="M234" s="247">
        <v>0</v>
      </c>
      <c r="N234" s="247">
        <v>0</v>
      </c>
      <c r="O234" s="247">
        <v>706.65</v>
      </c>
      <c r="P234" s="246">
        <v>706.65</v>
      </c>
      <c r="Q234" s="246">
        <v>0</v>
      </c>
      <c r="R234" s="246">
        <f t="shared" si="8"/>
        <v>10985.5</v>
      </c>
      <c r="S234" s="223"/>
    </row>
    <row r="235" spans="1:19" s="595" customFormat="1" ht="12.75" hidden="1" outlineLevel="1">
      <c r="A235" s="223" t="s">
        <v>2029</v>
      </c>
      <c r="B235" s="224"/>
      <c r="C235" s="224" t="s">
        <v>2030</v>
      </c>
      <c r="D235" s="224" t="s">
        <v>2031</v>
      </c>
      <c r="E235" s="246">
        <v>32332.03</v>
      </c>
      <c r="F235" s="246">
        <v>0</v>
      </c>
      <c r="G235" s="246"/>
      <c r="H235" s="247">
        <v>0</v>
      </c>
      <c r="I235" s="247">
        <v>0</v>
      </c>
      <c r="J235" s="247">
        <v>0</v>
      </c>
      <c r="K235" s="247">
        <v>0</v>
      </c>
      <c r="L235" s="247">
        <v>0</v>
      </c>
      <c r="M235" s="247">
        <v>0</v>
      </c>
      <c r="N235" s="247">
        <v>0</v>
      </c>
      <c r="O235" s="247">
        <v>3376.03</v>
      </c>
      <c r="P235" s="246">
        <v>3376.03</v>
      </c>
      <c r="Q235" s="246">
        <v>0</v>
      </c>
      <c r="R235" s="246">
        <f t="shared" si="8"/>
        <v>35708.06</v>
      </c>
      <c r="S235" s="223"/>
    </row>
    <row r="236" spans="1:19" s="595" customFormat="1" ht="12.75" hidden="1" outlineLevel="1">
      <c r="A236" s="223" t="s">
        <v>2032</v>
      </c>
      <c r="B236" s="224"/>
      <c r="C236" s="224" t="s">
        <v>2033</v>
      </c>
      <c r="D236" s="224" t="s">
        <v>2034</v>
      </c>
      <c r="E236" s="246">
        <v>43959.96</v>
      </c>
      <c r="F236" s="246">
        <v>0</v>
      </c>
      <c r="G236" s="246"/>
      <c r="H236" s="247">
        <v>28253.29</v>
      </c>
      <c r="I236" s="247">
        <v>0</v>
      </c>
      <c r="J236" s="247">
        <v>10638.83</v>
      </c>
      <c r="K236" s="247">
        <v>1891.87</v>
      </c>
      <c r="L236" s="247">
        <v>0</v>
      </c>
      <c r="M236" s="247">
        <v>0</v>
      </c>
      <c r="N236" s="247">
        <v>184.41</v>
      </c>
      <c r="O236" s="247">
        <v>0</v>
      </c>
      <c r="P236" s="246">
        <v>40968.4</v>
      </c>
      <c r="Q236" s="246">
        <v>0</v>
      </c>
      <c r="R236" s="246">
        <f t="shared" si="8"/>
        <v>84928.36</v>
      </c>
      <c r="S236" s="223"/>
    </row>
    <row r="237" spans="1:19" s="595" customFormat="1" ht="12.75" hidden="1" outlineLevel="1">
      <c r="A237" s="223" t="s">
        <v>2035</v>
      </c>
      <c r="B237" s="224"/>
      <c r="C237" s="224" t="s">
        <v>2036</v>
      </c>
      <c r="D237" s="224" t="s">
        <v>2037</v>
      </c>
      <c r="E237" s="246">
        <v>2528.2</v>
      </c>
      <c r="F237" s="246">
        <v>0</v>
      </c>
      <c r="G237" s="246"/>
      <c r="H237" s="247">
        <v>572.53</v>
      </c>
      <c r="I237" s="247">
        <v>0</v>
      </c>
      <c r="J237" s="247">
        <v>0</v>
      </c>
      <c r="K237" s="247">
        <v>0</v>
      </c>
      <c r="L237" s="247">
        <v>0</v>
      </c>
      <c r="M237" s="247">
        <v>0</v>
      </c>
      <c r="N237" s="247">
        <v>0</v>
      </c>
      <c r="O237" s="247">
        <v>0</v>
      </c>
      <c r="P237" s="246">
        <v>572.53</v>
      </c>
      <c r="Q237" s="246">
        <v>0</v>
      </c>
      <c r="R237" s="246">
        <f t="shared" si="8"/>
        <v>3100.7299999999996</v>
      </c>
      <c r="S237" s="223"/>
    </row>
    <row r="238" spans="1:19" s="595" customFormat="1" ht="12.75" hidden="1" outlineLevel="1">
      <c r="A238" s="223" t="s">
        <v>2038</v>
      </c>
      <c r="B238" s="224"/>
      <c r="C238" s="224" t="s">
        <v>2039</v>
      </c>
      <c r="D238" s="224" t="s">
        <v>2040</v>
      </c>
      <c r="E238" s="246">
        <v>1864.33</v>
      </c>
      <c r="F238" s="246">
        <v>0</v>
      </c>
      <c r="G238" s="246"/>
      <c r="H238" s="247">
        <v>0</v>
      </c>
      <c r="I238" s="247">
        <v>0</v>
      </c>
      <c r="J238" s="247">
        <v>0</v>
      </c>
      <c r="K238" s="247">
        <v>0</v>
      </c>
      <c r="L238" s="247">
        <v>0</v>
      </c>
      <c r="M238" s="247">
        <v>0</v>
      </c>
      <c r="N238" s="247">
        <v>0</v>
      </c>
      <c r="O238" s="247">
        <v>0</v>
      </c>
      <c r="P238" s="246">
        <v>0</v>
      </c>
      <c r="Q238" s="246">
        <v>0</v>
      </c>
      <c r="R238" s="246">
        <f t="shared" si="8"/>
        <v>1864.33</v>
      </c>
      <c r="S238" s="223"/>
    </row>
    <row r="239" spans="1:19" s="595" customFormat="1" ht="12.75" hidden="1" outlineLevel="1">
      <c r="A239" s="223" t="s">
        <v>2041</v>
      </c>
      <c r="B239" s="224"/>
      <c r="C239" s="224" t="s">
        <v>2042</v>
      </c>
      <c r="D239" s="224" t="s">
        <v>2043</v>
      </c>
      <c r="E239" s="246">
        <v>24190.54</v>
      </c>
      <c r="F239" s="246">
        <v>0</v>
      </c>
      <c r="G239" s="246"/>
      <c r="H239" s="247">
        <v>0</v>
      </c>
      <c r="I239" s="247">
        <v>0</v>
      </c>
      <c r="J239" s="247">
        <v>0</v>
      </c>
      <c r="K239" s="247">
        <v>0</v>
      </c>
      <c r="L239" s="247">
        <v>0</v>
      </c>
      <c r="M239" s="247">
        <v>0</v>
      </c>
      <c r="N239" s="247">
        <v>0</v>
      </c>
      <c r="O239" s="247">
        <v>0</v>
      </c>
      <c r="P239" s="246">
        <v>0</v>
      </c>
      <c r="Q239" s="246">
        <v>0</v>
      </c>
      <c r="R239" s="246">
        <f t="shared" si="8"/>
        <v>24190.54</v>
      </c>
      <c r="S239" s="223"/>
    </row>
    <row r="240" spans="1:19" s="595" customFormat="1" ht="12.75" hidden="1" outlineLevel="1">
      <c r="A240" s="223" t="s">
        <v>2044</v>
      </c>
      <c r="B240" s="224"/>
      <c r="C240" s="224" t="s">
        <v>2045</v>
      </c>
      <c r="D240" s="224" t="s">
        <v>2046</v>
      </c>
      <c r="E240" s="246">
        <v>10061.49</v>
      </c>
      <c r="F240" s="246">
        <v>0</v>
      </c>
      <c r="G240" s="246"/>
      <c r="H240" s="247">
        <v>0</v>
      </c>
      <c r="I240" s="247">
        <v>0</v>
      </c>
      <c r="J240" s="247">
        <v>0</v>
      </c>
      <c r="K240" s="247">
        <v>0</v>
      </c>
      <c r="L240" s="247">
        <v>0</v>
      </c>
      <c r="M240" s="247">
        <v>0</v>
      </c>
      <c r="N240" s="247">
        <v>0</v>
      </c>
      <c r="O240" s="247">
        <v>3023.16</v>
      </c>
      <c r="P240" s="246">
        <v>3023.16</v>
      </c>
      <c r="Q240" s="246">
        <v>0</v>
      </c>
      <c r="R240" s="246">
        <f t="shared" si="8"/>
        <v>13084.65</v>
      </c>
      <c r="S240" s="223"/>
    </row>
    <row r="241" spans="1:19" s="595" customFormat="1" ht="12.75" hidden="1" outlineLevel="1">
      <c r="A241" s="223" t="s">
        <v>2047</v>
      </c>
      <c r="B241" s="224"/>
      <c r="C241" s="224" t="s">
        <v>2048</v>
      </c>
      <c r="D241" s="224" t="s">
        <v>2049</v>
      </c>
      <c r="E241" s="246">
        <v>3475.1</v>
      </c>
      <c r="F241" s="246">
        <v>0</v>
      </c>
      <c r="G241" s="246"/>
      <c r="H241" s="247">
        <v>0</v>
      </c>
      <c r="I241" s="247">
        <v>0</v>
      </c>
      <c r="J241" s="247">
        <v>0</v>
      </c>
      <c r="K241" s="247">
        <v>0</v>
      </c>
      <c r="L241" s="247">
        <v>0</v>
      </c>
      <c r="M241" s="247">
        <v>0</v>
      </c>
      <c r="N241" s="247">
        <v>0</v>
      </c>
      <c r="O241" s="247">
        <v>65.57</v>
      </c>
      <c r="P241" s="246">
        <v>65.57</v>
      </c>
      <c r="Q241" s="246">
        <v>0</v>
      </c>
      <c r="R241" s="246">
        <f t="shared" si="8"/>
        <v>3540.67</v>
      </c>
      <c r="S241" s="223"/>
    </row>
    <row r="242" spans="1:19" s="595" customFormat="1" ht="12.75" hidden="1" outlineLevel="1">
      <c r="A242" s="223" t="s">
        <v>2050</v>
      </c>
      <c r="B242" s="224"/>
      <c r="C242" s="224" t="s">
        <v>2051</v>
      </c>
      <c r="D242" s="224" t="s">
        <v>2052</v>
      </c>
      <c r="E242" s="246">
        <v>2464.1</v>
      </c>
      <c r="F242" s="246">
        <v>0</v>
      </c>
      <c r="G242" s="246"/>
      <c r="H242" s="247">
        <v>0</v>
      </c>
      <c r="I242" s="247">
        <v>0</v>
      </c>
      <c r="J242" s="247">
        <v>0</v>
      </c>
      <c r="K242" s="247">
        <v>0</v>
      </c>
      <c r="L242" s="247">
        <v>0</v>
      </c>
      <c r="M242" s="247">
        <v>0</v>
      </c>
      <c r="N242" s="247">
        <v>0</v>
      </c>
      <c r="O242" s="247">
        <v>106.66</v>
      </c>
      <c r="P242" s="246">
        <v>106.66</v>
      </c>
      <c r="Q242" s="246">
        <v>0</v>
      </c>
      <c r="R242" s="246">
        <f t="shared" si="8"/>
        <v>2570.7599999999998</v>
      </c>
      <c r="S242" s="223"/>
    </row>
    <row r="243" spans="1:19" s="595" customFormat="1" ht="12.75" hidden="1" outlineLevel="1">
      <c r="A243" s="223" t="s">
        <v>2053</v>
      </c>
      <c r="B243" s="224"/>
      <c r="C243" s="224" t="s">
        <v>2054</v>
      </c>
      <c r="D243" s="224" t="s">
        <v>2055</v>
      </c>
      <c r="E243" s="246">
        <v>72054.48</v>
      </c>
      <c r="F243" s="246">
        <v>0</v>
      </c>
      <c r="G243" s="246"/>
      <c r="H243" s="247">
        <v>0</v>
      </c>
      <c r="I243" s="247">
        <v>0</v>
      </c>
      <c r="J243" s="247">
        <v>0</v>
      </c>
      <c r="K243" s="247">
        <v>0</v>
      </c>
      <c r="L243" s="247">
        <v>0</v>
      </c>
      <c r="M243" s="247">
        <v>0</v>
      </c>
      <c r="N243" s="247">
        <v>0</v>
      </c>
      <c r="O243" s="247">
        <v>57.86</v>
      </c>
      <c r="P243" s="246">
        <v>57.86</v>
      </c>
      <c r="Q243" s="246">
        <v>0</v>
      </c>
      <c r="R243" s="246">
        <f t="shared" si="8"/>
        <v>72112.34</v>
      </c>
      <c r="S243" s="223"/>
    </row>
    <row r="244" spans="1:19" s="595" customFormat="1" ht="12.75" hidden="1" outlineLevel="1">
      <c r="A244" s="223" t="s">
        <v>2056</v>
      </c>
      <c r="B244" s="224"/>
      <c r="C244" s="224" t="s">
        <v>2057</v>
      </c>
      <c r="D244" s="224" t="s">
        <v>2058</v>
      </c>
      <c r="E244" s="246">
        <v>28695.19</v>
      </c>
      <c r="F244" s="246">
        <v>0</v>
      </c>
      <c r="G244" s="246"/>
      <c r="H244" s="247">
        <v>0</v>
      </c>
      <c r="I244" s="247">
        <v>0</v>
      </c>
      <c r="J244" s="247">
        <v>0</v>
      </c>
      <c r="K244" s="247">
        <v>0</v>
      </c>
      <c r="L244" s="247">
        <v>0</v>
      </c>
      <c r="M244" s="247">
        <v>0</v>
      </c>
      <c r="N244" s="247">
        <v>0</v>
      </c>
      <c r="O244" s="247">
        <v>83960.12</v>
      </c>
      <c r="P244" s="246">
        <v>83960.12</v>
      </c>
      <c r="Q244" s="246">
        <v>0</v>
      </c>
      <c r="R244" s="246">
        <f t="shared" si="8"/>
        <v>112655.31</v>
      </c>
      <c r="S244" s="223"/>
    </row>
    <row r="245" spans="1:19" s="595" customFormat="1" ht="12.75" hidden="1" outlineLevel="1">
      <c r="A245" s="223" t="s">
        <v>2059</v>
      </c>
      <c r="B245" s="224"/>
      <c r="C245" s="224" t="s">
        <v>2060</v>
      </c>
      <c r="D245" s="224" t="s">
        <v>2061</v>
      </c>
      <c r="E245" s="246">
        <v>0</v>
      </c>
      <c r="F245" s="246">
        <v>0</v>
      </c>
      <c r="G245" s="246"/>
      <c r="H245" s="247">
        <v>0</v>
      </c>
      <c r="I245" s="247">
        <v>0</v>
      </c>
      <c r="J245" s="247">
        <v>0</v>
      </c>
      <c r="K245" s="247">
        <v>0</v>
      </c>
      <c r="L245" s="247">
        <v>0</v>
      </c>
      <c r="M245" s="247">
        <v>0</v>
      </c>
      <c r="N245" s="247">
        <v>0</v>
      </c>
      <c r="O245" s="247">
        <v>20556.35</v>
      </c>
      <c r="P245" s="246">
        <v>20556.35</v>
      </c>
      <c r="Q245" s="246">
        <v>0</v>
      </c>
      <c r="R245" s="246">
        <f t="shared" si="8"/>
        <v>20556.35</v>
      </c>
      <c r="S245" s="223"/>
    </row>
    <row r="246" spans="1:19" s="595" customFormat="1" ht="12.75" hidden="1" outlineLevel="1">
      <c r="A246" s="223" t="s">
        <v>2062</v>
      </c>
      <c r="B246" s="224"/>
      <c r="C246" s="224" t="s">
        <v>2063</v>
      </c>
      <c r="D246" s="224" t="s">
        <v>2064</v>
      </c>
      <c r="E246" s="246">
        <v>0</v>
      </c>
      <c r="F246" s="246">
        <v>0</v>
      </c>
      <c r="G246" s="246"/>
      <c r="H246" s="247">
        <v>0</v>
      </c>
      <c r="I246" s="247">
        <v>0</v>
      </c>
      <c r="J246" s="247">
        <v>0</v>
      </c>
      <c r="K246" s="247">
        <v>0</v>
      </c>
      <c r="L246" s="247">
        <v>0</v>
      </c>
      <c r="M246" s="247">
        <v>0</v>
      </c>
      <c r="N246" s="247">
        <v>0</v>
      </c>
      <c r="O246" s="247">
        <v>2213.5</v>
      </c>
      <c r="P246" s="246">
        <v>2213.5</v>
      </c>
      <c r="Q246" s="246">
        <v>0</v>
      </c>
      <c r="R246" s="246">
        <f t="shared" si="8"/>
        <v>2213.5</v>
      </c>
      <c r="S246" s="223"/>
    </row>
    <row r="247" spans="1:19" s="595" customFormat="1" ht="12.75" hidden="1" outlineLevel="1">
      <c r="A247" s="223" t="s">
        <v>2065</v>
      </c>
      <c r="B247" s="224"/>
      <c r="C247" s="224" t="s">
        <v>2066</v>
      </c>
      <c r="D247" s="224" t="s">
        <v>2067</v>
      </c>
      <c r="E247" s="246">
        <v>539.56</v>
      </c>
      <c r="F247" s="246">
        <v>0</v>
      </c>
      <c r="G247" s="246"/>
      <c r="H247" s="247">
        <v>0</v>
      </c>
      <c r="I247" s="247">
        <v>0</v>
      </c>
      <c r="J247" s="247">
        <v>0</v>
      </c>
      <c r="K247" s="247">
        <v>0</v>
      </c>
      <c r="L247" s="247">
        <v>0</v>
      </c>
      <c r="M247" s="247">
        <v>0</v>
      </c>
      <c r="N247" s="247">
        <v>0</v>
      </c>
      <c r="O247" s="247">
        <v>2197.61</v>
      </c>
      <c r="P247" s="246">
        <v>2197.61</v>
      </c>
      <c r="Q247" s="246">
        <v>0</v>
      </c>
      <c r="R247" s="246">
        <f t="shared" si="8"/>
        <v>2737.17</v>
      </c>
      <c r="S247" s="223"/>
    </row>
    <row r="248" spans="1:19" s="595" customFormat="1" ht="12.75" hidden="1" outlineLevel="1">
      <c r="A248" s="223" t="s">
        <v>2068</v>
      </c>
      <c r="B248" s="224"/>
      <c r="C248" s="224" t="s">
        <v>2069</v>
      </c>
      <c r="D248" s="224" t="s">
        <v>2070</v>
      </c>
      <c r="E248" s="246">
        <v>0</v>
      </c>
      <c r="F248" s="246">
        <v>0</v>
      </c>
      <c r="G248" s="246"/>
      <c r="H248" s="247">
        <v>0</v>
      </c>
      <c r="I248" s="247">
        <v>0</v>
      </c>
      <c r="J248" s="247">
        <v>0</v>
      </c>
      <c r="K248" s="247">
        <v>0</v>
      </c>
      <c r="L248" s="247">
        <v>0</v>
      </c>
      <c r="M248" s="247">
        <v>0</v>
      </c>
      <c r="N248" s="247">
        <v>0</v>
      </c>
      <c r="O248" s="247">
        <v>14704.79</v>
      </c>
      <c r="P248" s="246">
        <v>14704.79</v>
      </c>
      <c r="Q248" s="246">
        <v>0</v>
      </c>
      <c r="R248" s="246">
        <f t="shared" si="8"/>
        <v>14704.79</v>
      </c>
      <c r="S248" s="223"/>
    </row>
    <row r="249" spans="1:19" s="595" customFormat="1" ht="12.75" hidden="1" outlineLevel="1">
      <c r="A249" s="223" t="s">
        <v>909</v>
      </c>
      <c r="B249" s="224"/>
      <c r="C249" s="224" t="s">
        <v>910</v>
      </c>
      <c r="D249" s="224" t="s">
        <v>911</v>
      </c>
      <c r="E249" s="246">
        <v>206.91</v>
      </c>
      <c r="F249" s="246">
        <v>0</v>
      </c>
      <c r="G249" s="246"/>
      <c r="H249" s="247">
        <v>0</v>
      </c>
      <c r="I249" s="247">
        <v>0</v>
      </c>
      <c r="J249" s="247">
        <v>0</v>
      </c>
      <c r="K249" s="247">
        <v>0</v>
      </c>
      <c r="L249" s="247">
        <v>0</v>
      </c>
      <c r="M249" s="247">
        <v>0</v>
      </c>
      <c r="N249" s="247">
        <v>0</v>
      </c>
      <c r="O249" s="247">
        <v>655.78</v>
      </c>
      <c r="P249" s="246">
        <v>655.78</v>
      </c>
      <c r="Q249" s="246">
        <v>0</v>
      </c>
      <c r="R249" s="246">
        <f t="shared" si="8"/>
        <v>862.6899999999999</v>
      </c>
      <c r="S249" s="223"/>
    </row>
    <row r="250" spans="1:19" s="595" customFormat="1" ht="12.75" hidden="1" outlineLevel="1">
      <c r="A250" s="223" t="s">
        <v>2071</v>
      </c>
      <c r="B250" s="224"/>
      <c r="C250" s="224" t="s">
        <v>2072</v>
      </c>
      <c r="D250" s="224" t="s">
        <v>2073</v>
      </c>
      <c r="E250" s="246">
        <v>4146.02</v>
      </c>
      <c r="F250" s="246">
        <v>0</v>
      </c>
      <c r="G250" s="246"/>
      <c r="H250" s="247">
        <v>0</v>
      </c>
      <c r="I250" s="247">
        <v>0</v>
      </c>
      <c r="J250" s="247">
        <v>0</v>
      </c>
      <c r="K250" s="247">
        <v>0</v>
      </c>
      <c r="L250" s="247">
        <v>0</v>
      </c>
      <c r="M250" s="247">
        <v>0</v>
      </c>
      <c r="N250" s="247">
        <v>0</v>
      </c>
      <c r="O250" s="247">
        <v>0</v>
      </c>
      <c r="P250" s="246">
        <v>0</v>
      </c>
      <c r="Q250" s="246">
        <v>0</v>
      </c>
      <c r="R250" s="246">
        <f t="shared" si="8"/>
        <v>4146.02</v>
      </c>
      <c r="S250" s="223"/>
    </row>
    <row r="251" spans="1:19" s="595" customFormat="1" ht="12.75" hidden="1" outlineLevel="1">
      <c r="A251" s="223" t="s">
        <v>2074</v>
      </c>
      <c r="B251" s="224"/>
      <c r="C251" s="224" t="s">
        <v>2075</v>
      </c>
      <c r="D251" s="224" t="s">
        <v>2076</v>
      </c>
      <c r="E251" s="246">
        <v>364.9</v>
      </c>
      <c r="F251" s="246">
        <v>0</v>
      </c>
      <c r="G251" s="246"/>
      <c r="H251" s="247">
        <v>0</v>
      </c>
      <c r="I251" s="247">
        <v>0</v>
      </c>
      <c r="J251" s="247">
        <v>0</v>
      </c>
      <c r="K251" s="247">
        <v>0</v>
      </c>
      <c r="L251" s="247">
        <v>0</v>
      </c>
      <c r="M251" s="247">
        <v>0</v>
      </c>
      <c r="N251" s="247">
        <v>0</v>
      </c>
      <c r="O251" s="247">
        <v>0</v>
      </c>
      <c r="P251" s="246">
        <v>0</v>
      </c>
      <c r="Q251" s="246">
        <v>0</v>
      </c>
      <c r="R251" s="246">
        <f t="shared" si="8"/>
        <v>364.9</v>
      </c>
      <c r="S251" s="223"/>
    </row>
    <row r="252" spans="1:19" s="595" customFormat="1" ht="12.75" hidden="1" outlineLevel="1">
      <c r="A252" s="223" t="s">
        <v>2080</v>
      </c>
      <c r="B252" s="224"/>
      <c r="C252" s="224" t="s">
        <v>2081</v>
      </c>
      <c r="D252" s="224" t="s">
        <v>2082</v>
      </c>
      <c r="E252" s="246">
        <v>56.52</v>
      </c>
      <c r="F252" s="246">
        <v>0</v>
      </c>
      <c r="G252" s="246"/>
      <c r="H252" s="247">
        <v>0</v>
      </c>
      <c r="I252" s="247">
        <v>0</v>
      </c>
      <c r="J252" s="247">
        <v>0</v>
      </c>
      <c r="K252" s="247">
        <v>0</v>
      </c>
      <c r="L252" s="247">
        <v>0</v>
      </c>
      <c r="M252" s="247">
        <v>0</v>
      </c>
      <c r="N252" s="247">
        <v>0</v>
      </c>
      <c r="O252" s="247">
        <v>0</v>
      </c>
      <c r="P252" s="246">
        <v>0</v>
      </c>
      <c r="Q252" s="246">
        <v>0</v>
      </c>
      <c r="R252" s="246">
        <f t="shared" si="8"/>
        <v>56.52</v>
      </c>
      <c r="S252" s="223"/>
    </row>
    <row r="253" spans="1:19" s="595" customFormat="1" ht="12.75" hidden="1" outlineLevel="1">
      <c r="A253" s="223" t="s">
        <v>2083</v>
      </c>
      <c r="B253" s="224"/>
      <c r="C253" s="224" t="s">
        <v>2084</v>
      </c>
      <c r="D253" s="224" t="s">
        <v>2085</v>
      </c>
      <c r="E253" s="246">
        <v>1376.46</v>
      </c>
      <c r="F253" s="246">
        <v>0</v>
      </c>
      <c r="G253" s="246"/>
      <c r="H253" s="247">
        <v>0</v>
      </c>
      <c r="I253" s="247">
        <v>0</v>
      </c>
      <c r="J253" s="247">
        <v>0</v>
      </c>
      <c r="K253" s="247">
        <v>0</v>
      </c>
      <c r="L253" s="247">
        <v>0</v>
      </c>
      <c r="M253" s="247">
        <v>0</v>
      </c>
      <c r="N253" s="247">
        <v>0</v>
      </c>
      <c r="O253" s="247">
        <v>0</v>
      </c>
      <c r="P253" s="246">
        <v>0</v>
      </c>
      <c r="Q253" s="246">
        <v>0</v>
      </c>
      <c r="R253" s="246">
        <f t="shared" si="8"/>
        <v>1376.46</v>
      </c>
      <c r="S253" s="223"/>
    </row>
    <row r="254" spans="1:19" s="595" customFormat="1" ht="12.75" hidden="1" outlineLevel="1">
      <c r="A254" s="223" t="s">
        <v>2086</v>
      </c>
      <c r="B254" s="224"/>
      <c r="C254" s="224" t="s">
        <v>2087</v>
      </c>
      <c r="D254" s="224" t="s">
        <v>2088</v>
      </c>
      <c r="E254" s="246">
        <v>1159.4</v>
      </c>
      <c r="F254" s="246">
        <v>0</v>
      </c>
      <c r="G254" s="246"/>
      <c r="H254" s="247">
        <v>0</v>
      </c>
      <c r="I254" s="247">
        <v>0</v>
      </c>
      <c r="J254" s="247">
        <v>0</v>
      </c>
      <c r="K254" s="247">
        <v>0</v>
      </c>
      <c r="L254" s="247">
        <v>0</v>
      </c>
      <c r="M254" s="247">
        <v>0</v>
      </c>
      <c r="N254" s="247">
        <v>0</v>
      </c>
      <c r="O254" s="247">
        <v>0</v>
      </c>
      <c r="P254" s="246">
        <v>0</v>
      </c>
      <c r="Q254" s="246">
        <v>0</v>
      </c>
      <c r="R254" s="246">
        <f aca="true" t="shared" si="9" ref="R254:R317">E254+F254+G254+P254+Q254</f>
        <v>1159.4</v>
      </c>
      <c r="S254" s="223"/>
    </row>
    <row r="255" spans="1:19" s="595" customFormat="1" ht="12.75" hidden="1" outlineLevel="1">
      <c r="A255" s="223" t="s">
        <v>912</v>
      </c>
      <c r="B255" s="224"/>
      <c r="C255" s="224" t="s">
        <v>913</v>
      </c>
      <c r="D255" s="224" t="s">
        <v>914</v>
      </c>
      <c r="E255" s="246">
        <v>75.76</v>
      </c>
      <c r="F255" s="246">
        <v>0</v>
      </c>
      <c r="G255" s="246"/>
      <c r="H255" s="247">
        <v>0</v>
      </c>
      <c r="I255" s="247">
        <v>0</v>
      </c>
      <c r="J255" s="247">
        <v>0</v>
      </c>
      <c r="K255" s="247">
        <v>0</v>
      </c>
      <c r="L255" s="247">
        <v>0</v>
      </c>
      <c r="M255" s="247">
        <v>0</v>
      </c>
      <c r="N255" s="247">
        <v>0</v>
      </c>
      <c r="O255" s="247">
        <v>0</v>
      </c>
      <c r="P255" s="246">
        <v>0</v>
      </c>
      <c r="Q255" s="246">
        <v>0</v>
      </c>
      <c r="R255" s="246">
        <f t="shared" si="9"/>
        <v>75.76</v>
      </c>
      <c r="S255" s="223"/>
    </row>
    <row r="256" spans="1:19" s="595" customFormat="1" ht="12.75" hidden="1" outlineLevel="1">
      <c r="A256" s="223" t="s">
        <v>2095</v>
      </c>
      <c r="B256" s="224"/>
      <c r="C256" s="224" t="s">
        <v>2096</v>
      </c>
      <c r="D256" s="224" t="s">
        <v>2097</v>
      </c>
      <c r="E256" s="246">
        <v>304.33</v>
      </c>
      <c r="F256" s="246">
        <v>0</v>
      </c>
      <c r="G256" s="246"/>
      <c r="H256" s="247">
        <v>0</v>
      </c>
      <c r="I256" s="247">
        <v>0</v>
      </c>
      <c r="J256" s="247">
        <v>0</v>
      </c>
      <c r="K256" s="247">
        <v>0</v>
      </c>
      <c r="L256" s="247">
        <v>0</v>
      </c>
      <c r="M256" s="247">
        <v>0</v>
      </c>
      <c r="N256" s="247">
        <v>0</v>
      </c>
      <c r="O256" s="247">
        <v>0</v>
      </c>
      <c r="P256" s="246">
        <v>0</v>
      </c>
      <c r="Q256" s="246">
        <v>0</v>
      </c>
      <c r="R256" s="246">
        <f t="shared" si="9"/>
        <v>304.33</v>
      </c>
      <c r="S256" s="223"/>
    </row>
    <row r="257" spans="1:19" s="595" customFormat="1" ht="12.75" hidden="1" outlineLevel="1">
      <c r="A257" s="223" t="s">
        <v>2098</v>
      </c>
      <c r="B257" s="224"/>
      <c r="C257" s="224" t="s">
        <v>2099</v>
      </c>
      <c r="D257" s="224" t="s">
        <v>2100</v>
      </c>
      <c r="E257" s="246">
        <v>8623.89</v>
      </c>
      <c r="F257" s="246">
        <v>0</v>
      </c>
      <c r="G257" s="246"/>
      <c r="H257" s="247">
        <v>0</v>
      </c>
      <c r="I257" s="247">
        <v>0</v>
      </c>
      <c r="J257" s="247">
        <v>0</v>
      </c>
      <c r="K257" s="247">
        <v>0</v>
      </c>
      <c r="L257" s="247">
        <v>0</v>
      </c>
      <c r="M257" s="247">
        <v>0</v>
      </c>
      <c r="N257" s="247">
        <v>0</v>
      </c>
      <c r="O257" s="247">
        <v>0</v>
      </c>
      <c r="P257" s="246">
        <v>0</v>
      </c>
      <c r="Q257" s="246">
        <v>0</v>
      </c>
      <c r="R257" s="246">
        <f t="shared" si="9"/>
        <v>8623.89</v>
      </c>
      <c r="S257" s="223"/>
    </row>
    <row r="258" spans="1:19" s="595" customFormat="1" ht="12.75" hidden="1" outlineLevel="1">
      <c r="A258" s="223" t="s">
        <v>2101</v>
      </c>
      <c r="B258" s="224"/>
      <c r="C258" s="224" t="s">
        <v>2102</v>
      </c>
      <c r="D258" s="224" t="s">
        <v>2103</v>
      </c>
      <c r="E258" s="246">
        <v>321003.53</v>
      </c>
      <c r="F258" s="246">
        <v>1511</v>
      </c>
      <c r="G258" s="246"/>
      <c r="H258" s="247">
        <v>0</v>
      </c>
      <c r="I258" s="247">
        <v>0</v>
      </c>
      <c r="J258" s="247">
        <v>0</v>
      </c>
      <c r="K258" s="247">
        <v>0</v>
      </c>
      <c r="L258" s="247">
        <v>0</v>
      </c>
      <c r="M258" s="247">
        <v>0</v>
      </c>
      <c r="N258" s="247">
        <v>0</v>
      </c>
      <c r="O258" s="247">
        <v>4755</v>
      </c>
      <c r="P258" s="246">
        <v>4755</v>
      </c>
      <c r="Q258" s="246">
        <v>0</v>
      </c>
      <c r="R258" s="246">
        <f t="shared" si="9"/>
        <v>327269.53</v>
      </c>
      <c r="S258" s="223"/>
    </row>
    <row r="259" spans="1:19" s="595" customFormat="1" ht="12.75" hidden="1" outlineLevel="1">
      <c r="A259" s="223" t="s">
        <v>2104</v>
      </c>
      <c r="B259" s="224"/>
      <c r="C259" s="224" t="s">
        <v>2105</v>
      </c>
      <c r="D259" s="224" t="s">
        <v>2106</v>
      </c>
      <c r="E259" s="246">
        <v>54011.08</v>
      </c>
      <c r="F259" s="246">
        <v>3460</v>
      </c>
      <c r="G259" s="246"/>
      <c r="H259" s="247">
        <v>0</v>
      </c>
      <c r="I259" s="247">
        <v>0</v>
      </c>
      <c r="J259" s="247">
        <v>0</v>
      </c>
      <c r="K259" s="247">
        <v>0</v>
      </c>
      <c r="L259" s="247">
        <v>0</v>
      </c>
      <c r="M259" s="247">
        <v>0</v>
      </c>
      <c r="N259" s="247">
        <v>0</v>
      </c>
      <c r="O259" s="247">
        <v>0</v>
      </c>
      <c r="P259" s="246">
        <v>0</v>
      </c>
      <c r="Q259" s="246">
        <v>0</v>
      </c>
      <c r="R259" s="246">
        <f t="shared" si="9"/>
        <v>57471.08</v>
      </c>
      <c r="S259" s="223"/>
    </row>
    <row r="260" spans="1:19" s="595" customFormat="1" ht="12.75" hidden="1" outlineLevel="1">
      <c r="A260" s="223" t="s">
        <v>2107</v>
      </c>
      <c r="B260" s="224"/>
      <c r="C260" s="224" t="s">
        <v>2108</v>
      </c>
      <c r="D260" s="224" t="s">
        <v>2109</v>
      </c>
      <c r="E260" s="246">
        <v>8694</v>
      </c>
      <c r="F260" s="246">
        <v>50</v>
      </c>
      <c r="G260" s="246"/>
      <c r="H260" s="247">
        <v>0</v>
      </c>
      <c r="I260" s="247">
        <v>0</v>
      </c>
      <c r="J260" s="247">
        <v>0</v>
      </c>
      <c r="K260" s="247">
        <v>0</v>
      </c>
      <c r="L260" s="247">
        <v>0</v>
      </c>
      <c r="M260" s="247">
        <v>0</v>
      </c>
      <c r="N260" s="247">
        <v>0</v>
      </c>
      <c r="O260" s="247">
        <v>0</v>
      </c>
      <c r="P260" s="246">
        <v>0</v>
      </c>
      <c r="Q260" s="246">
        <v>0</v>
      </c>
      <c r="R260" s="246">
        <f t="shared" si="9"/>
        <v>8744</v>
      </c>
      <c r="S260" s="223"/>
    </row>
    <row r="261" spans="1:19" s="595" customFormat="1" ht="12.75" hidden="1" outlineLevel="1">
      <c r="A261" s="223" t="s">
        <v>2110</v>
      </c>
      <c r="B261" s="224"/>
      <c r="C261" s="224" t="s">
        <v>2111</v>
      </c>
      <c r="D261" s="224" t="s">
        <v>2112</v>
      </c>
      <c r="E261" s="246">
        <v>190547.48</v>
      </c>
      <c r="F261" s="246">
        <v>550</v>
      </c>
      <c r="G261" s="246"/>
      <c r="H261" s="247">
        <v>0</v>
      </c>
      <c r="I261" s="247">
        <v>0</v>
      </c>
      <c r="J261" s="247">
        <v>0</v>
      </c>
      <c r="K261" s="247">
        <v>0</v>
      </c>
      <c r="L261" s="247">
        <v>0</v>
      </c>
      <c r="M261" s="247">
        <v>0</v>
      </c>
      <c r="N261" s="247">
        <v>0</v>
      </c>
      <c r="O261" s="247">
        <v>0</v>
      </c>
      <c r="P261" s="246">
        <v>0</v>
      </c>
      <c r="Q261" s="246">
        <v>0</v>
      </c>
      <c r="R261" s="246">
        <f t="shared" si="9"/>
        <v>191097.48</v>
      </c>
      <c r="S261" s="223"/>
    </row>
    <row r="262" spans="1:19" s="595" customFormat="1" ht="12.75" hidden="1" outlineLevel="1">
      <c r="A262" s="223" t="s">
        <v>2113</v>
      </c>
      <c r="B262" s="224"/>
      <c r="C262" s="224" t="s">
        <v>2114</v>
      </c>
      <c r="D262" s="224" t="s">
        <v>2115</v>
      </c>
      <c r="E262" s="246">
        <v>578884.36</v>
      </c>
      <c r="F262" s="246">
        <v>0</v>
      </c>
      <c r="G262" s="246"/>
      <c r="H262" s="247">
        <v>0</v>
      </c>
      <c r="I262" s="247">
        <v>0</v>
      </c>
      <c r="J262" s="247">
        <v>0</v>
      </c>
      <c r="K262" s="247">
        <v>0</v>
      </c>
      <c r="L262" s="247">
        <v>0</v>
      </c>
      <c r="M262" s="247">
        <v>-25</v>
      </c>
      <c r="N262" s="247">
        <v>975</v>
      </c>
      <c r="O262" s="247">
        <v>793.75</v>
      </c>
      <c r="P262" s="246">
        <v>1743.75</v>
      </c>
      <c r="Q262" s="246">
        <v>0</v>
      </c>
      <c r="R262" s="246">
        <f t="shared" si="9"/>
        <v>580628.11</v>
      </c>
      <c r="S262" s="223"/>
    </row>
    <row r="263" spans="1:19" s="595" customFormat="1" ht="12.75" hidden="1" outlineLevel="1">
      <c r="A263" s="223" t="s">
        <v>2116</v>
      </c>
      <c r="B263" s="224"/>
      <c r="C263" s="224" t="s">
        <v>2117</v>
      </c>
      <c r="D263" s="224" t="s">
        <v>2118</v>
      </c>
      <c r="E263" s="246">
        <v>72082.59</v>
      </c>
      <c r="F263" s="246">
        <v>0</v>
      </c>
      <c r="G263" s="246"/>
      <c r="H263" s="247">
        <v>0</v>
      </c>
      <c r="I263" s="247">
        <v>0</v>
      </c>
      <c r="J263" s="247">
        <v>0</v>
      </c>
      <c r="K263" s="247">
        <v>0</v>
      </c>
      <c r="L263" s="247">
        <v>0</v>
      </c>
      <c r="M263" s="247">
        <v>0</v>
      </c>
      <c r="N263" s="247">
        <v>0</v>
      </c>
      <c r="O263" s="247">
        <v>0</v>
      </c>
      <c r="P263" s="246">
        <v>0</v>
      </c>
      <c r="Q263" s="246">
        <v>0</v>
      </c>
      <c r="R263" s="246">
        <f t="shared" si="9"/>
        <v>72082.59</v>
      </c>
      <c r="S263" s="223"/>
    </row>
    <row r="264" spans="1:19" s="595" customFormat="1" ht="12.75" hidden="1" outlineLevel="1">
      <c r="A264" s="223" t="s">
        <v>2119</v>
      </c>
      <c r="B264" s="224"/>
      <c r="C264" s="224" t="s">
        <v>2120</v>
      </c>
      <c r="D264" s="224" t="s">
        <v>2121</v>
      </c>
      <c r="E264" s="246">
        <v>516768.84</v>
      </c>
      <c r="F264" s="246">
        <v>3248.17</v>
      </c>
      <c r="G264" s="246"/>
      <c r="H264" s="247">
        <v>0</v>
      </c>
      <c r="I264" s="247">
        <v>758.99</v>
      </c>
      <c r="J264" s="247">
        <v>0</v>
      </c>
      <c r="K264" s="247">
        <v>0</v>
      </c>
      <c r="L264" s="247">
        <v>0</v>
      </c>
      <c r="M264" s="247">
        <v>0</v>
      </c>
      <c r="N264" s="247">
        <v>0</v>
      </c>
      <c r="O264" s="247">
        <v>2331.46</v>
      </c>
      <c r="P264" s="246">
        <v>3090.45</v>
      </c>
      <c r="Q264" s="246">
        <v>0</v>
      </c>
      <c r="R264" s="246">
        <f t="shared" si="9"/>
        <v>523107.46</v>
      </c>
      <c r="S264" s="223"/>
    </row>
    <row r="265" spans="1:19" s="595" customFormat="1" ht="12.75" hidden="1" outlineLevel="1">
      <c r="A265" s="223" t="s">
        <v>2122</v>
      </c>
      <c r="B265" s="224"/>
      <c r="C265" s="224" t="s">
        <v>2123</v>
      </c>
      <c r="D265" s="224" t="s">
        <v>2124</v>
      </c>
      <c r="E265" s="246">
        <v>521262.88</v>
      </c>
      <c r="F265" s="246">
        <v>520.93</v>
      </c>
      <c r="G265" s="246"/>
      <c r="H265" s="247">
        <v>0</v>
      </c>
      <c r="I265" s="247">
        <v>245</v>
      </c>
      <c r="J265" s="247">
        <v>0</v>
      </c>
      <c r="K265" s="247">
        <v>218</v>
      </c>
      <c r="L265" s="247">
        <v>0</v>
      </c>
      <c r="M265" s="247">
        <v>0</v>
      </c>
      <c r="N265" s="247">
        <v>0</v>
      </c>
      <c r="O265" s="247">
        <v>16625.76</v>
      </c>
      <c r="P265" s="246">
        <v>17088.76</v>
      </c>
      <c r="Q265" s="246">
        <v>0</v>
      </c>
      <c r="R265" s="246">
        <f t="shared" si="9"/>
        <v>538872.57</v>
      </c>
      <c r="S265" s="223"/>
    </row>
    <row r="266" spans="1:19" s="595" customFormat="1" ht="12.75" hidden="1" outlineLevel="1">
      <c r="A266" s="223" t="s">
        <v>2125</v>
      </c>
      <c r="B266" s="224"/>
      <c r="C266" s="224" t="s">
        <v>2126</v>
      </c>
      <c r="D266" s="224" t="s">
        <v>2127</v>
      </c>
      <c r="E266" s="246">
        <v>14808.53</v>
      </c>
      <c r="F266" s="246">
        <v>0</v>
      </c>
      <c r="G266" s="246"/>
      <c r="H266" s="247">
        <v>0</v>
      </c>
      <c r="I266" s="247">
        <v>0</v>
      </c>
      <c r="J266" s="247">
        <v>0</v>
      </c>
      <c r="K266" s="247">
        <v>0</v>
      </c>
      <c r="L266" s="247">
        <v>0</v>
      </c>
      <c r="M266" s="247">
        <v>0</v>
      </c>
      <c r="N266" s="247">
        <v>0</v>
      </c>
      <c r="O266" s="247">
        <v>0</v>
      </c>
      <c r="P266" s="246">
        <v>0</v>
      </c>
      <c r="Q266" s="246">
        <v>0</v>
      </c>
      <c r="R266" s="246">
        <f t="shared" si="9"/>
        <v>14808.53</v>
      </c>
      <c r="S266" s="223"/>
    </row>
    <row r="267" spans="1:19" s="595" customFormat="1" ht="12.75" hidden="1" outlineLevel="1">
      <c r="A267" s="223" t="s">
        <v>915</v>
      </c>
      <c r="B267" s="224"/>
      <c r="C267" s="224" t="s">
        <v>916</v>
      </c>
      <c r="D267" s="224" t="s">
        <v>917</v>
      </c>
      <c r="E267" s="246">
        <v>168.35</v>
      </c>
      <c r="F267" s="246">
        <v>0</v>
      </c>
      <c r="G267" s="246"/>
      <c r="H267" s="247">
        <v>0</v>
      </c>
      <c r="I267" s="247">
        <v>0</v>
      </c>
      <c r="J267" s="247">
        <v>0</v>
      </c>
      <c r="K267" s="247">
        <v>0</v>
      </c>
      <c r="L267" s="247">
        <v>0</v>
      </c>
      <c r="M267" s="247">
        <v>0</v>
      </c>
      <c r="N267" s="247">
        <v>0</v>
      </c>
      <c r="O267" s="247">
        <v>0</v>
      </c>
      <c r="P267" s="246">
        <v>0</v>
      </c>
      <c r="Q267" s="246">
        <v>0</v>
      </c>
      <c r="R267" s="246">
        <f t="shared" si="9"/>
        <v>168.35</v>
      </c>
      <c r="S267" s="223"/>
    </row>
    <row r="268" spans="1:19" s="595" customFormat="1" ht="12.75" hidden="1" outlineLevel="1">
      <c r="A268" s="223" t="s">
        <v>2128</v>
      </c>
      <c r="B268" s="224"/>
      <c r="C268" s="224" t="s">
        <v>2129</v>
      </c>
      <c r="D268" s="224" t="s">
        <v>2130</v>
      </c>
      <c r="E268" s="246">
        <v>27931.64</v>
      </c>
      <c r="F268" s="246">
        <v>104.28</v>
      </c>
      <c r="G268" s="246"/>
      <c r="H268" s="247">
        <v>0</v>
      </c>
      <c r="I268" s="247">
        <v>0</v>
      </c>
      <c r="J268" s="247">
        <v>0</v>
      </c>
      <c r="K268" s="247">
        <v>0</v>
      </c>
      <c r="L268" s="247">
        <v>0</v>
      </c>
      <c r="M268" s="247">
        <v>0</v>
      </c>
      <c r="N268" s="247">
        <v>0</v>
      </c>
      <c r="O268" s="247">
        <v>0</v>
      </c>
      <c r="P268" s="246">
        <v>0</v>
      </c>
      <c r="Q268" s="246">
        <v>0</v>
      </c>
      <c r="R268" s="246">
        <f t="shared" si="9"/>
        <v>28035.92</v>
      </c>
      <c r="S268" s="223"/>
    </row>
    <row r="269" spans="1:19" s="595" customFormat="1" ht="12.75" hidden="1" outlineLevel="1">
      <c r="A269" s="223" t="s">
        <v>2131</v>
      </c>
      <c r="B269" s="224"/>
      <c r="C269" s="224" t="s">
        <v>2132</v>
      </c>
      <c r="D269" s="224" t="s">
        <v>2133</v>
      </c>
      <c r="E269" s="246">
        <v>226726.43</v>
      </c>
      <c r="F269" s="246">
        <v>0</v>
      </c>
      <c r="G269" s="246"/>
      <c r="H269" s="247">
        <v>0</v>
      </c>
      <c r="I269" s="247">
        <v>0</v>
      </c>
      <c r="J269" s="247">
        <v>0</v>
      </c>
      <c r="K269" s="247">
        <v>0</v>
      </c>
      <c r="L269" s="247">
        <v>0</v>
      </c>
      <c r="M269" s="247">
        <v>0</v>
      </c>
      <c r="N269" s="247">
        <v>0</v>
      </c>
      <c r="O269" s="247">
        <v>0</v>
      </c>
      <c r="P269" s="246">
        <v>0</v>
      </c>
      <c r="Q269" s="246">
        <v>0</v>
      </c>
      <c r="R269" s="246">
        <f t="shared" si="9"/>
        <v>226726.43</v>
      </c>
      <c r="S269" s="223"/>
    </row>
    <row r="270" spans="1:19" s="595" customFormat="1" ht="12.75" hidden="1" outlineLevel="1">
      <c r="A270" s="223" t="s">
        <v>2134</v>
      </c>
      <c r="B270" s="224"/>
      <c r="C270" s="224" t="s">
        <v>2135</v>
      </c>
      <c r="D270" s="224" t="s">
        <v>2136</v>
      </c>
      <c r="E270" s="246">
        <v>303180.33</v>
      </c>
      <c r="F270" s="246">
        <v>0</v>
      </c>
      <c r="G270" s="246"/>
      <c r="H270" s="247">
        <v>0</v>
      </c>
      <c r="I270" s="247">
        <v>0</v>
      </c>
      <c r="J270" s="247">
        <v>0</v>
      </c>
      <c r="K270" s="247">
        <v>250</v>
      </c>
      <c r="L270" s="247">
        <v>0</v>
      </c>
      <c r="M270" s="247">
        <v>171601.07</v>
      </c>
      <c r="N270" s="247">
        <v>0</v>
      </c>
      <c r="O270" s="247">
        <v>100267.01</v>
      </c>
      <c r="P270" s="246">
        <v>272118.08</v>
      </c>
      <c r="Q270" s="246">
        <v>0</v>
      </c>
      <c r="R270" s="246">
        <f t="shared" si="9"/>
        <v>575298.41</v>
      </c>
      <c r="S270" s="223"/>
    </row>
    <row r="271" spans="1:19" s="595" customFormat="1" ht="12.75" hidden="1" outlineLevel="1">
      <c r="A271" s="223" t="s">
        <v>2137</v>
      </c>
      <c r="B271" s="224"/>
      <c r="C271" s="224" t="s">
        <v>2138</v>
      </c>
      <c r="D271" s="224" t="s">
        <v>2139</v>
      </c>
      <c r="E271" s="246">
        <v>1635939.72</v>
      </c>
      <c r="F271" s="246">
        <v>11559.8</v>
      </c>
      <c r="G271" s="246"/>
      <c r="H271" s="247">
        <v>0</v>
      </c>
      <c r="I271" s="247">
        <v>5476</v>
      </c>
      <c r="J271" s="247">
        <v>0</v>
      </c>
      <c r="K271" s="247">
        <v>0</v>
      </c>
      <c r="L271" s="247">
        <v>0</v>
      </c>
      <c r="M271" s="247">
        <v>0</v>
      </c>
      <c r="N271" s="247">
        <v>0</v>
      </c>
      <c r="O271" s="247">
        <v>34919.7</v>
      </c>
      <c r="P271" s="246">
        <v>40395.7</v>
      </c>
      <c r="Q271" s="246">
        <v>0</v>
      </c>
      <c r="R271" s="246">
        <f t="shared" si="9"/>
        <v>1687895.22</v>
      </c>
      <c r="S271" s="223"/>
    </row>
    <row r="272" spans="1:19" s="595" customFormat="1" ht="12.75" hidden="1" outlineLevel="1">
      <c r="A272" s="223" t="s">
        <v>2140</v>
      </c>
      <c r="B272" s="224"/>
      <c r="C272" s="224" t="s">
        <v>2141</v>
      </c>
      <c r="D272" s="224" t="s">
        <v>2142</v>
      </c>
      <c r="E272" s="246">
        <v>29912.89</v>
      </c>
      <c r="F272" s="246">
        <v>0</v>
      </c>
      <c r="G272" s="246"/>
      <c r="H272" s="247">
        <v>0</v>
      </c>
      <c r="I272" s="247">
        <v>0</v>
      </c>
      <c r="J272" s="247">
        <v>0</v>
      </c>
      <c r="K272" s="247">
        <v>0</v>
      </c>
      <c r="L272" s="247">
        <v>0</v>
      </c>
      <c r="M272" s="247">
        <v>0</v>
      </c>
      <c r="N272" s="247">
        <v>0</v>
      </c>
      <c r="O272" s="247">
        <v>2537.85</v>
      </c>
      <c r="P272" s="246">
        <v>2537.85</v>
      </c>
      <c r="Q272" s="246">
        <v>0</v>
      </c>
      <c r="R272" s="246">
        <f t="shared" si="9"/>
        <v>32450.739999999998</v>
      </c>
      <c r="S272" s="223"/>
    </row>
    <row r="273" spans="1:19" s="595" customFormat="1" ht="12.75" hidden="1" outlineLevel="1">
      <c r="A273" s="223" t="s">
        <v>2143</v>
      </c>
      <c r="B273" s="224"/>
      <c r="C273" s="224" t="s">
        <v>2144</v>
      </c>
      <c r="D273" s="224" t="s">
        <v>2145</v>
      </c>
      <c r="E273" s="246">
        <v>495030.28</v>
      </c>
      <c r="F273" s="246">
        <v>1664.1</v>
      </c>
      <c r="G273" s="246"/>
      <c r="H273" s="247">
        <v>0</v>
      </c>
      <c r="I273" s="247">
        <v>0</v>
      </c>
      <c r="J273" s="247">
        <v>0</v>
      </c>
      <c r="K273" s="247">
        <v>0</v>
      </c>
      <c r="L273" s="247">
        <v>0</v>
      </c>
      <c r="M273" s="247">
        <v>0</v>
      </c>
      <c r="N273" s="247">
        <v>0</v>
      </c>
      <c r="O273" s="247">
        <v>5379.6</v>
      </c>
      <c r="P273" s="246">
        <v>5379.6</v>
      </c>
      <c r="Q273" s="246">
        <v>0</v>
      </c>
      <c r="R273" s="246">
        <f t="shared" si="9"/>
        <v>502073.98</v>
      </c>
      <c r="S273" s="223"/>
    </row>
    <row r="274" spans="1:19" s="595" customFormat="1" ht="12.75" hidden="1" outlineLevel="1">
      <c r="A274" s="223" t="s">
        <v>2146</v>
      </c>
      <c r="B274" s="224"/>
      <c r="C274" s="224" t="s">
        <v>2147</v>
      </c>
      <c r="D274" s="224" t="s">
        <v>2148</v>
      </c>
      <c r="E274" s="246">
        <v>41689.52</v>
      </c>
      <c r="F274" s="246">
        <v>0</v>
      </c>
      <c r="G274" s="246"/>
      <c r="H274" s="247">
        <v>0</v>
      </c>
      <c r="I274" s="247">
        <v>0</v>
      </c>
      <c r="J274" s="247">
        <v>0</v>
      </c>
      <c r="K274" s="247">
        <v>0</v>
      </c>
      <c r="L274" s="247">
        <v>0</v>
      </c>
      <c r="M274" s="247">
        <v>0</v>
      </c>
      <c r="N274" s="247">
        <v>0</v>
      </c>
      <c r="O274" s="247">
        <v>0</v>
      </c>
      <c r="P274" s="246">
        <v>0</v>
      </c>
      <c r="Q274" s="246">
        <v>0</v>
      </c>
      <c r="R274" s="246">
        <f t="shared" si="9"/>
        <v>41689.52</v>
      </c>
      <c r="S274" s="223"/>
    </row>
    <row r="275" spans="1:19" s="595" customFormat="1" ht="12.75" hidden="1" outlineLevel="1">
      <c r="A275" s="223" t="s">
        <v>2149</v>
      </c>
      <c r="B275" s="224"/>
      <c r="C275" s="224" t="s">
        <v>2150</v>
      </c>
      <c r="D275" s="224" t="s">
        <v>2151</v>
      </c>
      <c r="E275" s="246">
        <v>53716.54</v>
      </c>
      <c r="F275" s="246">
        <v>0</v>
      </c>
      <c r="G275" s="246"/>
      <c r="H275" s="247">
        <v>0</v>
      </c>
      <c r="I275" s="247">
        <v>0</v>
      </c>
      <c r="J275" s="247">
        <v>0</v>
      </c>
      <c r="K275" s="247">
        <v>0</v>
      </c>
      <c r="L275" s="247">
        <v>0</v>
      </c>
      <c r="M275" s="247">
        <v>0</v>
      </c>
      <c r="N275" s="247">
        <v>0</v>
      </c>
      <c r="O275" s="247">
        <v>0</v>
      </c>
      <c r="P275" s="246">
        <v>0</v>
      </c>
      <c r="Q275" s="246">
        <v>0</v>
      </c>
      <c r="R275" s="246">
        <f t="shared" si="9"/>
        <v>53716.54</v>
      </c>
      <c r="S275" s="223"/>
    </row>
    <row r="276" spans="1:19" s="595" customFormat="1" ht="12.75" hidden="1" outlineLevel="1">
      <c r="A276" s="223" t="s">
        <v>2152</v>
      </c>
      <c r="B276" s="224"/>
      <c r="C276" s="224" t="s">
        <v>2153</v>
      </c>
      <c r="D276" s="224" t="s">
        <v>2154</v>
      </c>
      <c r="E276" s="246">
        <v>144336.33</v>
      </c>
      <c r="F276" s="246">
        <v>0</v>
      </c>
      <c r="G276" s="246"/>
      <c r="H276" s="247">
        <v>0</v>
      </c>
      <c r="I276" s="247">
        <v>157.2</v>
      </c>
      <c r="J276" s="247">
        <v>0</v>
      </c>
      <c r="K276" s="247">
        <v>0</v>
      </c>
      <c r="L276" s="247">
        <v>0</v>
      </c>
      <c r="M276" s="247">
        <v>0</v>
      </c>
      <c r="N276" s="247">
        <v>0</v>
      </c>
      <c r="O276" s="247">
        <v>29.39</v>
      </c>
      <c r="P276" s="246">
        <v>186.59</v>
      </c>
      <c r="Q276" s="246">
        <v>0</v>
      </c>
      <c r="R276" s="246">
        <f t="shared" si="9"/>
        <v>144522.91999999998</v>
      </c>
      <c r="S276" s="223"/>
    </row>
    <row r="277" spans="1:19" s="595" customFormat="1" ht="12.75" hidden="1" outlineLevel="1">
      <c r="A277" s="223" t="s">
        <v>918</v>
      </c>
      <c r="B277" s="224"/>
      <c r="C277" s="224" t="s">
        <v>919</v>
      </c>
      <c r="D277" s="224" t="s">
        <v>920</v>
      </c>
      <c r="E277" s="246">
        <v>1050</v>
      </c>
      <c r="F277" s="246">
        <v>0</v>
      </c>
      <c r="G277" s="246"/>
      <c r="H277" s="247">
        <v>0</v>
      </c>
      <c r="I277" s="247">
        <v>0</v>
      </c>
      <c r="J277" s="247">
        <v>0</v>
      </c>
      <c r="K277" s="247">
        <v>0</v>
      </c>
      <c r="L277" s="247">
        <v>0</v>
      </c>
      <c r="M277" s="247">
        <v>0</v>
      </c>
      <c r="N277" s="247">
        <v>0</v>
      </c>
      <c r="O277" s="247">
        <v>0</v>
      </c>
      <c r="P277" s="246">
        <v>0</v>
      </c>
      <c r="Q277" s="246">
        <v>0</v>
      </c>
      <c r="R277" s="246">
        <f t="shared" si="9"/>
        <v>1050</v>
      </c>
      <c r="S277" s="223"/>
    </row>
    <row r="278" spans="1:19" s="595" customFormat="1" ht="12.75" hidden="1" outlineLevel="1">
      <c r="A278" s="223" t="s">
        <v>921</v>
      </c>
      <c r="B278" s="224"/>
      <c r="C278" s="224" t="s">
        <v>922</v>
      </c>
      <c r="D278" s="224" t="s">
        <v>923</v>
      </c>
      <c r="E278" s="246">
        <v>240</v>
      </c>
      <c r="F278" s="246">
        <v>0</v>
      </c>
      <c r="G278" s="246"/>
      <c r="H278" s="247">
        <v>0</v>
      </c>
      <c r="I278" s="247">
        <v>0</v>
      </c>
      <c r="J278" s="247">
        <v>0</v>
      </c>
      <c r="K278" s="247">
        <v>0</v>
      </c>
      <c r="L278" s="247">
        <v>0</v>
      </c>
      <c r="M278" s="247">
        <v>0</v>
      </c>
      <c r="N278" s="247">
        <v>0</v>
      </c>
      <c r="O278" s="247">
        <v>95.7</v>
      </c>
      <c r="P278" s="246">
        <v>95.7</v>
      </c>
      <c r="Q278" s="246">
        <v>0</v>
      </c>
      <c r="R278" s="246">
        <f t="shared" si="9"/>
        <v>335.7</v>
      </c>
      <c r="S278" s="223"/>
    </row>
    <row r="279" spans="1:19" s="595" customFormat="1" ht="12.75" hidden="1" outlineLevel="1">
      <c r="A279" s="223" t="s">
        <v>2158</v>
      </c>
      <c r="B279" s="224"/>
      <c r="C279" s="224" t="s">
        <v>2159</v>
      </c>
      <c r="D279" s="224" t="s">
        <v>2160</v>
      </c>
      <c r="E279" s="246">
        <v>19340.18</v>
      </c>
      <c r="F279" s="246">
        <v>853.42</v>
      </c>
      <c r="G279" s="246"/>
      <c r="H279" s="247">
        <v>9815.15</v>
      </c>
      <c r="I279" s="247">
        <v>0</v>
      </c>
      <c r="J279" s="247">
        <v>0</v>
      </c>
      <c r="K279" s="247">
        <v>0</v>
      </c>
      <c r="L279" s="247">
        <v>0</v>
      </c>
      <c r="M279" s="247">
        <v>9119.6</v>
      </c>
      <c r="N279" s="247">
        <v>0</v>
      </c>
      <c r="O279" s="247">
        <v>0</v>
      </c>
      <c r="P279" s="246">
        <v>18934.75</v>
      </c>
      <c r="Q279" s="246">
        <v>0</v>
      </c>
      <c r="R279" s="246">
        <f t="shared" si="9"/>
        <v>39128.35</v>
      </c>
      <c r="S279" s="223"/>
    </row>
    <row r="280" spans="1:19" s="595" customFormat="1" ht="12.75" hidden="1" outlineLevel="1">
      <c r="A280" s="223" t="s">
        <v>2161</v>
      </c>
      <c r="B280" s="224"/>
      <c r="C280" s="224" t="s">
        <v>2162</v>
      </c>
      <c r="D280" s="224" t="s">
        <v>2163</v>
      </c>
      <c r="E280" s="246">
        <v>3879</v>
      </c>
      <c r="F280" s="246">
        <v>0</v>
      </c>
      <c r="G280" s="246"/>
      <c r="H280" s="247">
        <v>0</v>
      </c>
      <c r="I280" s="247">
        <v>0</v>
      </c>
      <c r="J280" s="247">
        <v>0</v>
      </c>
      <c r="K280" s="247">
        <v>0</v>
      </c>
      <c r="L280" s="247">
        <v>0</v>
      </c>
      <c r="M280" s="247">
        <v>0</v>
      </c>
      <c r="N280" s="247">
        <v>0</v>
      </c>
      <c r="O280" s="247">
        <v>0</v>
      </c>
      <c r="P280" s="246">
        <v>0</v>
      </c>
      <c r="Q280" s="246">
        <v>0</v>
      </c>
      <c r="R280" s="246">
        <f t="shared" si="9"/>
        <v>3879</v>
      </c>
      <c r="S280" s="223"/>
    </row>
    <row r="281" spans="1:19" s="595" customFormat="1" ht="12.75" hidden="1" outlineLevel="1">
      <c r="A281" s="223" t="s">
        <v>2164</v>
      </c>
      <c r="B281" s="224"/>
      <c r="C281" s="224" t="s">
        <v>2165</v>
      </c>
      <c r="D281" s="224" t="s">
        <v>2166</v>
      </c>
      <c r="E281" s="246">
        <v>626103.9</v>
      </c>
      <c r="F281" s="246">
        <v>-7143.65</v>
      </c>
      <c r="G281" s="246"/>
      <c r="H281" s="247">
        <v>6825</v>
      </c>
      <c r="I281" s="247">
        <v>960</v>
      </c>
      <c r="J281" s="247">
        <v>2900</v>
      </c>
      <c r="K281" s="247">
        <v>174</v>
      </c>
      <c r="L281" s="247">
        <v>-26000</v>
      </c>
      <c r="M281" s="247">
        <v>0</v>
      </c>
      <c r="N281" s="247">
        <v>694.5</v>
      </c>
      <c r="O281" s="247">
        <v>-8482.22</v>
      </c>
      <c r="P281" s="246">
        <v>-22928.72</v>
      </c>
      <c r="Q281" s="246">
        <v>0</v>
      </c>
      <c r="R281" s="246">
        <f t="shared" si="9"/>
        <v>596031.53</v>
      </c>
      <c r="S281" s="223"/>
    </row>
    <row r="282" spans="1:19" s="595" customFormat="1" ht="12.75" hidden="1" outlineLevel="1">
      <c r="A282" s="223" t="s">
        <v>2170</v>
      </c>
      <c r="B282" s="224"/>
      <c r="C282" s="224" t="s">
        <v>2171</v>
      </c>
      <c r="D282" s="224" t="s">
        <v>2172</v>
      </c>
      <c r="E282" s="246">
        <v>540</v>
      </c>
      <c r="F282" s="246">
        <v>0</v>
      </c>
      <c r="G282" s="246"/>
      <c r="H282" s="247">
        <v>0</v>
      </c>
      <c r="I282" s="247">
        <v>0</v>
      </c>
      <c r="J282" s="247">
        <v>0</v>
      </c>
      <c r="K282" s="247">
        <v>0</v>
      </c>
      <c r="L282" s="247">
        <v>0</v>
      </c>
      <c r="M282" s="247">
        <v>0</v>
      </c>
      <c r="N282" s="247">
        <v>0</v>
      </c>
      <c r="O282" s="247">
        <v>0</v>
      </c>
      <c r="P282" s="246">
        <v>0</v>
      </c>
      <c r="Q282" s="246">
        <v>0</v>
      </c>
      <c r="R282" s="246">
        <f t="shared" si="9"/>
        <v>540</v>
      </c>
      <c r="S282" s="223"/>
    </row>
    <row r="283" spans="1:19" s="595" customFormat="1" ht="12.75" hidden="1" outlineLevel="1">
      <c r="A283" s="223" t="s">
        <v>2173</v>
      </c>
      <c r="B283" s="224"/>
      <c r="C283" s="224" t="s">
        <v>2174</v>
      </c>
      <c r="D283" s="224" t="s">
        <v>2175</v>
      </c>
      <c r="E283" s="246">
        <v>100</v>
      </c>
      <c r="F283" s="246">
        <v>0</v>
      </c>
      <c r="G283" s="246"/>
      <c r="H283" s="247">
        <v>0</v>
      </c>
      <c r="I283" s="247">
        <v>0</v>
      </c>
      <c r="J283" s="247">
        <v>0</v>
      </c>
      <c r="K283" s="247">
        <v>0</v>
      </c>
      <c r="L283" s="247">
        <v>0</v>
      </c>
      <c r="M283" s="247">
        <v>0</v>
      </c>
      <c r="N283" s="247">
        <v>0</v>
      </c>
      <c r="O283" s="247">
        <v>0</v>
      </c>
      <c r="P283" s="246">
        <v>0</v>
      </c>
      <c r="Q283" s="246">
        <v>0</v>
      </c>
      <c r="R283" s="246">
        <f t="shared" si="9"/>
        <v>100</v>
      </c>
      <c r="S283" s="223"/>
    </row>
    <row r="284" spans="1:19" s="595" customFormat="1" ht="12.75" hidden="1" outlineLevel="1">
      <c r="A284" s="223" t="s">
        <v>2179</v>
      </c>
      <c r="B284" s="224"/>
      <c r="C284" s="224" t="s">
        <v>2180</v>
      </c>
      <c r="D284" s="224" t="s">
        <v>2181</v>
      </c>
      <c r="E284" s="246">
        <v>9814.67</v>
      </c>
      <c r="F284" s="246">
        <v>0</v>
      </c>
      <c r="G284" s="246"/>
      <c r="H284" s="247">
        <v>12.81</v>
      </c>
      <c r="I284" s="247">
        <v>0</v>
      </c>
      <c r="J284" s="247">
        <v>0</v>
      </c>
      <c r="K284" s="247">
        <v>0</v>
      </c>
      <c r="L284" s="247">
        <v>0</v>
      </c>
      <c r="M284" s="247">
        <v>0</v>
      </c>
      <c r="N284" s="247">
        <v>0</v>
      </c>
      <c r="O284" s="247">
        <v>0</v>
      </c>
      <c r="P284" s="246">
        <v>12.81</v>
      </c>
      <c r="Q284" s="246">
        <v>0</v>
      </c>
      <c r="R284" s="246">
        <f t="shared" si="9"/>
        <v>9827.48</v>
      </c>
      <c r="S284" s="223"/>
    </row>
    <row r="285" spans="1:19" s="595" customFormat="1" ht="12.75" hidden="1" outlineLevel="1">
      <c r="A285" s="223" t="s">
        <v>2188</v>
      </c>
      <c r="B285" s="224"/>
      <c r="C285" s="224" t="s">
        <v>2189</v>
      </c>
      <c r="D285" s="224" t="s">
        <v>2190</v>
      </c>
      <c r="E285" s="246">
        <v>-3801.71</v>
      </c>
      <c r="F285" s="246">
        <v>1000</v>
      </c>
      <c r="G285" s="246"/>
      <c r="H285" s="247">
        <v>0</v>
      </c>
      <c r="I285" s="247">
        <v>0</v>
      </c>
      <c r="J285" s="247">
        <v>0</v>
      </c>
      <c r="K285" s="247">
        <v>0</v>
      </c>
      <c r="L285" s="247">
        <v>0</v>
      </c>
      <c r="M285" s="247">
        <v>0</v>
      </c>
      <c r="N285" s="247">
        <v>0</v>
      </c>
      <c r="O285" s="247">
        <v>0</v>
      </c>
      <c r="P285" s="246">
        <v>0</v>
      </c>
      <c r="Q285" s="246">
        <v>0</v>
      </c>
      <c r="R285" s="246">
        <f t="shared" si="9"/>
        <v>-2801.71</v>
      </c>
      <c r="S285" s="223"/>
    </row>
    <row r="286" spans="1:19" s="595" customFormat="1" ht="12.75" hidden="1" outlineLevel="1">
      <c r="A286" s="223" t="s">
        <v>930</v>
      </c>
      <c r="B286" s="224"/>
      <c r="C286" s="224" t="s">
        <v>931</v>
      </c>
      <c r="D286" s="224" t="s">
        <v>932</v>
      </c>
      <c r="E286" s="246">
        <v>29496.76</v>
      </c>
      <c r="F286" s="246">
        <v>0</v>
      </c>
      <c r="G286" s="246"/>
      <c r="H286" s="247">
        <v>0</v>
      </c>
      <c r="I286" s="247">
        <v>0</v>
      </c>
      <c r="J286" s="247">
        <v>0</v>
      </c>
      <c r="K286" s="247">
        <v>0</v>
      </c>
      <c r="L286" s="247">
        <v>0</v>
      </c>
      <c r="M286" s="247">
        <v>0</v>
      </c>
      <c r="N286" s="247">
        <v>0</v>
      </c>
      <c r="O286" s="247">
        <v>225</v>
      </c>
      <c r="P286" s="246">
        <v>225</v>
      </c>
      <c r="Q286" s="246">
        <v>0</v>
      </c>
      <c r="R286" s="246">
        <f t="shared" si="9"/>
        <v>29721.76</v>
      </c>
      <c r="S286" s="223"/>
    </row>
    <row r="287" spans="1:19" s="595" customFormat="1" ht="12.75" hidden="1" outlineLevel="1">
      <c r="A287" s="223" t="s">
        <v>2191</v>
      </c>
      <c r="B287" s="224"/>
      <c r="C287" s="224" t="s">
        <v>2192</v>
      </c>
      <c r="D287" s="224" t="s">
        <v>2193</v>
      </c>
      <c r="E287" s="246">
        <v>-131783</v>
      </c>
      <c r="F287" s="246">
        <v>3372</v>
      </c>
      <c r="G287" s="246"/>
      <c r="H287" s="247">
        <v>0</v>
      </c>
      <c r="I287" s="247">
        <v>0</v>
      </c>
      <c r="J287" s="247">
        <v>0</v>
      </c>
      <c r="K287" s="247">
        <v>0</v>
      </c>
      <c r="L287" s="247">
        <v>0</v>
      </c>
      <c r="M287" s="247">
        <v>0</v>
      </c>
      <c r="N287" s="247">
        <v>0</v>
      </c>
      <c r="O287" s="247">
        <v>11544</v>
      </c>
      <c r="P287" s="246">
        <v>11544</v>
      </c>
      <c r="Q287" s="246">
        <v>0</v>
      </c>
      <c r="R287" s="246">
        <f t="shared" si="9"/>
        <v>-116867</v>
      </c>
      <c r="S287" s="223"/>
    </row>
    <row r="288" spans="1:19" s="595" customFormat="1" ht="12.75" hidden="1" outlineLevel="1">
      <c r="A288" s="223" t="s">
        <v>933</v>
      </c>
      <c r="B288" s="224"/>
      <c r="C288" s="224" t="s">
        <v>934</v>
      </c>
      <c r="D288" s="224" t="s">
        <v>935</v>
      </c>
      <c r="E288" s="246">
        <v>12.57</v>
      </c>
      <c r="F288" s="246">
        <v>0</v>
      </c>
      <c r="G288" s="246"/>
      <c r="H288" s="247">
        <v>0</v>
      </c>
      <c r="I288" s="247">
        <v>0</v>
      </c>
      <c r="J288" s="247">
        <v>0</v>
      </c>
      <c r="K288" s="247">
        <v>0</v>
      </c>
      <c r="L288" s="247">
        <v>0</v>
      </c>
      <c r="M288" s="247">
        <v>0</v>
      </c>
      <c r="N288" s="247">
        <v>0</v>
      </c>
      <c r="O288" s="247">
        <v>0</v>
      </c>
      <c r="P288" s="246">
        <v>0</v>
      </c>
      <c r="Q288" s="246">
        <v>0</v>
      </c>
      <c r="R288" s="246">
        <f t="shared" si="9"/>
        <v>12.57</v>
      </c>
      <c r="S288" s="223"/>
    </row>
    <row r="289" spans="1:19" s="595" customFormat="1" ht="12.75" hidden="1" outlineLevel="1">
      <c r="A289" s="223" t="s">
        <v>2194</v>
      </c>
      <c r="B289" s="224"/>
      <c r="C289" s="224" t="s">
        <v>2195</v>
      </c>
      <c r="D289" s="224" t="s">
        <v>2196</v>
      </c>
      <c r="E289" s="246">
        <v>1060258.1</v>
      </c>
      <c r="F289" s="246">
        <v>16891.71</v>
      </c>
      <c r="G289" s="246"/>
      <c r="H289" s="247">
        <v>0</v>
      </c>
      <c r="I289" s="247">
        <v>0</v>
      </c>
      <c r="J289" s="247">
        <v>0</v>
      </c>
      <c r="K289" s="247">
        <v>0</v>
      </c>
      <c r="L289" s="247">
        <v>0</v>
      </c>
      <c r="M289" s="247">
        <v>0</v>
      </c>
      <c r="N289" s="247">
        <v>0</v>
      </c>
      <c r="O289" s="247">
        <v>1717.4</v>
      </c>
      <c r="P289" s="246">
        <v>1717.4</v>
      </c>
      <c r="Q289" s="246">
        <v>0</v>
      </c>
      <c r="R289" s="246">
        <f t="shared" si="9"/>
        <v>1078867.21</v>
      </c>
      <c r="S289" s="223"/>
    </row>
    <row r="290" spans="1:19" s="595" customFormat="1" ht="12.75" hidden="1" outlineLevel="1">
      <c r="A290" s="223" t="s">
        <v>2197</v>
      </c>
      <c r="B290" s="224"/>
      <c r="C290" s="224" t="s">
        <v>2198</v>
      </c>
      <c r="D290" s="224" t="s">
        <v>2199</v>
      </c>
      <c r="E290" s="246">
        <v>1274239.4</v>
      </c>
      <c r="F290" s="246">
        <v>2500</v>
      </c>
      <c r="G290" s="246"/>
      <c r="H290" s="247">
        <v>0</v>
      </c>
      <c r="I290" s="247">
        <v>0</v>
      </c>
      <c r="J290" s="247">
        <v>0</v>
      </c>
      <c r="K290" s="247">
        <v>0</v>
      </c>
      <c r="L290" s="247">
        <v>0</v>
      </c>
      <c r="M290" s="247">
        <v>264</v>
      </c>
      <c r="N290" s="247">
        <v>0</v>
      </c>
      <c r="O290" s="247">
        <v>82900.5</v>
      </c>
      <c r="P290" s="246">
        <v>83164.5</v>
      </c>
      <c r="Q290" s="246">
        <v>0</v>
      </c>
      <c r="R290" s="246">
        <f t="shared" si="9"/>
        <v>1359903.9</v>
      </c>
      <c r="S290" s="223"/>
    </row>
    <row r="291" spans="1:19" s="595" customFormat="1" ht="12.75" hidden="1" outlineLevel="1">
      <c r="A291" s="223" t="s">
        <v>2200</v>
      </c>
      <c r="B291" s="224"/>
      <c r="C291" s="224" t="s">
        <v>2201</v>
      </c>
      <c r="D291" s="224" t="s">
        <v>2202</v>
      </c>
      <c r="E291" s="246">
        <v>20191.43</v>
      </c>
      <c r="F291" s="246">
        <v>479.98</v>
      </c>
      <c r="G291" s="246"/>
      <c r="H291" s="247">
        <v>0</v>
      </c>
      <c r="I291" s="247">
        <v>0</v>
      </c>
      <c r="J291" s="247">
        <v>0</v>
      </c>
      <c r="K291" s="247">
        <v>0</v>
      </c>
      <c r="L291" s="247">
        <v>0</v>
      </c>
      <c r="M291" s="247">
        <v>0</v>
      </c>
      <c r="N291" s="247">
        <v>0</v>
      </c>
      <c r="O291" s="247">
        <v>756</v>
      </c>
      <c r="P291" s="246">
        <v>756</v>
      </c>
      <c r="Q291" s="246">
        <v>0</v>
      </c>
      <c r="R291" s="246">
        <f t="shared" si="9"/>
        <v>21427.41</v>
      </c>
      <c r="S291" s="223"/>
    </row>
    <row r="292" spans="1:19" s="595" customFormat="1" ht="12.75" hidden="1" outlineLevel="1">
      <c r="A292" s="223" t="s">
        <v>2206</v>
      </c>
      <c r="B292" s="224"/>
      <c r="C292" s="224" t="s">
        <v>2207</v>
      </c>
      <c r="D292" s="224" t="s">
        <v>2208</v>
      </c>
      <c r="E292" s="246">
        <v>67738.24</v>
      </c>
      <c r="F292" s="246">
        <v>0</v>
      </c>
      <c r="G292" s="246"/>
      <c r="H292" s="247">
        <v>0</v>
      </c>
      <c r="I292" s="247">
        <v>0</v>
      </c>
      <c r="J292" s="247">
        <v>0</v>
      </c>
      <c r="K292" s="247">
        <v>0</v>
      </c>
      <c r="L292" s="247">
        <v>0</v>
      </c>
      <c r="M292" s="247">
        <v>0</v>
      </c>
      <c r="N292" s="247">
        <v>0</v>
      </c>
      <c r="O292" s="247">
        <v>0</v>
      </c>
      <c r="P292" s="246">
        <v>0</v>
      </c>
      <c r="Q292" s="246">
        <v>0</v>
      </c>
      <c r="R292" s="246">
        <f t="shared" si="9"/>
        <v>67738.24</v>
      </c>
      <c r="S292" s="223"/>
    </row>
    <row r="293" spans="1:19" s="595" customFormat="1" ht="12.75" hidden="1" outlineLevel="1">
      <c r="A293" s="223" t="s">
        <v>2209</v>
      </c>
      <c r="B293" s="224"/>
      <c r="C293" s="224" t="s">
        <v>2210</v>
      </c>
      <c r="D293" s="224" t="s">
        <v>2211</v>
      </c>
      <c r="E293" s="246">
        <v>74855.43</v>
      </c>
      <c r="F293" s="246">
        <v>506</v>
      </c>
      <c r="G293" s="246"/>
      <c r="H293" s="247">
        <v>398.75</v>
      </c>
      <c r="I293" s="247">
        <v>55</v>
      </c>
      <c r="J293" s="247">
        <v>0</v>
      </c>
      <c r="K293" s="247">
        <v>610.5</v>
      </c>
      <c r="L293" s="247">
        <v>0</v>
      </c>
      <c r="M293" s="247">
        <v>0</v>
      </c>
      <c r="N293" s="247">
        <v>38044.47</v>
      </c>
      <c r="O293" s="247">
        <v>1012</v>
      </c>
      <c r="P293" s="246">
        <v>40120.72</v>
      </c>
      <c r="Q293" s="246">
        <v>0</v>
      </c>
      <c r="R293" s="246">
        <f t="shared" si="9"/>
        <v>115482.15</v>
      </c>
      <c r="S293" s="223"/>
    </row>
    <row r="294" spans="1:19" s="595" customFormat="1" ht="12.75" hidden="1" outlineLevel="1">
      <c r="A294" s="223" t="s">
        <v>2212</v>
      </c>
      <c r="B294" s="224"/>
      <c r="C294" s="224" t="s">
        <v>2213</v>
      </c>
      <c r="D294" s="224" t="s">
        <v>2214</v>
      </c>
      <c r="E294" s="246">
        <v>10692.1</v>
      </c>
      <c r="F294" s="246">
        <v>64.31</v>
      </c>
      <c r="G294" s="246"/>
      <c r="H294" s="247">
        <v>0</v>
      </c>
      <c r="I294" s="247">
        <v>0</v>
      </c>
      <c r="J294" s="247">
        <v>0</v>
      </c>
      <c r="K294" s="247">
        <v>82.35</v>
      </c>
      <c r="L294" s="247">
        <v>0</v>
      </c>
      <c r="M294" s="247">
        <v>0</v>
      </c>
      <c r="N294" s="247">
        <v>0</v>
      </c>
      <c r="O294" s="247">
        <v>150.7</v>
      </c>
      <c r="P294" s="246">
        <v>233.05</v>
      </c>
      <c r="Q294" s="246">
        <v>0</v>
      </c>
      <c r="R294" s="246">
        <f t="shared" si="9"/>
        <v>10989.46</v>
      </c>
      <c r="S294" s="223"/>
    </row>
    <row r="295" spans="1:19" s="595" customFormat="1" ht="12.75" hidden="1" outlineLevel="1">
      <c r="A295" s="223" t="s">
        <v>2215</v>
      </c>
      <c r="B295" s="224"/>
      <c r="C295" s="224" t="s">
        <v>2216</v>
      </c>
      <c r="D295" s="224" t="s">
        <v>2217</v>
      </c>
      <c r="E295" s="246">
        <v>5313.87</v>
      </c>
      <c r="F295" s="246">
        <v>0</v>
      </c>
      <c r="G295" s="246"/>
      <c r="H295" s="247">
        <v>0</v>
      </c>
      <c r="I295" s="247">
        <v>0</v>
      </c>
      <c r="J295" s="247">
        <v>0</v>
      </c>
      <c r="K295" s="247">
        <v>0</v>
      </c>
      <c r="L295" s="247">
        <v>0</v>
      </c>
      <c r="M295" s="247">
        <v>0</v>
      </c>
      <c r="N295" s="247">
        <v>0</v>
      </c>
      <c r="O295" s="247">
        <v>0</v>
      </c>
      <c r="P295" s="246">
        <v>0</v>
      </c>
      <c r="Q295" s="246">
        <v>0</v>
      </c>
      <c r="R295" s="246">
        <f t="shared" si="9"/>
        <v>5313.87</v>
      </c>
      <c r="S295" s="223"/>
    </row>
    <row r="296" spans="1:19" s="595" customFormat="1" ht="12.75" hidden="1" outlineLevel="1">
      <c r="A296" s="223" t="s">
        <v>2224</v>
      </c>
      <c r="B296" s="224"/>
      <c r="C296" s="224" t="s">
        <v>2225</v>
      </c>
      <c r="D296" s="224" t="s">
        <v>2226</v>
      </c>
      <c r="E296" s="246">
        <v>1074.85</v>
      </c>
      <c r="F296" s="246">
        <v>0</v>
      </c>
      <c r="G296" s="246"/>
      <c r="H296" s="247">
        <v>0</v>
      </c>
      <c r="I296" s="247">
        <v>0</v>
      </c>
      <c r="J296" s="247">
        <v>0</v>
      </c>
      <c r="K296" s="247">
        <v>0</v>
      </c>
      <c r="L296" s="247">
        <v>0</v>
      </c>
      <c r="M296" s="247">
        <v>0</v>
      </c>
      <c r="N296" s="247">
        <v>0</v>
      </c>
      <c r="O296" s="247">
        <v>4453.89</v>
      </c>
      <c r="P296" s="246">
        <v>4453.89</v>
      </c>
      <c r="Q296" s="246">
        <v>0</v>
      </c>
      <c r="R296" s="246">
        <f t="shared" si="9"/>
        <v>5528.74</v>
      </c>
      <c r="S296" s="223"/>
    </row>
    <row r="297" spans="1:19" s="595" customFormat="1" ht="12.75" hidden="1" outlineLevel="1">
      <c r="A297" s="223" t="s">
        <v>2227</v>
      </c>
      <c r="B297" s="224"/>
      <c r="C297" s="224" t="s">
        <v>2228</v>
      </c>
      <c r="D297" s="224" t="s">
        <v>2229</v>
      </c>
      <c r="E297" s="246">
        <v>165987.73</v>
      </c>
      <c r="F297" s="246">
        <v>6499.97</v>
      </c>
      <c r="G297" s="246"/>
      <c r="H297" s="247">
        <v>0</v>
      </c>
      <c r="I297" s="247">
        <v>0</v>
      </c>
      <c r="J297" s="247">
        <v>0</v>
      </c>
      <c r="K297" s="247">
        <v>0</v>
      </c>
      <c r="L297" s="247">
        <v>0</v>
      </c>
      <c r="M297" s="247">
        <v>0</v>
      </c>
      <c r="N297" s="247">
        <v>0</v>
      </c>
      <c r="O297" s="247">
        <v>0</v>
      </c>
      <c r="P297" s="246">
        <v>0</v>
      </c>
      <c r="Q297" s="246">
        <v>0</v>
      </c>
      <c r="R297" s="246">
        <f t="shared" si="9"/>
        <v>172487.7</v>
      </c>
      <c r="S297" s="223"/>
    </row>
    <row r="298" spans="1:19" s="595" customFormat="1" ht="12.75" hidden="1" outlineLevel="1">
      <c r="A298" s="223" t="s">
        <v>2230</v>
      </c>
      <c r="B298" s="224"/>
      <c r="C298" s="224" t="s">
        <v>2231</v>
      </c>
      <c r="D298" s="224" t="s">
        <v>2232</v>
      </c>
      <c r="E298" s="246">
        <v>280222.52</v>
      </c>
      <c r="F298" s="246">
        <v>0</v>
      </c>
      <c r="G298" s="246"/>
      <c r="H298" s="247">
        <v>0</v>
      </c>
      <c r="I298" s="247">
        <v>0</v>
      </c>
      <c r="J298" s="247">
        <v>0</v>
      </c>
      <c r="K298" s="247">
        <v>0</v>
      </c>
      <c r="L298" s="247">
        <v>0</v>
      </c>
      <c r="M298" s="247">
        <v>0</v>
      </c>
      <c r="N298" s="247">
        <v>0</v>
      </c>
      <c r="O298" s="247">
        <v>79104.72</v>
      </c>
      <c r="P298" s="246">
        <v>79104.72</v>
      </c>
      <c r="Q298" s="246">
        <v>0</v>
      </c>
      <c r="R298" s="246">
        <f t="shared" si="9"/>
        <v>359327.24</v>
      </c>
      <c r="S298" s="223"/>
    </row>
    <row r="299" spans="1:19" s="595" customFormat="1" ht="12.75" hidden="1" outlineLevel="1">
      <c r="A299" s="223" t="s">
        <v>2233</v>
      </c>
      <c r="B299" s="224"/>
      <c r="C299" s="224" t="s">
        <v>2234</v>
      </c>
      <c r="D299" s="224" t="s">
        <v>2235</v>
      </c>
      <c r="E299" s="246">
        <v>30397.81</v>
      </c>
      <c r="F299" s="246">
        <v>0</v>
      </c>
      <c r="G299" s="246"/>
      <c r="H299" s="247">
        <v>0</v>
      </c>
      <c r="I299" s="247">
        <v>0</v>
      </c>
      <c r="J299" s="247">
        <v>0</v>
      </c>
      <c r="K299" s="247">
        <v>0</v>
      </c>
      <c r="L299" s="247">
        <v>0</v>
      </c>
      <c r="M299" s="247">
        <v>0</v>
      </c>
      <c r="N299" s="247">
        <v>0</v>
      </c>
      <c r="O299" s="247">
        <v>0</v>
      </c>
      <c r="P299" s="246">
        <v>0</v>
      </c>
      <c r="Q299" s="246">
        <v>0</v>
      </c>
      <c r="R299" s="246">
        <f t="shared" si="9"/>
        <v>30397.81</v>
      </c>
      <c r="S299" s="223"/>
    </row>
    <row r="300" spans="1:19" s="595" customFormat="1" ht="12.75" hidden="1" outlineLevel="1">
      <c r="A300" s="223" t="s">
        <v>938</v>
      </c>
      <c r="B300" s="224"/>
      <c r="C300" s="224" t="s">
        <v>939</v>
      </c>
      <c r="D300" s="224" t="s">
        <v>940</v>
      </c>
      <c r="E300" s="246">
        <v>625</v>
      </c>
      <c r="F300" s="246">
        <v>0</v>
      </c>
      <c r="G300" s="246"/>
      <c r="H300" s="247">
        <v>0</v>
      </c>
      <c r="I300" s="247">
        <v>0</v>
      </c>
      <c r="J300" s="247">
        <v>0</v>
      </c>
      <c r="K300" s="247">
        <v>0</v>
      </c>
      <c r="L300" s="247">
        <v>0</v>
      </c>
      <c r="M300" s="247">
        <v>0</v>
      </c>
      <c r="N300" s="247">
        <v>0</v>
      </c>
      <c r="O300" s="247">
        <v>0</v>
      </c>
      <c r="P300" s="246">
        <v>0</v>
      </c>
      <c r="Q300" s="246">
        <v>0</v>
      </c>
      <c r="R300" s="246">
        <f t="shared" si="9"/>
        <v>625</v>
      </c>
      <c r="S300" s="223"/>
    </row>
    <row r="301" spans="1:19" s="595" customFormat="1" ht="12.75" hidden="1" outlineLevel="1">
      <c r="A301" s="223" t="s">
        <v>2236</v>
      </c>
      <c r="B301" s="224"/>
      <c r="C301" s="224" t="s">
        <v>2237</v>
      </c>
      <c r="D301" s="224" t="s">
        <v>2238</v>
      </c>
      <c r="E301" s="246">
        <v>28646</v>
      </c>
      <c r="F301" s="246">
        <v>1775</v>
      </c>
      <c r="G301" s="246"/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v>0</v>
      </c>
      <c r="O301" s="247">
        <v>0</v>
      </c>
      <c r="P301" s="246">
        <v>0</v>
      </c>
      <c r="Q301" s="246">
        <v>0</v>
      </c>
      <c r="R301" s="246">
        <f t="shared" si="9"/>
        <v>30421</v>
      </c>
      <c r="S301" s="223"/>
    </row>
    <row r="302" spans="1:19" s="595" customFormat="1" ht="12.75" hidden="1" outlineLevel="1">
      <c r="A302" s="223" t="s">
        <v>2242</v>
      </c>
      <c r="B302" s="224"/>
      <c r="C302" s="224" t="s">
        <v>2243</v>
      </c>
      <c r="D302" s="224" t="s">
        <v>2244</v>
      </c>
      <c r="E302" s="246">
        <v>-2150</v>
      </c>
      <c r="F302" s="246">
        <v>0</v>
      </c>
      <c r="G302" s="246"/>
      <c r="H302" s="247">
        <v>0</v>
      </c>
      <c r="I302" s="247">
        <v>0</v>
      </c>
      <c r="J302" s="247">
        <v>0</v>
      </c>
      <c r="K302" s="247">
        <v>0</v>
      </c>
      <c r="L302" s="247">
        <v>0</v>
      </c>
      <c r="M302" s="247">
        <v>0</v>
      </c>
      <c r="N302" s="247">
        <v>0</v>
      </c>
      <c r="O302" s="247">
        <v>0</v>
      </c>
      <c r="P302" s="246">
        <v>0</v>
      </c>
      <c r="Q302" s="246">
        <v>0</v>
      </c>
      <c r="R302" s="246">
        <f t="shared" si="9"/>
        <v>-2150</v>
      </c>
      <c r="S302" s="223"/>
    </row>
    <row r="303" spans="1:19" s="595" customFormat="1" ht="12.75" hidden="1" outlineLevel="1">
      <c r="A303" s="223" t="s">
        <v>2245</v>
      </c>
      <c r="B303" s="224"/>
      <c r="C303" s="224" t="s">
        <v>2246</v>
      </c>
      <c r="D303" s="224" t="s">
        <v>2247</v>
      </c>
      <c r="E303" s="246">
        <v>13258.27</v>
      </c>
      <c r="F303" s="246">
        <v>0</v>
      </c>
      <c r="G303" s="246"/>
      <c r="H303" s="247">
        <v>0</v>
      </c>
      <c r="I303" s="247">
        <v>0</v>
      </c>
      <c r="J303" s="247">
        <v>0</v>
      </c>
      <c r="K303" s="247">
        <v>0</v>
      </c>
      <c r="L303" s="247">
        <v>0</v>
      </c>
      <c r="M303" s="247">
        <v>0</v>
      </c>
      <c r="N303" s="247">
        <v>0</v>
      </c>
      <c r="O303" s="247">
        <v>0</v>
      </c>
      <c r="P303" s="246">
        <v>0</v>
      </c>
      <c r="Q303" s="246">
        <v>0</v>
      </c>
      <c r="R303" s="246">
        <f t="shared" si="9"/>
        <v>13258.27</v>
      </c>
      <c r="S303" s="223"/>
    </row>
    <row r="304" spans="1:19" s="595" customFormat="1" ht="12.75" hidden="1" outlineLevel="1">
      <c r="A304" s="223" t="s">
        <v>2248</v>
      </c>
      <c r="B304" s="224"/>
      <c r="C304" s="224" t="s">
        <v>2249</v>
      </c>
      <c r="D304" s="224" t="s">
        <v>2250</v>
      </c>
      <c r="E304" s="246">
        <v>0</v>
      </c>
      <c r="F304" s="246">
        <v>0</v>
      </c>
      <c r="G304" s="246"/>
      <c r="H304" s="247">
        <v>0</v>
      </c>
      <c r="I304" s="247">
        <v>0</v>
      </c>
      <c r="J304" s="247">
        <v>0</v>
      </c>
      <c r="K304" s="247">
        <v>0</v>
      </c>
      <c r="L304" s="247">
        <v>0</v>
      </c>
      <c r="M304" s="247">
        <v>0</v>
      </c>
      <c r="N304" s="247">
        <v>0</v>
      </c>
      <c r="O304" s="247">
        <v>352418.61</v>
      </c>
      <c r="P304" s="246">
        <v>352418.61</v>
      </c>
      <c r="Q304" s="246">
        <v>0</v>
      </c>
      <c r="R304" s="246">
        <f t="shared" si="9"/>
        <v>352418.61</v>
      </c>
      <c r="S304" s="223"/>
    </row>
    <row r="305" spans="1:19" s="595" customFormat="1" ht="12.75" hidden="1" outlineLevel="1">
      <c r="A305" s="223" t="s">
        <v>2251</v>
      </c>
      <c r="B305" s="224"/>
      <c r="C305" s="224" t="s">
        <v>2252</v>
      </c>
      <c r="D305" s="224" t="s">
        <v>2253</v>
      </c>
      <c r="E305" s="246">
        <v>0</v>
      </c>
      <c r="F305" s="246">
        <v>0</v>
      </c>
      <c r="G305" s="246"/>
      <c r="H305" s="247">
        <v>0</v>
      </c>
      <c r="I305" s="247">
        <v>0</v>
      </c>
      <c r="J305" s="247">
        <v>0</v>
      </c>
      <c r="K305" s="247">
        <v>0</v>
      </c>
      <c r="L305" s="247">
        <v>0</v>
      </c>
      <c r="M305" s="247">
        <v>0</v>
      </c>
      <c r="N305" s="247">
        <v>0</v>
      </c>
      <c r="O305" s="247">
        <v>121848.15</v>
      </c>
      <c r="P305" s="246">
        <v>121848.15</v>
      </c>
      <c r="Q305" s="246">
        <v>0</v>
      </c>
      <c r="R305" s="246">
        <f t="shared" si="9"/>
        <v>121848.15</v>
      </c>
      <c r="S305" s="223"/>
    </row>
    <row r="306" spans="1:19" s="595" customFormat="1" ht="12.75" hidden="1" outlineLevel="1">
      <c r="A306" s="223" t="s">
        <v>2254</v>
      </c>
      <c r="B306" s="224"/>
      <c r="C306" s="224" t="s">
        <v>2255</v>
      </c>
      <c r="D306" s="224" t="s">
        <v>2256</v>
      </c>
      <c r="E306" s="246">
        <v>439102.45</v>
      </c>
      <c r="F306" s="246">
        <v>0</v>
      </c>
      <c r="G306" s="246"/>
      <c r="H306" s="247">
        <v>0</v>
      </c>
      <c r="I306" s="247">
        <v>0</v>
      </c>
      <c r="J306" s="247">
        <v>0</v>
      </c>
      <c r="K306" s="247">
        <v>0</v>
      </c>
      <c r="L306" s="247">
        <v>0</v>
      </c>
      <c r="M306" s="247">
        <v>0</v>
      </c>
      <c r="N306" s="247">
        <v>0</v>
      </c>
      <c r="O306" s="247">
        <v>0</v>
      </c>
      <c r="P306" s="246">
        <v>0</v>
      </c>
      <c r="Q306" s="246">
        <v>0</v>
      </c>
      <c r="R306" s="246">
        <f t="shared" si="9"/>
        <v>439102.45</v>
      </c>
      <c r="S306" s="223"/>
    </row>
    <row r="307" spans="1:19" s="595" customFormat="1" ht="12.75" hidden="1" outlineLevel="1">
      <c r="A307" s="223" t="s">
        <v>2257</v>
      </c>
      <c r="B307" s="224"/>
      <c r="C307" s="224" t="s">
        <v>2258</v>
      </c>
      <c r="D307" s="224" t="s">
        <v>2259</v>
      </c>
      <c r="E307" s="246">
        <v>621869.05</v>
      </c>
      <c r="F307" s="246">
        <v>2691.43</v>
      </c>
      <c r="G307" s="246"/>
      <c r="H307" s="247">
        <v>56473.56</v>
      </c>
      <c r="I307" s="247">
        <v>1080</v>
      </c>
      <c r="J307" s="247">
        <v>18589.98</v>
      </c>
      <c r="K307" s="247">
        <v>98124.25</v>
      </c>
      <c r="L307" s="247">
        <v>0</v>
      </c>
      <c r="M307" s="247">
        <v>14491.4</v>
      </c>
      <c r="N307" s="247">
        <v>70</v>
      </c>
      <c r="O307" s="247">
        <v>11096.32</v>
      </c>
      <c r="P307" s="246">
        <v>199925.51</v>
      </c>
      <c r="Q307" s="246">
        <v>0</v>
      </c>
      <c r="R307" s="246">
        <f t="shared" si="9"/>
        <v>824485.9900000001</v>
      </c>
      <c r="S307" s="223"/>
    </row>
    <row r="308" spans="1:19" s="595" customFormat="1" ht="12.75" hidden="1" outlineLevel="1">
      <c r="A308" s="223" t="s">
        <v>2260</v>
      </c>
      <c r="B308" s="224"/>
      <c r="C308" s="224" t="s">
        <v>2261</v>
      </c>
      <c r="D308" s="224" t="s">
        <v>2262</v>
      </c>
      <c r="E308" s="246">
        <v>14432.2</v>
      </c>
      <c r="F308" s="246">
        <v>0</v>
      </c>
      <c r="G308" s="246"/>
      <c r="H308" s="247">
        <v>0</v>
      </c>
      <c r="I308" s="247">
        <v>0</v>
      </c>
      <c r="J308" s="247">
        <v>0</v>
      </c>
      <c r="K308" s="247">
        <v>0</v>
      </c>
      <c r="L308" s="247">
        <v>0</v>
      </c>
      <c r="M308" s="247">
        <v>0</v>
      </c>
      <c r="N308" s="247">
        <v>0</v>
      </c>
      <c r="O308" s="247">
        <v>0</v>
      </c>
      <c r="P308" s="246">
        <v>0</v>
      </c>
      <c r="Q308" s="246">
        <v>0</v>
      </c>
      <c r="R308" s="246">
        <f t="shared" si="9"/>
        <v>14432.2</v>
      </c>
      <c r="S308" s="223"/>
    </row>
    <row r="309" spans="1:19" s="595" customFormat="1" ht="12.75" hidden="1" outlineLevel="1">
      <c r="A309" s="223" t="s">
        <v>2263</v>
      </c>
      <c r="B309" s="224"/>
      <c r="C309" s="224" t="s">
        <v>2264</v>
      </c>
      <c r="D309" s="224" t="s">
        <v>2265</v>
      </c>
      <c r="E309" s="246">
        <v>148.48</v>
      </c>
      <c r="F309" s="246">
        <v>0</v>
      </c>
      <c r="G309" s="246"/>
      <c r="H309" s="247">
        <v>0</v>
      </c>
      <c r="I309" s="247">
        <v>0</v>
      </c>
      <c r="J309" s="247">
        <v>0</v>
      </c>
      <c r="K309" s="247">
        <v>0</v>
      </c>
      <c r="L309" s="247">
        <v>0</v>
      </c>
      <c r="M309" s="247">
        <v>0</v>
      </c>
      <c r="N309" s="247">
        <v>0</v>
      </c>
      <c r="O309" s="247">
        <v>0</v>
      </c>
      <c r="P309" s="246">
        <v>0</v>
      </c>
      <c r="Q309" s="246">
        <v>0</v>
      </c>
      <c r="R309" s="246">
        <f t="shared" si="9"/>
        <v>148.48</v>
      </c>
      <c r="S309" s="223"/>
    </row>
    <row r="310" spans="1:19" s="595" customFormat="1" ht="12.75" hidden="1" outlineLevel="1">
      <c r="A310" s="223" t="s">
        <v>2266</v>
      </c>
      <c r="B310" s="224"/>
      <c r="C310" s="224" t="s">
        <v>2267</v>
      </c>
      <c r="D310" s="224" t="s">
        <v>2268</v>
      </c>
      <c r="E310" s="246">
        <v>204957.72</v>
      </c>
      <c r="F310" s="246">
        <v>572</v>
      </c>
      <c r="G310" s="246"/>
      <c r="H310" s="247">
        <v>0</v>
      </c>
      <c r="I310" s="247">
        <v>0</v>
      </c>
      <c r="J310" s="247">
        <v>0</v>
      </c>
      <c r="K310" s="247">
        <v>0</v>
      </c>
      <c r="L310" s="247">
        <v>0</v>
      </c>
      <c r="M310" s="247">
        <v>0</v>
      </c>
      <c r="N310" s="247">
        <v>0</v>
      </c>
      <c r="O310" s="247">
        <v>106</v>
      </c>
      <c r="P310" s="246">
        <v>106</v>
      </c>
      <c r="Q310" s="246">
        <v>0</v>
      </c>
      <c r="R310" s="246">
        <f t="shared" si="9"/>
        <v>205635.72</v>
      </c>
      <c r="S310" s="223"/>
    </row>
    <row r="311" spans="1:19" s="595" customFormat="1" ht="12.75" hidden="1" outlineLevel="1">
      <c r="A311" s="223" t="s">
        <v>2269</v>
      </c>
      <c r="B311" s="224"/>
      <c r="C311" s="224" t="s">
        <v>2270</v>
      </c>
      <c r="D311" s="224" t="s">
        <v>2271</v>
      </c>
      <c r="E311" s="246">
        <v>4690.46</v>
      </c>
      <c r="F311" s="246">
        <v>314</v>
      </c>
      <c r="G311" s="246"/>
      <c r="H311" s="247">
        <v>0</v>
      </c>
      <c r="I311" s="247">
        <v>0</v>
      </c>
      <c r="J311" s="247">
        <v>0</v>
      </c>
      <c r="K311" s="247">
        <v>0</v>
      </c>
      <c r="L311" s="247">
        <v>0</v>
      </c>
      <c r="M311" s="247">
        <v>0</v>
      </c>
      <c r="N311" s="247">
        <v>0</v>
      </c>
      <c r="O311" s="247">
        <v>0</v>
      </c>
      <c r="P311" s="246">
        <v>0</v>
      </c>
      <c r="Q311" s="246">
        <v>0</v>
      </c>
      <c r="R311" s="246">
        <f t="shared" si="9"/>
        <v>5004.46</v>
      </c>
      <c r="S311" s="223"/>
    </row>
    <row r="312" spans="1:19" s="595" customFormat="1" ht="12.75" hidden="1" outlineLevel="1">
      <c r="A312" s="223" t="s">
        <v>2272</v>
      </c>
      <c r="B312" s="224"/>
      <c r="C312" s="224" t="s">
        <v>2273</v>
      </c>
      <c r="D312" s="224" t="s">
        <v>2274</v>
      </c>
      <c r="E312" s="246">
        <v>-101270.96</v>
      </c>
      <c r="F312" s="246">
        <v>40725</v>
      </c>
      <c r="G312" s="246"/>
      <c r="H312" s="247">
        <v>0</v>
      </c>
      <c r="I312" s="247">
        <v>0</v>
      </c>
      <c r="J312" s="247">
        <v>0</v>
      </c>
      <c r="K312" s="247">
        <v>846</v>
      </c>
      <c r="L312" s="247">
        <v>0</v>
      </c>
      <c r="M312" s="247">
        <v>0</v>
      </c>
      <c r="N312" s="247">
        <v>0</v>
      </c>
      <c r="O312" s="247">
        <v>0</v>
      </c>
      <c r="P312" s="246">
        <v>846</v>
      </c>
      <c r="Q312" s="246">
        <v>0</v>
      </c>
      <c r="R312" s="246">
        <f t="shared" si="9"/>
        <v>-59699.96000000001</v>
      </c>
      <c r="S312" s="223"/>
    </row>
    <row r="313" spans="1:19" s="595" customFormat="1" ht="12.75" hidden="1" outlineLevel="1">
      <c r="A313" s="223" t="s">
        <v>2275</v>
      </c>
      <c r="B313" s="224"/>
      <c r="C313" s="224" t="s">
        <v>2276</v>
      </c>
      <c r="D313" s="224" t="s">
        <v>2277</v>
      </c>
      <c r="E313" s="246">
        <v>297425.51</v>
      </c>
      <c r="F313" s="246">
        <v>188775.86</v>
      </c>
      <c r="G313" s="246"/>
      <c r="H313" s="247">
        <v>0</v>
      </c>
      <c r="I313" s="247">
        <v>0</v>
      </c>
      <c r="J313" s="247">
        <v>0</v>
      </c>
      <c r="K313" s="247">
        <v>0</v>
      </c>
      <c r="L313" s="247">
        <v>0</v>
      </c>
      <c r="M313" s="247">
        <v>0</v>
      </c>
      <c r="N313" s="247">
        <v>0</v>
      </c>
      <c r="O313" s="247">
        <v>0</v>
      </c>
      <c r="P313" s="246">
        <v>0</v>
      </c>
      <c r="Q313" s="246">
        <v>0</v>
      </c>
      <c r="R313" s="246">
        <f t="shared" si="9"/>
        <v>486201.37</v>
      </c>
      <c r="S313" s="223"/>
    </row>
    <row r="314" spans="1:19" s="595" customFormat="1" ht="12.75" hidden="1" outlineLevel="1">
      <c r="A314" s="223" t="s">
        <v>941</v>
      </c>
      <c r="B314" s="224"/>
      <c r="C314" s="224" t="s">
        <v>942</v>
      </c>
      <c r="D314" s="224" t="s">
        <v>943</v>
      </c>
      <c r="E314" s="246">
        <v>12150</v>
      </c>
      <c r="F314" s="246">
        <v>0</v>
      </c>
      <c r="G314" s="246"/>
      <c r="H314" s="247">
        <v>0</v>
      </c>
      <c r="I314" s="247">
        <v>0</v>
      </c>
      <c r="J314" s="247">
        <v>0</v>
      </c>
      <c r="K314" s="247">
        <v>0</v>
      </c>
      <c r="L314" s="247">
        <v>0</v>
      </c>
      <c r="M314" s="247">
        <v>0</v>
      </c>
      <c r="N314" s="247">
        <v>0</v>
      </c>
      <c r="O314" s="247">
        <v>0</v>
      </c>
      <c r="P314" s="246">
        <v>0</v>
      </c>
      <c r="Q314" s="246">
        <v>0</v>
      </c>
      <c r="R314" s="246">
        <f t="shared" si="9"/>
        <v>12150</v>
      </c>
      <c r="S314" s="223"/>
    </row>
    <row r="315" spans="1:19" s="595" customFormat="1" ht="12.75" hidden="1" outlineLevel="1">
      <c r="A315" s="223" t="s">
        <v>2278</v>
      </c>
      <c r="B315" s="224"/>
      <c r="C315" s="224" t="s">
        <v>944</v>
      </c>
      <c r="D315" s="224" t="s">
        <v>2279</v>
      </c>
      <c r="E315" s="246">
        <v>173999.42</v>
      </c>
      <c r="F315" s="246">
        <v>0</v>
      </c>
      <c r="G315" s="246"/>
      <c r="H315" s="247">
        <v>0</v>
      </c>
      <c r="I315" s="247">
        <v>0</v>
      </c>
      <c r="J315" s="247">
        <v>0</v>
      </c>
      <c r="K315" s="247">
        <v>0</v>
      </c>
      <c r="L315" s="247">
        <v>0</v>
      </c>
      <c r="M315" s="247">
        <v>0</v>
      </c>
      <c r="N315" s="247">
        <v>0</v>
      </c>
      <c r="O315" s="247">
        <v>0</v>
      </c>
      <c r="P315" s="246">
        <v>0</v>
      </c>
      <c r="Q315" s="246">
        <v>0</v>
      </c>
      <c r="R315" s="246">
        <f t="shared" si="9"/>
        <v>173999.42</v>
      </c>
      <c r="S315" s="223"/>
    </row>
    <row r="316" spans="1:19" s="595" customFormat="1" ht="12.75" hidden="1" outlineLevel="1">
      <c r="A316" s="223" t="s">
        <v>2280</v>
      </c>
      <c r="B316" s="224"/>
      <c r="C316" s="224" t="s">
        <v>945</v>
      </c>
      <c r="D316" s="224" t="s">
        <v>2281</v>
      </c>
      <c r="E316" s="246">
        <v>82265.33</v>
      </c>
      <c r="F316" s="246">
        <v>0</v>
      </c>
      <c r="G316" s="246"/>
      <c r="H316" s="247">
        <v>0</v>
      </c>
      <c r="I316" s="247">
        <v>0</v>
      </c>
      <c r="J316" s="247">
        <v>0</v>
      </c>
      <c r="K316" s="247">
        <v>0</v>
      </c>
      <c r="L316" s="247">
        <v>0</v>
      </c>
      <c r="M316" s="247">
        <v>0</v>
      </c>
      <c r="N316" s="247">
        <v>0</v>
      </c>
      <c r="O316" s="247">
        <v>0</v>
      </c>
      <c r="P316" s="246">
        <v>0</v>
      </c>
      <c r="Q316" s="246">
        <v>0</v>
      </c>
      <c r="R316" s="246">
        <f t="shared" si="9"/>
        <v>82265.33</v>
      </c>
      <c r="S316" s="223"/>
    </row>
    <row r="317" spans="1:19" s="595" customFormat="1" ht="12.75" hidden="1" outlineLevel="1">
      <c r="A317" s="223" t="s">
        <v>2282</v>
      </c>
      <c r="B317" s="224"/>
      <c r="C317" s="224" t="s">
        <v>2283</v>
      </c>
      <c r="D317" s="224" t="s">
        <v>2284</v>
      </c>
      <c r="E317" s="246">
        <v>397693.4</v>
      </c>
      <c r="F317" s="246">
        <v>0</v>
      </c>
      <c r="G317" s="246"/>
      <c r="H317" s="247">
        <v>4100.05</v>
      </c>
      <c r="I317" s="247">
        <v>0</v>
      </c>
      <c r="J317" s="247">
        <v>0</v>
      </c>
      <c r="K317" s="247">
        <v>0</v>
      </c>
      <c r="L317" s="247">
        <v>0</v>
      </c>
      <c r="M317" s="247">
        <v>0</v>
      </c>
      <c r="N317" s="247">
        <v>0</v>
      </c>
      <c r="O317" s="247">
        <v>186.31</v>
      </c>
      <c r="P317" s="246">
        <v>4286.36</v>
      </c>
      <c r="Q317" s="246">
        <v>0</v>
      </c>
      <c r="R317" s="246">
        <f t="shared" si="9"/>
        <v>401979.76</v>
      </c>
      <c r="S317" s="223"/>
    </row>
    <row r="318" spans="1:19" s="595" customFormat="1" ht="12.75" hidden="1" outlineLevel="1">
      <c r="A318" s="223" t="s">
        <v>2285</v>
      </c>
      <c r="B318" s="224"/>
      <c r="C318" s="224" t="s">
        <v>2286</v>
      </c>
      <c r="D318" s="224" t="s">
        <v>2287</v>
      </c>
      <c r="E318" s="246">
        <v>2083647.7</v>
      </c>
      <c r="F318" s="246">
        <v>112.75</v>
      </c>
      <c r="G318" s="246"/>
      <c r="H318" s="247">
        <v>0</v>
      </c>
      <c r="I318" s="247">
        <v>0</v>
      </c>
      <c r="J318" s="247">
        <v>0</v>
      </c>
      <c r="K318" s="247">
        <v>998.86</v>
      </c>
      <c r="L318" s="247">
        <v>0</v>
      </c>
      <c r="M318" s="247">
        <v>374.44</v>
      </c>
      <c r="N318" s="247">
        <v>0</v>
      </c>
      <c r="O318" s="247">
        <v>7088.79</v>
      </c>
      <c r="P318" s="246">
        <v>8462.09</v>
      </c>
      <c r="Q318" s="246">
        <v>0</v>
      </c>
      <c r="R318" s="246">
        <f aca="true" t="shared" si="10" ref="R318:R345">E318+F318+G318+P318+Q318</f>
        <v>2092222.54</v>
      </c>
      <c r="S318" s="223"/>
    </row>
    <row r="319" spans="1:19" s="595" customFormat="1" ht="12.75" hidden="1" outlineLevel="1">
      <c r="A319" s="223" t="s">
        <v>2288</v>
      </c>
      <c r="B319" s="224"/>
      <c r="C319" s="224" t="s">
        <v>2289</v>
      </c>
      <c r="D319" s="224" t="s">
        <v>2290</v>
      </c>
      <c r="E319" s="246">
        <v>580720.55</v>
      </c>
      <c r="F319" s="246">
        <v>792.99</v>
      </c>
      <c r="G319" s="246"/>
      <c r="H319" s="247">
        <v>0</v>
      </c>
      <c r="I319" s="247">
        <v>0</v>
      </c>
      <c r="J319" s="247">
        <v>0</v>
      </c>
      <c r="K319" s="247">
        <v>1334.01</v>
      </c>
      <c r="L319" s="247">
        <v>0</v>
      </c>
      <c r="M319" s="247">
        <v>3601.23</v>
      </c>
      <c r="N319" s="247">
        <v>0</v>
      </c>
      <c r="O319" s="247">
        <v>23439.78</v>
      </c>
      <c r="P319" s="246">
        <v>28375.02</v>
      </c>
      <c r="Q319" s="246">
        <v>0</v>
      </c>
      <c r="R319" s="246">
        <f t="shared" si="10"/>
        <v>609888.56</v>
      </c>
      <c r="S319" s="223"/>
    </row>
    <row r="320" spans="1:19" s="595" customFormat="1" ht="12.75" hidden="1" outlineLevel="1">
      <c r="A320" s="223" t="s">
        <v>2300</v>
      </c>
      <c r="B320" s="224"/>
      <c r="C320" s="224" t="s">
        <v>2301</v>
      </c>
      <c r="D320" s="224" t="s">
        <v>2302</v>
      </c>
      <c r="E320" s="246">
        <v>43557.12</v>
      </c>
      <c r="F320" s="246">
        <v>0</v>
      </c>
      <c r="G320" s="246"/>
      <c r="H320" s="247">
        <v>0</v>
      </c>
      <c r="I320" s="247">
        <v>0</v>
      </c>
      <c r="J320" s="247">
        <v>0</v>
      </c>
      <c r="K320" s="247">
        <v>0</v>
      </c>
      <c r="L320" s="247">
        <v>0</v>
      </c>
      <c r="M320" s="247">
        <v>0</v>
      </c>
      <c r="N320" s="247">
        <v>0</v>
      </c>
      <c r="O320" s="247">
        <v>0</v>
      </c>
      <c r="P320" s="246">
        <v>0</v>
      </c>
      <c r="Q320" s="246">
        <v>0</v>
      </c>
      <c r="R320" s="246">
        <f t="shared" si="10"/>
        <v>43557.12</v>
      </c>
      <c r="S320" s="223"/>
    </row>
    <row r="321" spans="1:19" s="595" customFormat="1" ht="12.75" hidden="1" outlineLevel="1">
      <c r="A321" s="223" t="s">
        <v>2303</v>
      </c>
      <c r="B321" s="224"/>
      <c r="C321" s="224" t="s">
        <v>2304</v>
      </c>
      <c r="D321" s="224" t="s">
        <v>2305</v>
      </c>
      <c r="E321" s="246">
        <v>2963749.43</v>
      </c>
      <c r="F321" s="246">
        <v>0</v>
      </c>
      <c r="G321" s="246"/>
      <c r="H321" s="247">
        <v>0</v>
      </c>
      <c r="I321" s="247">
        <v>0</v>
      </c>
      <c r="J321" s="247">
        <v>0</v>
      </c>
      <c r="K321" s="247">
        <v>0</v>
      </c>
      <c r="L321" s="247">
        <v>0</v>
      </c>
      <c r="M321" s="247">
        <v>0</v>
      </c>
      <c r="N321" s="247">
        <v>0</v>
      </c>
      <c r="O321" s="247">
        <v>0</v>
      </c>
      <c r="P321" s="246">
        <v>0</v>
      </c>
      <c r="Q321" s="246">
        <v>0</v>
      </c>
      <c r="R321" s="246">
        <f t="shared" si="10"/>
        <v>2963749.43</v>
      </c>
      <c r="S321" s="223"/>
    </row>
    <row r="322" spans="1:19" s="595" customFormat="1" ht="12.75" hidden="1" outlineLevel="1">
      <c r="A322" s="223" t="s">
        <v>2306</v>
      </c>
      <c r="B322" s="224"/>
      <c r="C322" s="224" t="s">
        <v>2307</v>
      </c>
      <c r="D322" s="224" t="s">
        <v>2308</v>
      </c>
      <c r="E322" s="246">
        <v>367299.7</v>
      </c>
      <c r="F322" s="246">
        <v>0</v>
      </c>
      <c r="G322" s="246"/>
      <c r="H322" s="247">
        <v>0</v>
      </c>
      <c r="I322" s="247">
        <v>0</v>
      </c>
      <c r="J322" s="247">
        <v>0</v>
      </c>
      <c r="K322" s="247">
        <v>0</v>
      </c>
      <c r="L322" s="247">
        <v>0</v>
      </c>
      <c r="M322" s="247">
        <v>0</v>
      </c>
      <c r="N322" s="247">
        <v>0</v>
      </c>
      <c r="O322" s="247">
        <v>0</v>
      </c>
      <c r="P322" s="246">
        <v>0</v>
      </c>
      <c r="Q322" s="246">
        <v>0</v>
      </c>
      <c r="R322" s="246">
        <f t="shared" si="10"/>
        <v>367299.7</v>
      </c>
      <c r="S322" s="223"/>
    </row>
    <row r="323" spans="1:19" s="595" customFormat="1" ht="12.75" hidden="1" outlineLevel="1">
      <c r="A323" s="223" t="s">
        <v>2309</v>
      </c>
      <c r="B323" s="224"/>
      <c r="C323" s="224" t="s">
        <v>2310</v>
      </c>
      <c r="D323" s="224" t="s">
        <v>2311</v>
      </c>
      <c r="E323" s="246">
        <v>1428690.6</v>
      </c>
      <c r="F323" s="246">
        <v>0</v>
      </c>
      <c r="G323" s="246"/>
      <c r="H323" s="247">
        <v>0</v>
      </c>
      <c r="I323" s="247">
        <v>0</v>
      </c>
      <c r="J323" s="247">
        <v>0</v>
      </c>
      <c r="K323" s="247">
        <v>0</v>
      </c>
      <c r="L323" s="247">
        <v>0</v>
      </c>
      <c r="M323" s="247">
        <v>0</v>
      </c>
      <c r="N323" s="247">
        <v>0</v>
      </c>
      <c r="O323" s="247">
        <v>0</v>
      </c>
      <c r="P323" s="246">
        <v>0</v>
      </c>
      <c r="Q323" s="246">
        <v>0</v>
      </c>
      <c r="R323" s="246">
        <f t="shared" si="10"/>
        <v>1428690.6</v>
      </c>
      <c r="S323" s="223"/>
    </row>
    <row r="324" spans="1:19" s="595" customFormat="1" ht="12.75" hidden="1" outlineLevel="1">
      <c r="A324" s="223" t="s">
        <v>2312</v>
      </c>
      <c r="B324" s="224"/>
      <c r="C324" s="224" t="s">
        <v>2313</v>
      </c>
      <c r="D324" s="224" t="s">
        <v>2314</v>
      </c>
      <c r="E324" s="246">
        <v>20827.92</v>
      </c>
      <c r="F324" s="246">
        <v>0</v>
      </c>
      <c r="G324" s="246"/>
      <c r="H324" s="247">
        <v>0</v>
      </c>
      <c r="I324" s="247">
        <v>0</v>
      </c>
      <c r="J324" s="247">
        <v>0</v>
      </c>
      <c r="K324" s="247">
        <v>0</v>
      </c>
      <c r="L324" s="247">
        <v>0</v>
      </c>
      <c r="M324" s="247">
        <v>0</v>
      </c>
      <c r="N324" s="247">
        <v>0</v>
      </c>
      <c r="O324" s="247">
        <v>0</v>
      </c>
      <c r="P324" s="246">
        <v>0</v>
      </c>
      <c r="Q324" s="246">
        <v>0</v>
      </c>
      <c r="R324" s="246">
        <f t="shared" si="10"/>
        <v>20827.92</v>
      </c>
      <c r="S324" s="223"/>
    </row>
    <row r="325" spans="1:19" s="595" customFormat="1" ht="12.75" hidden="1" outlineLevel="1">
      <c r="A325" s="223" t="s">
        <v>0</v>
      </c>
      <c r="B325" s="224"/>
      <c r="C325" s="224" t="s">
        <v>1</v>
      </c>
      <c r="D325" s="224" t="s">
        <v>2</v>
      </c>
      <c r="E325" s="246">
        <v>-873898</v>
      </c>
      <c r="F325" s="246">
        <v>242789.16</v>
      </c>
      <c r="G325" s="246"/>
      <c r="H325" s="247">
        <v>0</v>
      </c>
      <c r="I325" s="247">
        <v>36684</v>
      </c>
      <c r="J325" s="247">
        <v>15424</v>
      </c>
      <c r="K325" s="247">
        <v>0</v>
      </c>
      <c r="L325" s="247">
        <v>0</v>
      </c>
      <c r="M325" s="247">
        <v>0</v>
      </c>
      <c r="N325" s="247">
        <v>0</v>
      </c>
      <c r="O325" s="247">
        <v>24296</v>
      </c>
      <c r="P325" s="246">
        <v>76404</v>
      </c>
      <c r="Q325" s="246">
        <v>0</v>
      </c>
      <c r="R325" s="246">
        <f t="shared" si="10"/>
        <v>-554704.84</v>
      </c>
      <c r="S325" s="223"/>
    </row>
    <row r="326" spans="1:19" s="595" customFormat="1" ht="12.75" hidden="1" outlineLevel="1">
      <c r="A326" s="223" t="s">
        <v>3</v>
      </c>
      <c r="B326" s="224"/>
      <c r="C326" s="224" t="s">
        <v>4</v>
      </c>
      <c r="D326" s="224" t="s">
        <v>5</v>
      </c>
      <c r="E326" s="246">
        <v>-247698.08</v>
      </c>
      <c r="F326" s="246">
        <v>0</v>
      </c>
      <c r="G326" s="246"/>
      <c r="H326" s="247">
        <v>0</v>
      </c>
      <c r="I326" s="247">
        <v>0</v>
      </c>
      <c r="J326" s="247">
        <v>0</v>
      </c>
      <c r="K326" s="247">
        <v>0</v>
      </c>
      <c r="L326" s="247">
        <v>0</v>
      </c>
      <c r="M326" s="247">
        <v>0</v>
      </c>
      <c r="N326" s="247">
        <v>0</v>
      </c>
      <c r="O326" s="247">
        <v>0</v>
      </c>
      <c r="P326" s="246">
        <v>0</v>
      </c>
      <c r="Q326" s="246">
        <v>0</v>
      </c>
      <c r="R326" s="246">
        <f t="shared" si="10"/>
        <v>-247698.08</v>
      </c>
      <c r="S326" s="223"/>
    </row>
    <row r="327" spans="1:19" s="595" customFormat="1" ht="12.75" hidden="1" outlineLevel="1">
      <c r="A327" s="223" t="s">
        <v>946</v>
      </c>
      <c r="B327" s="224"/>
      <c r="C327" s="224" t="s">
        <v>947</v>
      </c>
      <c r="D327" s="224" t="s">
        <v>948</v>
      </c>
      <c r="E327" s="246">
        <v>91.9</v>
      </c>
      <c r="F327" s="246">
        <v>0</v>
      </c>
      <c r="G327" s="246"/>
      <c r="H327" s="247">
        <v>0</v>
      </c>
      <c r="I327" s="247">
        <v>0</v>
      </c>
      <c r="J327" s="247">
        <v>0</v>
      </c>
      <c r="K327" s="247">
        <v>0</v>
      </c>
      <c r="L327" s="247">
        <v>0</v>
      </c>
      <c r="M327" s="247">
        <v>0</v>
      </c>
      <c r="N327" s="247">
        <v>0</v>
      </c>
      <c r="O327" s="247">
        <v>0</v>
      </c>
      <c r="P327" s="246">
        <v>0</v>
      </c>
      <c r="Q327" s="246">
        <v>0</v>
      </c>
      <c r="R327" s="246">
        <f t="shared" si="10"/>
        <v>91.9</v>
      </c>
      <c r="S327" s="223"/>
    </row>
    <row r="328" spans="1:19" s="595" customFormat="1" ht="12.75" hidden="1" outlineLevel="1">
      <c r="A328" s="223" t="s">
        <v>952</v>
      </c>
      <c r="B328" s="224"/>
      <c r="C328" s="224" t="s">
        <v>953</v>
      </c>
      <c r="D328" s="224" t="s">
        <v>954</v>
      </c>
      <c r="E328" s="246">
        <v>-723.82</v>
      </c>
      <c r="F328" s="246">
        <v>0</v>
      </c>
      <c r="G328" s="246"/>
      <c r="H328" s="247">
        <v>0</v>
      </c>
      <c r="I328" s="247">
        <v>0</v>
      </c>
      <c r="J328" s="247">
        <v>0</v>
      </c>
      <c r="K328" s="247">
        <v>0</v>
      </c>
      <c r="L328" s="247">
        <v>0</v>
      </c>
      <c r="M328" s="247">
        <v>0</v>
      </c>
      <c r="N328" s="247">
        <v>0</v>
      </c>
      <c r="O328" s="247">
        <v>0</v>
      </c>
      <c r="P328" s="246">
        <v>0</v>
      </c>
      <c r="Q328" s="246">
        <v>0</v>
      </c>
      <c r="R328" s="246">
        <f t="shared" si="10"/>
        <v>-723.82</v>
      </c>
      <c r="S328" s="223"/>
    </row>
    <row r="329" spans="1:19" ht="12.75" customHeight="1" collapsed="1">
      <c r="A329" s="249" t="s">
        <v>2775</v>
      </c>
      <c r="B329" s="209"/>
      <c r="C329" s="208" t="s">
        <v>2951</v>
      </c>
      <c r="D329" s="210"/>
      <c r="E329" s="101">
        <v>28806274.06</v>
      </c>
      <c r="F329" s="101">
        <v>1315140.87</v>
      </c>
      <c r="G329" s="101">
        <v>14090967.11</v>
      </c>
      <c r="H329" s="250">
        <v>-2176594.44</v>
      </c>
      <c r="I329" s="250">
        <v>-650919.59</v>
      </c>
      <c r="J329" s="250">
        <v>200706.21</v>
      </c>
      <c r="K329" s="250">
        <v>-519433.35</v>
      </c>
      <c r="L329" s="250">
        <v>-262416.32</v>
      </c>
      <c r="M329" s="250">
        <v>-799981.01</v>
      </c>
      <c r="N329" s="250">
        <v>-170882.05</v>
      </c>
      <c r="O329" s="250">
        <v>727669.94</v>
      </c>
      <c r="P329" s="101">
        <v>-3651850.61</v>
      </c>
      <c r="Q329" s="101">
        <v>0</v>
      </c>
      <c r="R329" s="101">
        <f t="shared" si="10"/>
        <v>40560531.43</v>
      </c>
      <c r="S329" s="249"/>
    </row>
    <row r="330" spans="1:19" s="595" customFormat="1" ht="12.75" hidden="1" outlineLevel="1">
      <c r="A330" s="223" t="s">
        <v>22</v>
      </c>
      <c r="B330" s="224"/>
      <c r="C330" s="224" t="s">
        <v>955</v>
      </c>
      <c r="D330" s="224" t="s">
        <v>23</v>
      </c>
      <c r="E330" s="246">
        <v>6780000</v>
      </c>
      <c r="F330" s="246">
        <v>0</v>
      </c>
      <c r="G330" s="246"/>
      <c r="H330" s="247">
        <v>0</v>
      </c>
      <c r="I330" s="247">
        <v>0</v>
      </c>
      <c r="J330" s="247">
        <v>0</v>
      </c>
      <c r="K330" s="247">
        <v>0</v>
      </c>
      <c r="L330" s="247">
        <v>0</v>
      </c>
      <c r="M330" s="247">
        <v>0</v>
      </c>
      <c r="N330" s="247">
        <v>0</v>
      </c>
      <c r="O330" s="247">
        <v>0</v>
      </c>
      <c r="P330" s="246">
        <v>0</v>
      </c>
      <c r="Q330" s="246">
        <v>0</v>
      </c>
      <c r="R330" s="246">
        <f t="shared" si="10"/>
        <v>6780000</v>
      </c>
      <c r="S330" s="223"/>
    </row>
    <row r="331" spans="1:19" ht="12.75" customHeight="1" collapsed="1">
      <c r="A331" s="208" t="s">
        <v>24</v>
      </c>
      <c r="B331" s="209"/>
      <c r="C331" s="208" t="s">
        <v>2952</v>
      </c>
      <c r="D331" s="210"/>
      <c r="E331" s="101">
        <v>6780000</v>
      </c>
      <c r="F331" s="101">
        <v>0</v>
      </c>
      <c r="G331" s="101">
        <v>0</v>
      </c>
      <c r="H331" s="251">
        <v>0</v>
      </c>
      <c r="I331" s="251">
        <v>0</v>
      </c>
      <c r="J331" s="251">
        <v>0</v>
      </c>
      <c r="K331" s="251">
        <v>0</v>
      </c>
      <c r="L331" s="251">
        <v>0</v>
      </c>
      <c r="M331" s="251">
        <v>0</v>
      </c>
      <c r="N331" s="251">
        <v>0</v>
      </c>
      <c r="O331" s="251">
        <v>0</v>
      </c>
      <c r="P331" s="101">
        <v>0</v>
      </c>
      <c r="Q331" s="101">
        <v>0</v>
      </c>
      <c r="R331" s="101">
        <f t="shared" si="10"/>
        <v>6780000</v>
      </c>
      <c r="S331" s="208"/>
    </row>
    <row r="332" spans="1:19" s="595" customFormat="1" ht="12.75" hidden="1" outlineLevel="1">
      <c r="A332" s="223" t="s">
        <v>37</v>
      </c>
      <c r="B332" s="224"/>
      <c r="C332" s="224" t="s">
        <v>38</v>
      </c>
      <c r="D332" s="224" t="s">
        <v>39</v>
      </c>
      <c r="E332" s="246">
        <v>626632.29</v>
      </c>
      <c r="F332" s="246">
        <v>0</v>
      </c>
      <c r="G332" s="246"/>
      <c r="H332" s="247">
        <v>0</v>
      </c>
      <c r="I332" s="247">
        <v>0</v>
      </c>
      <c r="J332" s="247">
        <v>0</v>
      </c>
      <c r="K332" s="247">
        <v>-250</v>
      </c>
      <c r="L332" s="247">
        <v>0</v>
      </c>
      <c r="M332" s="247">
        <v>0</v>
      </c>
      <c r="N332" s="247">
        <v>0</v>
      </c>
      <c r="O332" s="247">
        <v>-34479.86</v>
      </c>
      <c r="P332" s="246">
        <v>-34729.86</v>
      </c>
      <c r="Q332" s="246">
        <v>0</v>
      </c>
      <c r="R332" s="246">
        <f t="shared" si="10"/>
        <v>591902.43</v>
      </c>
      <c r="S332" s="223"/>
    </row>
    <row r="333" spans="1:19" s="595" customFormat="1" ht="12.75" hidden="1" outlineLevel="1">
      <c r="A333" s="223" t="s">
        <v>40</v>
      </c>
      <c r="B333" s="224"/>
      <c r="C333" s="224" t="s">
        <v>41</v>
      </c>
      <c r="D333" s="224" t="s">
        <v>42</v>
      </c>
      <c r="E333" s="246">
        <v>260722.42</v>
      </c>
      <c r="F333" s="246">
        <v>0</v>
      </c>
      <c r="G333" s="246"/>
      <c r="H333" s="247">
        <v>0</v>
      </c>
      <c r="I333" s="247">
        <v>0</v>
      </c>
      <c r="J333" s="247">
        <v>0</v>
      </c>
      <c r="K333" s="247">
        <v>0</v>
      </c>
      <c r="L333" s="247">
        <v>0</v>
      </c>
      <c r="M333" s="247">
        <v>0</v>
      </c>
      <c r="N333" s="247">
        <v>0</v>
      </c>
      <c r="O333" s="247">
        <v>0</v>
      </c>
      <c r="P333" s="246">
        <v>0</v>
      </c>
      <c r="Q333" s="246">
        <v>0</v>
      </c>
      <c r="R333" s="246">
        <f t="shared" si="10"/>
        <v>260722.42</v>
      </c>
      <c r="S333" s="223"/>
    </row>
    <row r="334" spans="1:19" s="595" customFormat="1" ht="12.75" hidden="1" outlineLevel="1">
      <c r="A334" s="223" t="s">
        <v>43</v>
      </c>
      <c r="B334" s="224"/>
      <c r="C334" s="224" t="s">
        <v>44</v>
      </c>
      <c r="D334" s="224" t="s">
        <v>45</v>
      </c>
      <c r="E334" s="246">
        <v>39520.98</v>
      </c>
      <c r="F334" s="246">
        <v>0</v>
      </c>
      <c r="G334" s="246"/>
      <c r="H334" s="247">
        <v>0</v>
      </c>
      <c r="I334" s="247">
        <v>0</v>
      </c>
      <c r="J334" s="247">
        <v>0</v>
      </c>
      <c r="K334" s="247">
        <v>0</v>
      </c>
      <c r="L334" s="247">
        <v>0</v>
      </c>
      <c r="M334" s="247">
        <v>0</v>
      </c>
      <c r="N334" s="247">
        <v>0</v>
      </c>
      <c r="O334" s="247">
        <v>0</v>
      </c>
      <c r="P334" s="246">
        <v>0</v>
      </c>
      <c r="Q334" s="246">
        <v>0</v>
      </c>
      <c r="R334" s="246">
        <f t="shared" si="10"/>
        <v>39520.98</v>
      </c>
      <c r="S334" s="223"/>
    </row>
    <row r="335" spans="1:19" s="595" customFormat="1" ht="12.75" hidden="1" outlineLevel="1">
      <c r="A335" s="223" t="s">
        <v>46</v>
      </c>
      <c r="B335" s="224"/>
      <c r="C335" s="224" t="s">
        <v>47</v>
      </c>
      <c r="D335" s="224" t="s">
        <v>48</v>
      </c>
      <c r="E335" s="246">
        <v>6370</v>
      </c>
      <c r="F335" s="246">
        <v>0</v>
      </c>
      <c r="G335" s="246"/>
      <c r="H335" s="247">
        <v>0</v>
      </c>
      <c r="I335" s="247">
        <v>0</v>
      </c>
      <c r="J335" s="247">
        <v>0</v>
      </c>
      <c r="K335" s="247">
        <v>0</v>
      </c>
      <c r="L335" s="247">
        <v>0</v>
      </c>
      <c r="M335" s="247">
        <v>0</v>
      </c>
      <c r="N335" s="247">
        <v>0</v>
      </c>
      <c r="O335" s="247">
        <v>0</v>
      </c>
      <c r="P335" s="246">
        <v>0</v>
      </c>
      <c r="Q335" s="246">
        <v>0</v>
      </c>
      <c r="R335" s="246">
        <f t="shared" si="10"/>
        <v>6370</v>
      </c>
      <c r="S335" s="223"/>
    </row>
    <row r="336" spans="1:19" s="595" customFormat="1" ht="12.75" hidden="1" outlineLevel="1">
      <c r="A336" s="223" t="s">
        <v>959</v>
      </c>
      <c r="B336" s="224"/>
      <c r="C336" s="224" t="s">
        <v>960</v>
      </c>
      <c r="D336" s="224" t="s">
        <v>961</v>
      </c>
      <c r="E336" s="246">
        <v>71116.18</v>
      </c>
      <c r="F336" s="246">
        <v>0</v>
      </c>
      <c r="G336" s="246"/>
      <c r="H336" s="247">
        <v>8885</v>
      </c>
      <c r="I336" s="247">
        <v>0</v>
      </c>
      <c r="J336" s="247">
        <v>0</v>
      </c>
      <c r="K336" s="247">
        <v>0</v>
      </c>
      <c r="L336" s="247">
        <v>0</v>
      </c>
      <c r="M336" s="247">
        <v>0</v>
      </c>
      <c r="N336" s="247">
        <v>0</v>
      </c>
      <c r="O336" s="247">
        <v>55545</v>
      </c>
      <c r="P336" s="246">
        <v>64430</v>
      </c>
      <c r="Q336" s="246">
        <v>0</v>
      </c>
      <c r="R336" s="246">
        <f t="shared" si="10"/>
        <v>135546.18</v>
      </c>
      <c r="S336" s="223"/>
    </row>
    <row r="337" spans="1:19" s="595" customFormat="1" ht="12.75" hidden="1" outlineLevel="1">
      <c r="A337" s="223" t="s">
        <v>49</v>
      </c>
      <c r="B337" s="224"/>
      <c r="C337" s="224" t="s">
        <v>50</v>
      </c>
      <c r="D337" s="224" t="s">
        <v>51</v>
      </c>
      <c r="E337" s="246">
        <v>146380</v>
      </c>
      <c r="F337" s="246">
        <v>0</v>
      </c>
      <c r="G337" s="246"/>
      <c r="H337" s="247">
        <v>0</v>
      </c>
      <c r="I337" s="247">
        <v>0</v>
      </c>
      <c r="J337" s="247">
        <v>0</v>
      </c>
      <c r="K337" s="247">
        <v>0</v>
      </c>
      <c r="L337" s="247">
        <v>0</v>
      </c>
      <c r="M337" s="247">
        <v>0</v>
      </c>
      <c r="N337" s="247">
        <v>0</v>
      </c>
      <c r="O337" s="247">
        <v>0</v>
      </c>
      <c r="P337" s="246">
        <v>0</v>
      </c>
      <c r="Q337" s="246">
        <v>0</v>
      </c>
      <c r="R337" s="246">
        <f t="shared" si="10"/>
        <v>146380</v>
      </c>
      <c r="S337" s="223"/>
    </row>
    <row r="338" spans="1:19" s="595" customFormat="1" ht="12.75" hidden="1" outlineLevel="1">
      <c r="A338" s="223" t="s">
        <v>52</v>
      </c>
      <c r="B338" s="224"/>
      <c r="C338" s="224" t="s">
        <v>53</v>
      </c>
      <c r="D338" s="224" t="s">
        <v>54</v>
      </c>
      <c r="E338" s="246">
        <v>169553.66</v>
      </c>
      <c r="F338" s="246">
        <v>0</v>
      </c>
      <c r="G338" s="246"/>
      <c r="H338" s="247">
        <v>0</v>
      </c>
      <c r="I338" s="247">
        <v>0</v>
      </c>
      <c r="J338" s="247">
        <v>0</v>
      </c>
      <c r="K338" s="247">
        <v>0</v>
      </c>
      <c r="L338" s="247">
        <v>0</v>
      </c>
      <c r="M338" s="247">
        <v>0</v>
      </c>
      <c r="N338" s="247">
        <v>0</v>
      </c>
      <c r="O338" s="247">
        <v>0</v>
      </c>
      <c r="P338" s="246">
        <v>0</v>
      </c>
      <c r="Q338" s="246">
        <v>0</v>
      </c>
      <c r="R338" s="246">
        <f t="shared" si="10"/>
        <v>169553.66</v>
      </c>
      <c r="S338" s="223"/>
    </row>
    <row r="339" spans="1:19" s="595" customFormat="1" ht="12.75" hidden="1" outlineLevel="1">
      <c r="A339" s="223" t="s">
        <v>55</v>
      </c>
      <c r="B339" s="224"/>
      <c r="C339" s="224" t="s">
        <v>56</v>
      </c>
      <c r="D339" s="224" t="s">
        <v>57</v>
      </c>
      <c r="E339" s="246">
        <v>3.5</v>
      </c>
      <c r="F339" s="246">
        <v>0</v>
      </c>
      <c r="G339" s="246"/>
      <c r="H339" s="247">
        <v>0</v>
      </c>
      <c r="I339" s="247">
        <v>0</v>
      </c>
      <c r="J339" s="247">
        <v>0</v>
      </c>
      <c r="K339" s="247">
        <v>0</v>
      </c>
      <c r="L339" s="247">
        <v>0</v>
      </c>
      <c r="M339" s="247">
        <v>0</v>
      </c>
      <c r="N339" s="247">
        <v>0</v>
      </c>
      <c r="O339" s="247">
        <v>0</v>
      </c>
      <c r="P339" s="246">
        <v>0</v>
      </c>
      <c r="Q339" s="246">
        <v>0</v>
      </c>
      <c r="R339" s="246">
        <f t="shared" si="10"/>
        <v>3.5</v>
      </c>
      <c r="S339" s="223"/>
    </row>
    <row r="340" spans="1:19" s="595" customFormat="1" ht="12.75" hidden="1" outlineLevel="1">
      <c r="A340" s="223" t="s">
        <v>58</v>
      </c>
      <c r="B340" s="224"/>
      <c r="C340" s="224" t="s">
        <v>59</v>
      </c>
      <c r="D340" s="224" t="s">
        <v>60</v>
      </c>
      <c r="E340" s="246">
        <v>1583481.23</v>
      </c>
      <c r="F340" s="246">
        <v>0</v>
      </c>
      <c r="G340" s="246"/>
      <c r="H340" s="247">
        <v>0</v>
      </c>
      <c r="I340" s="247">
        <v>0</v>
      </c>
      <c r="J340" s="247">
        <v>0</v>
      </c>
      <c r="K340" s="247">
        <v>0</v>
      </c>
      <c r="L340" s="247">
        <v>0</v>
      </c>
      <c r="M340" s="247">
        <v>0</v>
      </c>
      <c r="N340" s="247">
        <v>0</v>
      </c>
      <c r="O340" s="247">
        <v>275.32</v>
      </c>
      <c r="P340" s="246">
        <v>275.32</v>
      </c>
      <c r="Q340" s="246">
        <v>0</v>
      </c>
      <c r="R340" s="246">
        <f t="shared" si="10"/>
        <v>1583756.55</v>
      </c>
      <c r="S340" s="223"/>
    </row>
    <row r="341" spans="1:19" s="595" customFormat="1" ht="12.75" hidden="1" outlineLevel="1">
      <c r="A341" s="223" t="s">
        <v>64</v>
      </c>
      <c r="B341" s="224"/>
      <c r="C341" s="224" t="s">
        <v>65</v>
      </c>
      <c r="D341" s="224" t="s">
        <v>66</v>
      </c>
      <c r="E341" s="246">
        <v>824850.51</v>
      </c>
      <c r="F341" s="246">
        <v>0</v>
      </c>
      <c r="G341" s="246"/>
      <c r="H341" s="247">
        <v>0</v>
      </c>
      <c r="I341" s="247">
        <v>0</v>
      </c>
      <c r="J341" s="247">
        <v>0</v>
      </c>
      <c r="K341" s="247">
        <v>0</v>
      </c>
      <c r="L341" s="247">
        <v>0</v>
      </c>
      <c r="M341" s="247">
        <v>0</v>
      </c>
      <c r="N341" s="247">
        <v>0</v>
      </c>
      <c r="O341" s="247">
        <v>0</v>
      </c>
      <c r="P341" s="246">
        <v>0</v>
      </c>
      <c r="Q341" s="246">
        <v>0</v>
      </c>
      <c r="R341" s="246">
        <f t="shared" si="10"/>
        <v>824850.51</v>
      </c>
      <c r="S341" s="223"/>
    </row>
    <row r="342" spans="1:19" s="595" customFormat="1" ht="12.75" hidden="1" outlineLevel="1">
      <c r="A342" s="223" t="s">
        <v>67</v>
      </c>
      <c r="B342" s="224"/>
      <c r="C342" s="224" t="s">
        <v>68</v>
      </c>
      <c r="D342" s="224" t="s">
        <v>69</v>
      </c>
      <c r="E342" s="246">
        <v>3239764.73</v>
      </c>
      <c r="F342" s="246">
        <v>0</v>
      </c>
      <c r="G342" s="246"/>
      <c r="H342" s="247">
        <v>0</v>
      </c>
      <c r="I342" s="247">
        <v>0</v>
      </c>
      <c r="J342" s="247">
        <v>0</v>
      </c>
      <c r="K342" s="247">
        <v>0</v>
      </c>
      <c r="L342" s="247">
        <v>0</v>
      </c>
      <c r="M342" s="247">
        <v>8261.53</v>
      </c>
      <c r="N342" s="247">
        <v>0</v>
      </c>
      <c r="O342" s="247">
        <v>0</v>
      </c>
      <c r="P342" s="246">
        <v>8261.53</v>
      </c>
      <c r="Q342" s="246">
        <v>0</v>
      </c>
      <c r="R342" s="246">
        <f t="shared" si="10"/>
        <v>3248026.26</v>
      </c>
      <c r="S342" s="223"/>
    </row>
    <row r="343" spans="1:19" s="595" customFormat="1" ht="12.75" hidden="1" outlineLevel="1">
      <c r="A343" s="223" t="s">
        <v>75</v>
      </c>
      <c r="B343" s="224"/>
      <c r="C343" s="224" t="s">
        <v>76</v>
      </c>
      <c r="D343" s="224" t="s">
        <v>77</v>
      </c>
      <c r="E343" s="246">
        <v>1759038.96</v>
      </c>
      <c r="F343" s="246">
        <v>0</v>
      </c>
      <c r="G343" s="246"/>
      <c r="H343" s="247">
        <v>0</v>
      </c>
      <c r="I343" s="247">
        <v>0</v>
      </c>
      <c r="J343" s="247">
        <v>0</v>
      </c>
      <c r="K343" s="247">
        <v>0</v>
      </c>
      <c r="L343" s="247">
        <v>0</v>
      </c>
      <c r="M343" s="247">
        <v>0</v>
      </c>
      <c r="N343" s="247">
        <v>0</v>
      </c>
      <c r="O343" s="247">
        <v>0</v>
      </c>
      <c r="P343" s="246">
        <v>0</v>
      </c>
      <c r="Q343" s="246">
        <v>0</v>
      </c>
      <c r="R343" s="246">
        <f t="shared" si="10"/>
        <v>1759038.96</v>
      </c>
      <c r="S343" s="223"/>
    </row>
    <row r="344" spans="1:19" ht="12.75" customHeight="1" collapsed="1">
      <c r="A344" s="208" t="s">
        <v>81</v>
      </c>
      <c r="B344" s="209"/>
      <c r="C344" s="208" t="s">
        <v>82</v>
      </c>
      <c r="D344" s="210"/>
      <c r="E344" s="101">
        <v>8727434.46</v>
      </c>
      <c r="F344" s="101">
        <v>0</v>
      </c>
      <c r="G344" s="101">
        <v>321225.1</v>
      </c>
      <c r="H344" s="251">
        <v>8885</v>
      </c>
      <c r="I344" s="251">
        <v>0</v>
      </c>
      <c r="J344" s="251">
        <v>0</v>
      </c>
      <c r="K344" s="251">
        <v>-250</v>
      </c>
      <c r="L344" s="251">
        <v>0</v>
      </c>
      <c r="M344" s="251">
        <v>8261.53</v>
      </c>
      <c r="N344" s="251">
        <v>0</v>
      </c>
      <c r="O344" s="251">
        <v>21340.46</v>
      </c>
      <c r="P344" s="101">
        <v>38236.99</v>
      </c>
      <c r="Q344" s="101">
        <v>0</v>
      </c>
      <c r="R344" s="101">
        <f t="shared" si="10"/>
        <v>9086896.55</v>
      </c>
      <c r="S344" s="208"/>
    </row>
    <row r="345" spans="1:19" ht="12.75" customHeight="1">
      <c r="A345" s="208" t="s">
        <v>2400</v>
      </c>
      <c r="B345" s="209"/>
      <c r="C345" s="208" t="s">
        <v>2953</v>
      </c>
      <c r="D345" s="210"/>
      <c r="E345" s="101">
        <v>0</v>
      </c>
      <c r="F345" s="101">
        <v>0</v>
      </c>
      <c r="G345" s="101">
        <v>0</v>
      </c>
      <c r="H345" s="251">
        <v>0</v>
      </c>
      <c r="I345" s="251">
        <v>0</v>
      </c>
      <c r="J345" s="251">
        <v>0</v>
      </c>
      <c r="K345" s="251">
        <v>0</v>
      </c>
      <c r="L345" s="251">
        <v>0</v>
      </c>
      <c r="M345" s="251">
        <v>0</v>
      </c>
      <c r="N345" s="251">
        <v>0</v>
      </c>
      <c r="O345" s="251">
        <v>0</v>
      </c>
      <c r="P345" s="101">
        <v>0</v>
      </c>
      <c r="Q345" s="101">
        <v>0</v>
      </c>
      <c r="R345" s="101">
        <f t="shared" si="10"/>
        <v>0</v>
      </c>
      <c r="S345" s="208"/>
    </row>
    <row r="346" spans="1:19" ht="12.75" customHeight="1">
      <c r="A346" s="213" t="s">
        <v>728</v>
      </c>
      <c r="B346" s="214"/>
      <c r="C346" s="207" t="s">
        <v>2954</v>
      </c>
      <c r="D346" s="62"/>
      <c r="E346" s="103">
        <f aca="true" t="shared" si="11" ref="E346:R346">E143+E159+E329+E331+E345+E344</f>
        <v>177618894.67000002</v>
      </c>
      <c r="F346" s="103">
        <f t="shared" si="11"/>
        <v>3760393.5200000005</v>
      </c>
      <c r="G346" s="103">
        <f t="shared" si="11"/>
        <v>25397445.450000003</v>
      </c>
      <c r="H346" s="252">
        <f t="shared" si="11"/>
        <v>262192.8700000001</v>
      </c>
      <c r="I346" s="252">
        <f t="shared" si="11"/>
        <v>-223115.49</v>
      </c>
      <c r="J346" s="252">
        <f t="shared" si="11"/>
        <v>559031.58</v>
      </c>
      <c r="K346" s="252">
        <f t="shared" si="11"/>
        <v>145730.26</v>
      </c>
      <c r="L346" s="252">
        <f t="shared" si="11"/>
        <v>-286902.19</v>
      </c>
      <c r="M346" s="252">
        <f t="shared" si="11"/>
        <v>-603349.86</v>
      </c>
      <c r="N346" s="252">
        <f t="shared" si="11"/>
        <v>-12978.25</v>
      </c>
      <c r="O346" s="252">
        <f t="shared" si="11"/>
        <v>1410989.4</v>
      </c>
      <c r="P346" s="103">
        <f t="shared" si="11"/>
        <v>1251598.3200000005</v>
      </c>
      <c r="Q346" s="103">
        <f t="shared" si="11"/>
        <v>0</v>
      </c>
      <c r="R346" s="103">
        <f t="shared" si="11"/>
        <v>208028331.96000004</v>
      </c>
      <c r="S346" s="206"/>
    </row>
    <row r="347" spans="2:18" ht="12.75" customHeight="1">
      <c r="B347" s="214"/>
      <c r="C347" s="215"/>
      <c r="D347" s="72"/>
      <c r="E347" s="101"/>
      <c r="F347" s="101"/>
      <c r="G347" s="101"/>
      <c r="H347" s="217"/>
      <c r="I347" s="217"/>
      <c r="J347" s="217"/>
      <c r="K347" s="217"/>
      <c r="L347" s="217"/>
      <c r="M347" s="217"/>
      <c r="N347" s="217"/>
      <c r="O347" s="217"/>
      <c r="P347" s="101"/>
      <c r="Q347" s="101"/>
      <c r="R347" s="101"/>
    </row>
    <row r="348" spans="1:19" ht="12.75" customHeight="1">
      <c r="A348" s="206"/>
      <c r="B348" s="214" t="s">
        <v>2401</v>
      </c>
      <c r="C348" s="215"/>
      <c r="D348" s="72"/>
      <c r="E348" s="101"/>
      <c r="F348" s="101"/>
      <c r="G348" s="101"/>
      <c r="H348" s="253"/>
      <c r="I348" s="253"/>
      <c r="J348" s="253"/>
      <c r="K348" s="253"/>
      <c r="L348" s="253"/>
      <c r="M348" s="253"/>
      <c r="N348" s="253"/>
      <c r="O348" s="253"/>
      <c r="P348" s="101"/>
      <c r="Q348" s="101"/>
      <c r="R348" s="101"/>
      <c r="S348" s="206"/>
    </row>
    <row r="349" spans="1:19" ht="12.75" customHeight="1">
      <c r="A349" s="213" t="s">
        <v>728</v>
      </c>
      <c r="B349" s="214" t="s">
        <v>2776</v>
      </c>
      <c r="C349" s="215"/>
      <c r="D349" s="72"/>
      <c r="E349" s="103">
        <f aca="true" t="shared" si="12" ref="E349:R349">E123-E346</f>
        <v>-69096950.56000002</v>
      </c>
      <c r="F349" s="103">
        <f t="shared" si="12"/>
        <v>1826195.0200000014</v>
      </c>
      <c r="G349" s="103">
        <f t="shared" si="12"/>
        <v>-684500.5200000033</v>
      </c>
      <c r="H349" s="252">
        <f t="shared" si="12"/>
        <v>-113753.3600000001</v>
      </c>
      <c r="I349" s="252">
        <f t="shared" si="12"/>
        <v>223115.49</v>
      </c>
      <c r="J349" s="252">
        <f t="shared" si="12"/>
        <v>-363198.62</v>
      </c>
      <c r="K349" s="252">
        <f t="shared" si="12"/>
        <v>-27962.630000000005</v>
      </c>
      <c r="L349" s="252">
        <f t="shared" si="12"/>
        <v>341743.85</v>
      </c>
      <c r="M349" s="252">
        <f t="shared" si="12"/>
        <v>808456.63</v>
      </c>
      <c r="N349" s="252">
        <f t="shared" si="12"/>
        <v>13249.95</v>
      </c>
      <c r="O349" s="252">
        <f t="shared" si="12"/>
        <v>-1150817.89</v>
      </c>
      <c r="P349" s="103">
        <f t="shared" si="12"/>
        <v>-269166.58000000054</v>
      </c>
      <c r="Q349" s="103">
        <f t="shared" si="12"/>
        <v>0</v>
      </c>
      <c r="R349" s="103">
        <f t="shared" si="12"/>
        <v>-68224422.64000005</v>
      </c>
      <c r="S349" s="206"/>
    </row>
    <row r="350" spans="2:18" ht="12.75" customHeight="1">
      <c r="B350" s="209"/>
      <c r="C350" s="208"/>
      <c r="D350" s="210"/>
      <c r="E350" s="101"/>
      <c r="F350" s="101"/>
      <c r="G350" s="101"/>
      <c r="H350" s="217"/>
      <c r="I350" s="217"/>
      <c r="J350" s="217"/>
      <c r="K350" s="217"/>
      <c r="L350" s="217"/>
      <c r="M350" s="217"/>
      <c r="N350" s="217"/>
      <c r="O350" s="217"/>
      <c r="P350" s="101"/>
      <c r="Q350" s="101"/>
      <c r="R350" s="101"/>
    </row>
    <row r="351" spans="1:19" ht="12.75" customHeight="1">
      <c r="A351" s="208" t="s">
        <v>2777</v>
      </c>
      <c r="B351" s="209"/>
      <c r="C351" s="208" t="s">
        <v>3043</v>
      </c>
      <c r="D351" s="210"/>
      <c r="E351" s="101">
        <v>73328953.97</v>
      </c>
      <c r="F351" s="101">
        <v>0</v>
      </c>
      <c r="G351" s="101">
        <v>0</v>
      </c>
      <c r="H351" s="251">
        <v>0</v>
      </c>
      <c r="I351" s="251">
        <v>0</v>
      </c>
      <c r="J351" s="251">
        <v>0</v>
      </c>
      <c r="K351" s="251">
        <v>0</v>
      </c>
      <c r="L351" s="251">
        <v>0</v>
      </c>
      <c r="M351" s="251">
        <v>0</v>
      </c>
      <c r="N351" s="251">
        <v>0</v>
      </c>
      <c r="O351" s="251">
        <v>0</v>
      </c>
      <c r="P351" s="101">
        <v>0</v>
      </c>
      <c r="Q351" s="101">
        <v>0</v>
      </c>
      <c r="R351" s="101">
        <f>E351+F351+G351+P351+Q351</f>
        <v>73328953.97</v>
      </c>
      <c r="S351" s="208"/>
    </row>
    <row r="352" spans="2:18" ht="12.75" customHeight="1">
      <c r="B352" s="209"/>
      <c r="C352" s="208"/>
      <c r="D352" s="210"/>
      <c r="E352" s="101"/>
      <c r="F352" s="101"/>
      <c r="G352" s="101"/>
      <c r="H352" s="217"/>
      <c r="I352" s="217"/>
      <c r="J352" s="217"/>
      <c r="K352" s="217"/>
      <c r="L352" s="217"/>
      <c r="M352" s="217"/>
      <c r="N352" s="217"/>
      <c r="O352" s="217"/>
      <c r="P352" s="101"/>
      <c r="Q352" s="101"/>
      <c r="R352" s="101"/>
    </row>
    <row r="353" spans="1:19" ht="12.75" customHeight="1">
      <c r="A353" s="206"/>
      <c r="B353" s="214" t="s">
        <v>2402</v>
      </c>
      <c r="C353" s="215"/>
      <c r="D353" s="210"/>
      <c r="E353" s="101"/>
      <c r="F353" s="101"/>
      <c r="G353" s="101"/>
      <c r="H353" s="253"/>
      <c r="I353" s="253"/>
      <c r="J353" s="253"/>
      <c r="K353" s="253"/>
      <c r="L353" s="253"/>
      <c r="M353" s="253"/>
      <c r="N353" s="253"/>
      <c r="O353" s="253"/>
      <c r="P353" s="101"/>
      <c r="Q353" s="101"/>
      <c r="R353" s="101"/>
      <c r="S353" s="206"/>
    </row>
    <row r="354" spans="1:19" ht="12.75" customHeight="1">
      <c r="A354" s="213" t="s">
        <v>728</v>
      </c>
      <c r="B354" s="214" t="s">
        <v>2778</v>
      </c>
      <c r="C354" s="215"/>
      <c r="D354" s="72"/>
      <c r="E354" s="103">
        <f aca="true" t="shared" si="13" ref="E354:R354">E349+E351</f>
        <v>4232003.4099999815</v>
      </c>
      <c r="F354" s="103">
        <f t="shared" si="13"/>
        <v>1826195.0200000014</v>
      </c>
      <c r="G354" s="103">
        <f t="shared" si="13"/>
        <v>-684500.5200000033</v>
      </c>
      <c r="H354" s="252">
        <f t="shared" si="13"/>
        <v>-113753.3600000001</v>
      </c>
      <c r="I354" s="252">
        <f t="shared" si="13"/>
        <v>223115.49</v>
      </c>
      <c r="J354" s="252">
        <f t="shared" si="13"/>
        <v>-363198.62</v>
      </c>
      <c r="K354" s="252">
        <f t="shared" si="13"/>
        <v>-27962.630000000005</v>
      </c>
      <c r="L354" s="252">
        <f t="shared" si="13"/>
        <v>341743.85</v>
      </c>
      <c r="M354" s="252">
        <f t="shared" si="13"/>
        <v>808456.63</v>
      </c>
      <c r="N354" s="252">
        <f t="shared" si="13"/>
        <v>13249.95</v>
      </c>
      <c r="O354" s="252">
        <f t="shared" si="13"/>
        <v>-1150817.89</v>
      </c>
      <c r="P354" s="103">
        <f t="shared" si="13"/>
        <v>-269166.58000000054</v>
      </c>
      <c r="Q354" s="103">
        <f t="shared" si="13"/>
        <v>0</v>
      </c>
      <c r="R354" s="103">
        <f t="shared" si="13"/>
        <v>5104531.3299999535</v>
      </c>
      <c r="S354" s="206"/>
    </row>
    <row r="355" spans="2:18" ht="12.75" customHeight="1">
      <c r="B355" s="209"/>
      <c r="C355" s="208"/>
      <c r="D355" s="210"/>
      <c r="E355" s="101"/>
      <c r="F355" s="101"/>
      <c r="G355" s="101"/>
      <c r="H355" s="217"/>
      <c r="I355" s="217"/>
      <c r="J355" s="217"/>
      <c r="K355" s="217"/>
      <c r="L355" s="217"/>
      <c r="M355" s="217"/>
      <c r="N355" s="217"/>
      <c r="O355" s="217"/>
      <c r="P355" s="101"/>
      <c r="Q355" s="101"/>
      <c r="R355" s="101"/>
    </row>
    <row r="356" spans="1:19" ht="12.75" customHeight="1">
      <c r="A356" s="206"/>
      <c r="B356" s="214" t="s">
        <v>2779</v>
      </c>
      <c r="C356" s="215"/>
      <c r="D356" s="72"/>
      <c r="E356" s="101"/>
      <c r="F356" s="101"/>
      <c r="G356" s="101"/>
      <c r="H356" s="253"/>
      <c r="I356" s="253"/>
      <c r="J356" s="253"/>
      <c r="K356" s="253"/>
      <c r="L356" s="253"/>
      <c r="M356" s="253"/>
      <c r="N356" s="253"/>
      <c r="O356" s="253"/>
      <c r="P356" s="101"/>
      <c r="Q356" s="101"/>
      <c r="R356" s="101"/>
      <c r="S356" s="206"/>
    </row>
    <row r="357" spans="1:19" ht="12.75" customHeight="1">
      <c r="A357" s="208" t="s">
        <v>2403</v>
      </c>
      <c r="B357" s="209"/>
      <c r="C357" s="208" t="s">
        <v>3046</v>
      </c>
      <c r="D357" s="210"/>
      <c r="E357" s="101">
        <v>0</v>
      </c>
      <c r="F357" s="101">
        <v>0</v>
      </c>
      <c r="G357" s="101">
        <v>0</v>
      </c>
      <c r="H357" s="251">
        <v>0</v>
      </c>
      <c r="I357" s="251">
        <v>0</v>
      </c>
      <c r="J357" s="251">
        <v>0</v>
      </c>
      <c r="K357" s="251">
        <v>0</v>
      </c>
      <c r="L357" s="251">
        <v>0</v>
      </c>
      <c r="M357" s="251">
        <v>0</v>
      </c>
      <c r="N357" s="251">
        <v>0</v>
      </c>
      <c r="O357" s="251">
        <v>0</v>
      </c>
      <c r="P357" s="101">
        <v>0</v>
      </c>
      <c r="Q357" s="101">
        <v>0</v>
      </c>
      <c r="R357" s="101">
        <f aca="true" t="shared" si="14" ref="R357:R364">E357+F357+G357+P357+Q357</f>
        <v>0</v>
      </c>
      <c r="S357" s="208"/>
    </row>
    <row r="358" spans="1:19" s="595" customFormat="1" ht="12.75" hidden="1" outlineLevel="1">
      <c r="A358" s="223" t="s">
        <v>2410</v>
      </c>
      <c r="B358" s="224"/>
      <c r="C358" s="224" t="s">
        <v>2411</v>
      </c>
      <c r="D358" s="224" t="s">
        <v>2412</v>
      </c>
      <c r="E358" s="246">
        <v>125675.8</v>
      </c>
      <c r="F358" s="246">
        <v>0</v>
      </c>
      <c r="G358" s="246"/>
      <c r="H358" s="247">
        <v>0</v>
      </c>
      <c r="I358" s="247">
        <v>0</v>
      </c>
      <c r="J358" s="247">
        <v>0</v>
      </c>
      <c r="K358" s="247">
        <v>0</v>
      </c>
      <c r="L358" s="247">
        <v>0</v>
      </c>
      <c r="M358" s="247">
        <v>0</v>
      </c>
      <c r="N358" s="247">
        <v>0</v>
      </c>
      <c r="O358" s="247">
        <v>0</v>
      </c>
      <c r="P358" s="246">
        <v>0</v>
      </c>
      <c r="Q358" s="246">
        <v>0</v>
      </c>
      <c r="R358" s="246">
        <f t="shared" si="14"/>
        <v>125675.8</v>
      </c>
      <c r="S358" s="223"/>
    </row>
    <row r="359" spans="1:19" s="595" customFormat="1" ht="12.75" hidden="1" outlineLevel="1">
      <c r="A359" s="223" t="s">
        <v>2422</v>
      </c>
      <c r="B359" s="224"/>
      <c r="C359" s="224" t="s">
        <v>2423</v>
      </c>
      <c r="D359" s="224" t="s">
        <v>2424</v>
      </c>
      <c r="E359" s="246">
        <v>237596.99</v>
      </c>
      <c r="F359" s="246">
        <v>0</v>
      </c>
      <c r="G359" s="246"/>
      <c r="H359" s="247">
        <v>0</v>
      </c>
      <c r="I359" s="247">
        <v>0</v>
      </c>
      <c r="J359" s="247">
        <v>0</v>
      </c>
      <c r="K359" s="247">
        <v>0</v>
      </c>
      <c r="L359" s="247">
        <v>0</v>
      </c>
      <c r="M359" s="247">
        <v>0</v>
      </c>
      <c r="N359" s="247">
        <v>0</v>
      </c>
      <c r="O359" s="247">
        <v>0</v>
      </c>
      <c r="P359" s="246">
        <v>0</v>
      </c>
      <c r="Q359" s="246">
        <v>0</v>
      </c>
      <c r="R359" s="246">
        <f t="shared" si="14"/>
        <v>237596.99</v>
      </c>
      <c r="S359" s="223"/>
    </row>
    <row r="360" spans="1:19" ht="12.75" customHeight="1" collapsed="1">
      <c r="A360" s="208" t="s">
        <v>2431</v>
      </c>
      <c r="B360" s="209"/>
      <c r="C360" s="208" t="s">
        <v>2432</v>
      </c>
      <c r="D360" s="210"/>
      <c r="E360" s="101">
        <v>363272.79</v>
      </c>
      <c r="F360" s="101">
        <v>0</v>
      </c>
      <c r="G360" s="101">
        <v>0</v>
      </c>
      <c r="H360" s="251">
        <v>0</v>
      </c>
      <c r="I360" s="251">
        <v>0</v>
      </c>
      <c r="J360" s="251">
        <v>0</v>
      </c>
      <c r="K360" s="251">
        <v>0</v>
      </c>
      <c r="L360" s="251">
        <v>0</v>
      </c>
      <c r="M360" s="251">
        <v>0</v>
      </c>
      <c r="N360" s="251">
        <v>0</v>
      </c>
      <c r="O360" s="251">
        <v>0</v>
      </c>
      <c r="P360" s="101">
        <v>0</v>
      </c>
      <c r="Q360" s="101">
        <v>0</v>
      </c>
      <c r="R360" s="101">
        <f t="shared" si="14"/>
        <v>363272.79</v>
      </c>
      <c r="S360" s="208"/>
    </row>
    <row r="361" spans="1:19" ht="12.75" customHeight="1">
      <c r="A361" s="208" t="s">
        <v>2780</v>
      </c>
      <c r="B361" s="209"/>
      <c r="C361" s="208" t="s">
        <v>3048</v>
      </c>
      <c r="D361" s="210"/>
      <c r="E361" s="101">
        <v>21645</v>
      </c>
      <c r="F361" s="101">
        <v>3482.34</v>
      </c>
      <c r="G361" s="101">
        <v>67861.35</v>
      </c>
      <c r="H361" s="251">
        <v>0</v>
      </c>
      <c r="I361" s="251">
        <v>0</v>
      </c>
      <c r="J361" s="251">
        <v>0</v>
      </c>
      <c r="K361" s="251">
        <v>0</v>
      </c>
      <c r="L361" s="251">
        <v>0</v>
      </c>
      <c r="M361" s="251">
        <v>0</v>
      </c>
      <c r="N361" s="251">
        <v>0</v>
      </c>
      <c r="O361" s="251">
        <v>7500</v>
      </c>
      <c r="P361" s="101">
        <v>7500</v>
      </c>
      <c r="Q361" s="101">
        <v>0</v>
      </c>
      <c r="R361" s="101">
        <f t="shared" si="14"/>
        <v>100488.69</v>
      </c>
      <c r="S361" s="208"/>
    </row>
    <row r="362" spans="1:19" ht="12.75" customHeight="1">
      <c r="A362" s="208" t="s">
        <v>2451</v>
      </c>
      <c r="B362" s="209"/>
      <c r="C362" s="208" t="s">
        <v>3049</v>
      </c>
      <c r="D362" s="210"/>
      <c r="E362" s="101">
        <v>0</v>
      </c>
      <c r="F362" s="101">
        <v>0</v>
      </c>
      <c r="G362" s="101">
        <v>0</v>
      </c>
      <c r="H362" s="251">
        <v>0</v>
      </c>
      <c r="I362" s="251">
        <v>0</v>
      </c>
      <c r="J362" s="251">
        <v>0</v>
      </c>
      <c r="K362" s="251">
        <v>0</v>
      </c>
      <c r="L362" s="251">
        <v>0</v>
      </c>
      <c r="M362" s="251">
        <v>0</v>
      </c>
      <c r="N362" s="251">
        <v>0</v>
      </c>
      <c r="O362" s="251">
        <v>0</v>
      </c>
      <c r="P362" s="101">
        <v>0</v>
      </c>
      <c r="Q362" s="101">
        <v>0</v>
      </c>
      <c r="R362" s="101">
        <f t="shared" si="14"/>
        <v>0</v>
      </c>
      <c r="S362" s="208"/>
    </row>
    <row r="363" spans="1:19" ht="12.75" customHeight="1">
      <c r="A363" s="208" t="s">
        <v>2452</v>
      </c>
      <c r="B363" s="209"/>
      <c r="C363" s="208" t="s">
        <v>2453</v>
      </c>
      <c r="D363" s="210"/>
      <c r="E363" s="101">
        <v>0</v>
      </c>
      <c r="F363" s="101">
        <v>0</v>
      </c>
      <c r="G363" s="101">
        <v>0</v>
      </c>
      <c r="H363" s="251">
        <v>0</v>
      </c>
      <c r="I363" s="251">
        <v>0</v>
      </c>
      <c r="J363" s="251">
        <v>0</v>
      </c>
      <c r="K363" s="251">
        <v>0</v>
      </c>
      <c r="L363" s="251">
        <v>0</v>
      </c>
      <c r="M363" s="251">
        <v>0</v>
      </c>
      <c r="N363" s="251">
        <v>0</v>
      </c>
      <c r="O363" s="251">
        <v>0</v>
      </c>
      <c r="P363" s="101">
        <v>0</v>
      </c>
      <c r="Q363" s="101">
        <v>0</v>
      </c>
      <c r="R363" s="101">
        <f t="shared" si="14"/>
        <v>0</v>
      </c>
      <c r="S363" s="208"/>
    </row>
    <row r="364" spans="1:19" ht="12.75" customHeight="1">
      <c r="A364" s="208" t="s">
        <v>2457</v>
      </c>
      <c r="B364" s="209"/>
      <c r="C364" s="208" t="s">
        <v>2458</v>
      </c>
      <c r="D364" s="210"/>
      <c r="E364" s="101">
        <v>0</v>
      </c>
      <c r="F364" s="101">
        <v>0</v>
      </c>
      <c r="G364" s="101">
        <v>0</v>
      </c>
      <c r="H364" s="251">
        <v>0</v>
      </c>
      <c r="I364" s="251">
        <v>0</v>
      </c>
      <c r="J364" s="251">
        <v>0</v>
      </c>
      <c r="K364" s="251">
        <v>0</v>
      </c>
      <c r="L364" s="251">
        <v>0</v>
      </c>
      <c r="M364" s="251">
        <v>0</v>
      </c>
      <c r="N364" s="251">
        <v>0</v>
      </c>
      <c r="O364" s="251">
        <v>0</v>
      </c>
      <c r="P364" s="101">
        <v>0</v>
      </c>
      <c r="Q364" s="101">
        <v>0</v>
      </c>
      <c r="R364" s="101">
        <f t="shared" si="14"/>
        <v>0</v>
      </c>
      <c r="S364" s="208"/>
    </row>
    <row r="365" spans="2:18" ht="12.75" customHeight="1">
      <c r="B365" s="209"/>
      <c r="C365" s="208"/>
      <c r="D365" s="210"/>
      <c r="E365" s="101"/>
      <c r="F365" s="101"/>
      <c r="G365" s="101"/>
      <c r="H365" s="217"/>
      <c r="I365" s="217"/>
      <c r="J365" s="217"/>
      <c r="K365" s="217"/>
      <c r="L365" s="217"/>
      <c r="M365" s="217"/>
      <c r="N365" s="217"/>
      <c r="O365" s="217"/>
      <c r="P365" s="101"/>
      <c r="Q365" s="101"/>
      <c r="R365" s="101"/>
    </row>
    <row r="366" spans="1:19" s="602" customFormat="1" ht="12.75" customHeight="1">
      <c r="A366" s="213"/>
      <c r="B366" s="214"/>
      <c r="C366" s="215" t="s">
        <v>2459</v>
      </c>
      <c r="D366" s="72"/>
      <c r="E366" s="103"/>
      <c r="F366" s="103"/>
      <c r="G366" s="103"/>
      <c r="H366" s="252"/>
      <c r="I366" s="252"/>
      <c r="J366" s="252"/>
      <c r="K366" s="252"/>
      <c r="L366" s="252"/>
      <c r="M366" s="252"/>
      <c r="N366" s="252"/>
      <c r="O366" s="252"/>
      <c r="P366" s="103"/>
      <c r="Q366" s="103"/>
      <c r="R366" s="103"/>
      <c r="S366" s="213"/>
    </row>
    <row r="367" spans="1:19" s="602" customFormat="1" ht="12.75" customHeight="1">
      <c r="A367" s="213" t="s">
        <v>728</v>
      </c>
      <c r="B367" s="214"/>
      <c r="C367" s="215" t="s">
        <v>3052</v>
      </c>
      <c r="D367" s="72"/>
      <c r="E367" s="103">
        <f aca="true" t="shared" si="15" ref="E367:R367">E364+E362+E361+E360+E357+E363</f>
        <v>384917.79</v>
      </c>
      <c r="F367" s="103">
        <f t="shared" si="15"/>
        <v>3482.34</v>
      </c>
      <c r="G367" s="103">
        <f t="shared" si="15"/>
        <v>67861.35</v>
      </c>
      <c r="H367" s="252">
        <f t="shared" si="15"/>
        <v>0</v>
      </c>
      <c r="I367" s="252">
        <f t="shared" si="15"/>
        <v>0</v>
      </c>
      <c r="J367" s="252">
        <f t="shared" si="15"/>
        <v>0</v>
      </c>
      <c r="K367" s="252">
        <f t="shared" si="15"/>
        <v>0</v>
      </c>
      <c r="L367" s="252">
        <f t="shared" si="15"/>
        <v>0</v>
      </c>
      <c r="M367" s="252">
        <f t="shared" si="15"/>
        <v>0</v>
      </c>
      <c r="N367" s="252">
        <f t="shared" si="15"/>
        <v>0</v>
      </c>
      <c r="O367" s="252">
        <f t="shared" si="15"/>
        <v>7500</v>
      </c>
      <c r="P367" s="103">
        <f t="shared" si="15"/>
        <v>7500</v>
      </c>
      <c r="Q367" s="103">
        <f t="shared" si="15"/>
        <v>0</v>
      </c>
      <c r="R367" s="103">
        <f t="shared" si="15"/>
        <v>463761.48</v>
      </c>
      <c r="S367" s="213"/>
    </row>
    <row r="368" spans="2:18" ht="12.75" customHeight="1">
      <c r="B368" s="209"/>
      <c r="C368" s="208"/>
      <c r="D368" s="210"/>
      <c r="E368" s="101"/>
      <c r="F368" s="101"/>
      <c r="G368" s="101"/>
      <c r="H368" s="217"/>
      <c r="I368" s="217"/>
      <c r="J368" s="217"/>
      <c r="K368" s="217"/>
      <c r="L368" s="217"/>
      <c r="M368" s="217"/>
      <c r="N368" s="217"/>
      <c r="O368" s="217"/>
      <c r="P368" s="101"/>
      <c r="Q368" s="101"/>
      <c r="R368" s="101"/>
    </row>
    <row r="369" spans="1:19" ht="12.75" customHeight="1">
      <c r="A369" s="208"/>
      <c r="B369" s="209"/>
      <c r="C369" s="208" t="s">
        <v>2969</v>
      </c>
      <c r="D369" s="210"/>
      <c r="E369" s="101">
        <v>0</v>
      </c>
      <c r="F369" s="101">
        <v>0</v>
      </c>
      <c r="G369" s="101">
        <v>0</v>
      </c>
      <c r="H369" s="251"/>
      <c r="I369" s="251"/>
      <c r="J369" s="251"/>
      <c r="K369" s="251"/>
      <c r="L369" s="251"/>
      <c r="M369" s="251"/>
      <c r="N369" s="251"/>
      <c r="O369" s="251"/>
      <c r="P369" s="101">
        <v>0</v>
      </c>
      <c r="Q369" s="101">
        <v>0</v>
      </c>
      <c r="R369" s="101">
        <f>E369+F369+G369+P369+Q369</f>
        <v>0</v>
      </c>
      <c r="S369" s="208"/>
    </row>
    <row r="370" spans="1:19" ht="12.75" customHeight="1">
      <c r="A370" s="208"/>
      <c r="B370" s="209"/>
      <c r="C370" s="208" t="s">
        <v>964</v>
      </c>
      <c r="D370" s="210"/>
      <c r="E370" s="101">
        <v>0</v>
      </c>
      <c r="F370" s="101">
        <v>0</v>
      </c>
      <c r="G370" s="101">
        <v>0</v>
      </c>
      <c r="H370" s="251"/>
      <c r="I370" s="251"/>
      <c r="J370" s="251"/>
      <c r="K370" s="251"/>
      <c r="L370" s="251"/>
      <c r="M370" s="251"/>
      <c r="N370" s="251"/>
      <c r="O370" s="251"/>
      <c r="P370" s="101">
        <v>0</v>
      </c>
      <c r="Q370" s="101">
        <v>0</v>
      </c>
      <c r="R370" s="101">
        <f>E370+F370+G370+P370+Q370</f>
        <v>0</v>
      </c>
      <c r="S370" s="208"/>
    </row>
    <row r="371" spans="1:19" ht="12.75" customHeight="1">
      <c r="A371" s="219"/>
      <c r="B371" s="209"/>
      <c r="C371" s="208" t="s">
        <v>965</v>
      </c>
      <c r="D371" s="210"/>
      <c r="E371" s="101">
        <v>0</v>
      </c>
      <c r="F371" s="101">
        <v>0</v>
      </c>
      <c r="G371" s="101">
        <v>0</v>
      </c>
      <c r="H371" s="254"/>
      <c r="I371" s="254"/>
      <c r="J371" s="254"/>
      <c r="K371" s="254"/>
      <c r="L371" s="254"/>
      <c r="M371" s="254"/>
      <c r="N371" s="254"/>
      <c r="O371" s="254"/>
      <c r="P371" s="101">
        <v>0</v>
      </c>
      <c r="Q371" s="101">
        <v>0</v>
      </c>
      <c r="R371" s="101">
        <f>E371+F371+G371+P371+Q371</f>
        <v>0</v>
      </c>
      <c r="S371" s="219"/>
    </row>
    <row r="372" spans="1:19" ht="12.75" customHeight="1">
      <c r="A372" s="219" t="s">
        <v>726</v>
      </c>
      <c r="B372" s="209"/>
      <c r="C372" s="208" t="s">
        <v>3055</v>
      </c>
      <c r="D372" s="210"/>
      <c r="E372" s="101">
        <v>0</v>
      </c>
      <c r="F372" s="101">
        <v>0</v>
      </c>
      <c r="G372" s="101">
        <v>0</v>
      </c>
      <c r="H372" s="254"/>
      <c r="I372" s="254"/>
      <c r="J372" s="254"/>
      <c r="K372" s="254"/>
      <c r="L372" s="254"/>
      <c r="M372" s="254"/>
      <c r="N372" s="254"/>
      <c r="O372" s="254"/>
      <c r="P372" s="101">
        <v>0</v>
      </c>
      <c r="Q372" s="101">
        <v>0</v>
      </c>
      <c r="R372" s="101">
        <f>E372+F372+G372+P372+Q372</f>
        <v>0</v>
      </c>
      <c r="S372" s="219"/>
    </row>
    <row r="373" spans="1:19" s="599" customFormat="1" ht="12.75" customHeight="1">
      <c r="A373" s="192"/>
      <c r="B373" s="214"/>
      <c r="C373" s="215"/>
      <c r="D373" s="72"/>
      <c r="E373" s="103"/>
      <c r="F373" s="103"/>
      <c r="G373" s="103"/>
      <c r="H373" s="255"/>
      <c r="I373" s="255"/>
      <c r="J373" s="255"/>
      <c r="K373" s="255"/>
      <c r="L373" s="255"/>
      <c r="M373" s="255"/>
      <c r="N373" s="255"/>
      <c r="O373" s="255"/>
      <c r="P373" s="103"/>
      <c r="Q373" s="103"/>
      <c r="R373" s="103"/>
      <c r="S373" s="192"/>
    </row>
    <row r="374" spans="1:19" s="599" customFormat="1" ht="12.75" customHeight="1">
      <c r="A374" s="192"/>
      <c r="B374" s="214"/>
      <c r="C374" s="207" t="s">
        <v>2781</v>
      </c>
      <c r="D374" s="72"/>
      <c r="E374" s="103"/>
      <c r="F374" s="103"/>
      <c r="G374" s="103"/>
      <c r="H374" s="255"/>
      <c r="I374" s="255"/>
      <c r="J374" s="255"/>
      <c r="K374" s="255"/>
      <c r="L374" s="255"/>
      <c r="M374" s="255"/>
      <c r="N374" s="255"/>
      <c r="O374" s="255"/>
      <c r="P374" s="103"/>
      <c r="Q374" s="103"/>
      <c r="R374" s="103"/>
      <c r="S374" s="192"/>
    </row>
    <row r="375" spans="1:19" s="602" customFormat="1" ht="12.75" customHeight="1">
      <c r="A375" s="213" t="s">
        <v>728</v>
      </c>
      <c r="B375" s="214"/>
      <c r="C375" s="207" t="s">
        <v>2782</v>
      </c>
      <c r="D375" s="62"/>
      <c r="E375" s="103">
        <f aca="true" t="shared" si="16" ref="E375:R375">E367+E369+E370+E371+E372</f>
        <v>384917.79</v>
      </c>
      <c r="F375" s="103">
        <f t="shared" si="16"/>
        <v>3482.34</v>
      </c>
      <c r="G375" s="103">
        <f t="shared" si="16"/>
        <v>67861.35</v>
      </c>
      <c r="H375" s="252">
        <f t="shared" si="16"/>
        <v>0</v>
      </c>
      <c r="I375" s="252">
        <f t="shared" si="16"/>
        <v>0</v>
      </c>
      <c r="J375" s="252">
        <f t="shared" si="16"/>
        <v>0</v>
      </c>
      <c r="K375" s="252">
        <f t="shared" si="16"/>
        <v>0</v>
      </c>
      <c r="L375" s="252">
        <f t="shared" si="16"/>
        <v>0</v>
      </c>
      <c r="M375" s="252">
        <f t="shared" si="16"/>
        <v>0</v>
      </c>
      <c r="N375" s="252">
        <f t="shared" si="16"/>
        <v>0</v>
      </c>
      <c r="O375" s="252">
        <f t="shared" si="16"/>
        <v>7500</v>
      </c>
      <c r="P375" s="103">
        <f t="shared" si="16"/>
        <v>7500</v>
      </c>
      <c r="Q375" s="103">
        <f t="shared" si="16"/>
        <v>0</v>
      </c>
      <c r="R375" s="103">
        <f t="shared" si="16"/>
        <v>463761.48</v>
      </c>
      <c r="S375" s="213"/>
    </row>
    <row r="376" spans="1:19" ht="12.75" customHeight="1">
      <c r="A376" s="206"/>
      <c r="B376" s="209"/>
      <c r="C376" s="208"/>
      <c r="D376" s="210"/>
      <c r="E376" s="101"/>
      <c r="F376" s="101"/>
      <c r="G376" s="101"/>
      <c r="H376" s="253"/>
      <c r="I376" s="253"/>
      <c r="J376" s="253"/>
      <c r="K376" s="253"/>
      <c r="L376" s="253"/>
      <c r="M376" s="253"/>
      <c r="N376" s="253"/>
      <c r="O376" s="253"/>
      <c r="P376" s="101"/>
      <c r="Q376" s="101"/>
      <c r="R376" s="101"/>
      <c r="S376" s="206"/>
    </row>
    <row r="377" spans="1:19" s="595" customFormat="1" ht="12.75" hidden="1" outlineLevel="1">
      <c r="A377" s="223" t="s">
        <v>2472</v>
      </c>
      <c r="B377" s="224"/>
      <c r="C377" s="224" t="s">
        <v>2473</v>
      </c>
      <c r="D377" s="224" t="s">
        <v>2474</v>
      </c>
      <c r="E377" s="246">
        <v>-567180</v>
      </c>
      <c r="F377" s="246">
        <v>0</v>
      </c>
      <c r="G377" s="246"/>
      <c r="H377" s="247">
        <v>0</v>
      </c>
      <c r="I377" s="247">
        <v>0</v>
      </c>
      <c r="J377" s="247">
        <v>0</v>
      </c>
      <c r="K377" s="247">
        <v>0</v>
      </c>
      <c r="L377" s="247">
        <v>0</v>
      </c>
      <c r="M377" s="247">
        <v>0</v>
      </c>
      <c r="N377" s="247">
        <v>0</v>
      </c>
      <c r="O377" s="247">
        <v>0</v>
      </c>
      <c r="P377" s="246">
        <v>0</v>
      </c>
      <c r="Q377" s="246">
        <v>0</v>
      </c>
      <c r="R377" s="246">
        <f aca="true" t="shared" si="17" ref="R377:R392">E377+F377+G377+P377+Q377</f>
        <v>-567180</v>
      </c>
      <c r="S377" s="223"/>
    </row>
    <row r="378" spans="1:19" s="595" customFormat="1" ht="12.75" hidden="1" outlineLevel="1">
      <c r="A378" s="223" t="s">
        <v>2475</v>
      </c>
      <c r="B378" s="224"/>
      <c r="C378" s="224" t="s">
        <v>2476</v>
      </c>
      <c r="D378" s="224" t="s">
        <v>2477</v>
      </c>
      <c r="E378" s="246">
        <v>-23647</v>
      </c>
      <c r="F378" s="246">
        <v>0</v>
      </c>
      <c r="G378" s="246"/>
      <c r="H378" s="247">
        <v>0</v>
      </c>
      <c r="I378" s="247">
        <v>0</v>
      </c>
      <c r="J378" s="247">
        <v>0</v>
      </c>
      <c r="K378" s="247">
        <v>0</v>
      </c>
      <c r="L378" s="247">
        <v>0</v>
      </c>
      <c r="M378" s="247">
        <v>0</v>
      </c>
      <c r="N378" s="247">
        <v>0</v>
      </c>
      <c r="O378" s="247">
        <v>0</v>
      </c>
      <c r="P378" s="246">
        <v>0</v>
      </c>
      <c r="Q378" s="246">
        <v>0</v>
      </c>
      <c r="R378" s="246">
        <f t="shared" si="17"/>
        <v>-23647</v>
      </c>
      <c r="S378" s="223"/>
    </row>
    <row r="379" spans="1:19" ht="12.75" customHeight="1" collapsed="1">
      <c r="A379" s="208" t="s">
        <v>2479</v>
      </c>
      <c r="B379" s="209"/>
      <c r="C379" s="208" t="s">
        <v>3056</v>
      </c>
      <c r="D379" s="210"/>
      <c r="E379" s="101">
        <v>-590827</v>
      </c>
      <c r="F379" s="101">
        <v>0</v>
      </c>
      <c r="G379" s="101">
        <v>-1353493</v>
      </c>
      <c r="H379" s="251">
        <v>0</v>
      </c>
      <c r="I379" s="251">
        <v>0</v>
      </c>
      <c r="J379" s="251">
        <v>0</v>
      </c>
      <c r="K379" s="251">
        <v>0</v>
      </c>
      <c r="L379" s="251">
        <v>0</v>
      </c>
      <c r="M379" s="251">
        <v>0</v>
      </c>
      <c r="N379" s="251">
        <v>0</v>
      </c>
      <c r="O379" s="251">
        <v>0</v>
      </c>
      <c r="P379" s="101">
        <v>0</v>
      </c>
      <c r="Q379" s="101">
        <v>0</v>
      </c>
      <c r="R379" s="101">
        <f t="shared" si="17"/>
        <v>-1944320</v>
      </c>
      <c r="S379" s="208"/>
    </row>
    <row r="380" spans="1:19" s="595" customFormat="1" ht="12.75" hidden="1" outlineLevel="1">
      <c r="A380" s="223" t="s">
        <v>2480</v>
      </c>
      <c r="B380" s="224"/>
      <c r="C380" s="224" t="s">
        <v>2481</v>
      </c>
      <c r="D380" s="224" t="s">
        <v>2482</v>
      </c>
      <c r="E380" s="246">
        <v>1501197.07</v>
      </c>
      <c r="F380" s="246">
        <v>0</v>
      </c>
      <c r="G380" s="246"/>
      <c r="H380" s="247">
        <v>0</v>
      </c>
      <c r="I380" s="247">
        <v>0</v>
      </c>
      <c r="J380" s="247">
        <v>0</v>
      </c>
      <c r="K380" s="247">
        <v>0</v>
      </c>
      <c r="L380" s="247">
        <v>0</v>
      </c>
      <c r="M380" s="247">
        <v>0</v>
      </c>
      <c r="N380" s="247">
        <v>0</v>
      </c>
      <c r="O380" s="247">
        <v>0</v>
      </c>
      <c r="P380" s="246">
        <v>0</v>
      </c>
      <c r="Q380" s="246">
        <v>0</v>
      </c>
      <c r="R380" s="246">
        <f t="shared" si="17"/>
        <v>1501197.07</v>
      </c>
      <c r="S380" s="223"/>
    </row>
    <row r="381" spans="1:19" s="595" customFormat="1" ht="12.75" hidden="1" outlineLevel="1">
      <c r="A381" s="223" t="s">
        <v>2483</v>
      </c>
      <c r="B381" s="224"/>
      <c r="C381" s="224" t="s">
        <v>2484</v>
      </c>
      <c r="D381" s="224" t="s">
        <v>2485</v>
      </c>
      <c r="E381" s="246">
        <v>79.86</v>
      </c>
      <c r="F381" s="246">
        <v>0</v>
      </c>
      <c r="G381" s="246"/>
      <c r="H381" s="247">
        <v>0</v>
      </c>
      <c r="I381" s="247">
        <v>0</v>
      </c>
      <c r="J381" s="247">
        <v>0</v>
      </c>
      <c r="K381" s="247">
        <v>0</v>
      </c>
      <c r="L381" s="247">
        <v>0</v>
      </c>
      <c r="M381" s="247">
        <v>0</v>
      </c>
      <c r="N381" s="247">
        <v>0</v>
      </c>
      <c r="O381" s="247">
        <v>0</v>
      </c>
      <c r="P381" s="246">
        <v>0</v>
      </c>
      <c r="Q381" s="246">
        <v>0</v>
      </c>
      <c r="R381" s="246">
        <f t="shared" si="17"/>
        <v>79.86</v>
      </c>
      <c r="S381" s="223"/>
    </row>
    <row r="382" spans="1:19" s="595" customFormat="1" ht="12.75" hidden="1" outlineLevel="1">
      <c r="A382" s="223" t="s">
        <v>2486</v>
      </c>
      <c r="B382" s="224"/>
      <c r="C382" s="224" t="s">
        <v>2487</v>
      </c>
      <c r="D382" s="224" t="s">
        <v>2488</v>
      </c>
      <c r="E382" s="246">
        <v>-4320.95</v>
      </c>
      <c r="F382" s="246">
        <v>0</v>
      </c>
      <c r="G382" s="246"/>
      <c r="H382" s="247">
        <v>0</v>
      </c>
      <c r="I382" s="247">
        <v>0</v>
      </c>
      <c r="J382" s="247">
        <v>0</v>
      </c>
      <c r="K382" s="247">
        <v>0</v>
      </c>
      <c r="L382" s="247">
        <v>0</v>
      </c>
      <c r="M382" s="247">
        <v>0</v>
      </c>
      <c r="N382" s="247">
        <v>0</v>
      </c>
      <c r="O382" s="247">
        <v>0</v>
      </c>
      <c r="P382" s="246">
        <v>0</v>
      </c>
      <c r="Q382" s="246">
        <v>0</v>
      </c>
      <c r="R382" s="246">
        <f t="shared" si="17"/>
        <v>-4320.95</v>
      </c>
      <c r="S382" s="223"/>
    </row>
    <row r="383" spans="1:19" s="595" customFormat="1" ht="12.75" hidden="1" outlineLevel="1">
      <c r="A383" s="223" t="s">
        <v>2489</v>
      </c>
      <c r="B383" s="224"/>
      <c r="C383" s="224" t="s">
        <v>2490</v>
      </c>
      <c r="D383" s="224" t="s">
        <v>2491</v>
      </c>
      <c r="E383" s="246">
        <v>0</v>
      </c>
      <c r="F383" s="246">
        <v>0</v>
      </c>
      <c r="G383" s="246"/>
      <c r="H383" s="247">
        <v>0</v>
      </c>
      <c r="I383" s="247">
        <v>0</v>
      </c>
      <c r="J383" s="247">
        <v>0</v>
      </c>
      <c r="K383" s="247">
        <v>-44388</v>
      </c>
      <c r="L383" s="247">
        <v>0</v>
      </c>
      <c r="M383" s="247">
        <v>0</v>
      </c>
      <c r="N383" s="247">
        <v>0</v>
      </c>
      <c r="O383" s="247">
        <v>0</v>
      </c>
      <c r="P383" s="246">
        <v>-44388</v>
      </c>
      <c r="Q383" s="246">
        <v>0</v>
      </c>
      <c r="R383" s="246">
        <f t="shared" si="17"/>
        <v>-44388</v>
      </c>
      <c r="S383" s="223"/>
    </row>
    <row r="384" spans="1:19" ht="12.75" customHeight="1" collapsed="1">
      <c r="A384" s="208" t="s">
        <v>2495</v>
      </c>
      <c r="B384" s="209"/>
      <c r="C384" s="208" t="s">
        <v>3057</v>
      </c>
      <c r="D384" s="210"/>
      <c r="E384" s="101">
        <v>1496955.98</v>
      </c>
      <c r="F384" s="101">
        <v>0</v>
      </c>
      <c r="G384" s="101">
        <v>-8731.77</v>
      </c>
      <c r="H384" s="251">
        <v>0</v>
      </c>
      <c r="I384" s="251">
        <v>0</v>
      </c>
      <c r="J384" s="251">
        <v>0</v>
      </c>
      <c r="K384" s="251">
        <v>-44388</v>
      </c>
      <c r="L384" s="251">
        <v>0</v>
      </c>
      <c r="M384" s="251">
        <v>0</v>
      </c>
      <c r="N384" s="251">
        <v>0</v>
      </c>
      <c r="O384" s="251">
        <v>0</v>
      </c>
      <c r="P384" s="101">
        <v>-44388</v>
      </c>
      <c r="Q384" s="101">
        <v>0</v>
      </c>
      <c r="R384" s="101">
        <f t="shared" si="17"/>
        <v>1443836.21</v>
      </c>
      <c r="S384" s="208"/>
    </row>
    <row r="385" spans="1:19" s="595" customFormat="1" ht="12.75" hidden="1" outlineLevel="1">
      <c r="A385" s="223" t="s">
        <v>972</v>
      </c>
      <c r="B385" s="224"/>
      <c r="C385" s="224" t="s">
        <v>973</v>
      </c>
      <c r="D385" s="224" t="s">
        <v>974</v>
      </c>
      <c r="E385" s="246">
        <v>612064.78</v>
      </c>
      <c r="F385" s="246">
        <v>-622946.26</v>
      </c>
      <c r="G385" s="246"/>
      <c r="H385" s="247">
        <v>0</v>
      </c>
      <c r="I385" s="247">
        <v>0</v>
      </c>
      <c r="J385" s="247">
        <v>0</v>
      </c>
      <c r="K385" s="247">
        <v>0</v>
      </c>
      <c r="L385" s="247">
        <v>0</v>
      </c>
      <c r="M385" s="247">
        <v>0</v>
      </c>
      <c r="N385" s="247">
        <v>-8910</v>
      </c>
      <c r="O385" s="247">
        <v>5116</v>
      </c>
      <c r="P385" s="246">
        <v>-3794</v>
      </c>
      <c r="Q385" s="246">
        <v>0</v>
      </c>
      <c r="R385" s="246">
        <f t="shared" si="17"/>
        <v>-14675.479999999981</v>
      </c>
      <c r="S385" s="223"/>
    </row>
    <row r="386" spans="1:19" s="595" customFormat="1" ht="12.75" hidden="1" outlineLevel="1">
      <c r="A386" s="223" t="s">
        <v>831</v>
      </c>
      <c r="B386" s="224"/>
      <c r="C386" s="224" t="s">
        <v>832</v>
      </c>
      <c r="D386" s="224" t="s">
        <v>833</v>
      </c>
      <c r="E386" s="246">
        <v>36720919.54</v>
      </c>
      <c r="F386" s="246">
        <v>1101931.42</v>
      </c>
      <c r="G386" s="246"/>
      <c r="H386" s="247">
        <v>0</v>
      </c>
      <c r="I386" s="247">
        <v>0</v>
      </c>
      <c r="J386" s="247">
        <v>379033.62</v>
      </c>
      <c r="K386" s="247">
        <v>0</v>
      </c>
      <c r="L386" s="247">
        <v>0</v>
      </c>
      <c r="M386" s="247">
        <v>0</v>
      </c>
      <c r="N386" s="247">
        <v>0</v>
      </c>
      <c r="O386" s="247">
        <v>1149170.65</v>
      </c>
      <c r="P386" s="246">
        <v>1528204.27</v>
      </c>
      <c r="Q386" s="246">
        <v>0</v>
      </c>
      <c r="R386" s="246">
        <f t="shared" si="17"/>
        <v>39351055.230000004</v>
      </c>
      <c r="S386" s="223"/>
    </row>
    <row r="387" spans="1:19" s="595" customFormat="1" ht="12.75" hidden="1" outlineLevel="1">
      <c r="A387" s="223" t="s">
        <v>2321</v>
      </c>
      <c r="B387" s="224"/>
      <c r="C387" s="224" t="s">
        <v>2322</v>
      </c>
      <c r="D387" s="224" t="s">
        <v>2323</v>
      </c>
      <c r="E387" s="246">
        <v>-39434557.42</v>
      </c>
      <c r="F387" s="246">
        <v>-2473532.65</v>
      </c>
      <c r="G387" s="246"/>
      <c r="H387" s="247">
        <v>0</v>
      </c>
      <c r="I387" s="247">
        <v>0</v>
      </c>
      <c r="J387" s="247">
        <v>0</v>
      </c>
      <c r="K387" s="247">
        <v>0</v>
      </c>
      <c r="L387" s="247">
        <v>-280897.55</v>
      </c>
      <c r="M387" s="247">
        <v>-875000</v>
      </c>
      <c r="N387" s="247">
        <v>0</v>
      </c>
      <c r="O387" s="247">
        <v>-839.61</v>
      </c>
      <c r="P387" s="246">
        <v>-1156737.16</v>
      </c>
      <c r="Q387" s="246">
        <v>0</v>
      </c>
      <c r="R387" s="246">
        <f t="shared" si="17"/>
        <v>-43064827.23</v>
      </c>
      <c r="S387" s="223"/>
    </row>
    <row r="388" spans="1:19" s="595" customFormat="1" ht="12.75" hidden="1" outlineLevel="1">
      <c r="A388" s="223" t="s">
        <v>6</v>
      </c>
      <c r="B388" s="224"/>
      <c r="C388" s="224" t="s">
        <v>7</v>
      </c>
      <c r="D388" s="224" t="s">
        <v>8</v>
      </c>
      <c r="E388" s="246">
        <v>-439969.78</v>
      </c>
      <c r="F388" s="246">
        <v>0</v>
      </c>
      <c r="G388" s="246"/>
      <c r="H388" s="247">
        <v>0</v>
      </c>
      <c r="I388" s="247">
        <v>0</v>
      </c>
      <c r="J388" s="247">
        <v>0</v>
      </c>
      <c r="K388" s="247">
        <v>0</v>
      </c>
      <c r="L388" s="247">
        <v>0</v>
      </c>
      <c r="M388" s="247">
        <v>0</v>
      </c>
      <c r="N388" s="247">
        <v>0</v>
      </c>
      <c r="O388" s="247">
        <v>0</v>
      </c>
      <c r="P388" s="246">
        <v>0</v>
      </c>
      <c r="Q388" s="246">
        <v>0</v>
      </c>
      <c r="R388" s="246">
        <f t="shared" si="17"/>
        <v>-439969.78</v>
      </c>
      <c r="S388" s="223"/>
    </row>
    <row r="389" spans="1:19" s="595" customFormat="1" ht="12.75" hidden="1" outlineLevel="1">
      <c r="A389" s="223" t="s">
        <v>9</v>
      </c>
      <c r="B389" s="224"/>
      <c r="C389" s="224" t="s">
        <v>10</v>
      </c>
      <c r="D389" s="224" t="s">
        <v>11</v>
      </c>
      <c r="E389" s="246">
        <v>37797.04</v>
      </c>
      <c r="F389" s="246">
        <v>0</v>
      </c>
      <c r="G389" s="246"/>
      <c r="H389" s="247">
        <v>0</v>
      </c>
      <c r="I389" s="247">
        <v>0</v>
      </c>
      <c r="J389" s="247">
        <v>0</v>
      </c>
      <c r="K389" s="247">
        <v>0</v>
      </c>
      <c r="L389" s="247">
        <v>0</v>
      </c>
      <c r="M389" s="247">
        <v>0</v>
      </c>
      <c r="N389" s="247">
        <v>0</v>
      </c>
      <c r="O389" s="247">
        <v>0</v>
      </c>
      <c r="P389" s="246">
        <v>0</v>
      </c>
      <c r="Q389" s="246">
        <v>0</v>
      </c>
      <c r="R389" s="246">
        <f t="shared" si="17"/>
        <v>37797.04</v>
      </c>
      <c r="S389" s="223"/>
    </row>
    <row r="390" spans="1:19" s="595" customFormat="1" ht="12.75" hidden="1" outlineLevel="1">
      <c r="A390" s="223" t="s">
        <v>12</v>
      </c>
      <c r="B390" s="224"/>
      <c r="C390" s="224" t="s">
        <v>13</v>
      </c>
      <c r="D390" s="224" t="s">
        <v>14</v>
      </c>
      <c r="E390" s="246">
        <v>0</v>
      </c>
      <c r="F390" s="246">
        <v>-15000</v>
      </c>
      <c r="G390" s="246"/>
      <c r="H390" s="247">
        <v>0</v>
      </c>
      <c r="I390" s="247">
        <v>0</v>
      </c>
      <c r="J390" s="247">
        <v>0</v>
      </c>
      <c r="K390" s="247">
        <v>0</v>
      </c>
      <c r="L390" s="247">
        <v>0</v>
      </c>
      <c r="M390" s="247">
        <v>0</v>
      </c>
      <c r="N390" s="247">
        <v>0</v>
      </c>
      <c r="O390" s="247">
        <v>0</v>
      </c>
      <c r="P390" s="246">
        <v>0</v>
      </c>
      <c r="Q390" s="246">
        <v>0</v>
      </c>
      <c r="R390" s="246">
        <f t="shared" si="17"/>
        <v>-15000</v>
      </c>
      <c r="S390" s="223"/>
    </row>
    <row r="391" spans="1:19" ht="12.75" customHeight="1" collapsed="1">
      <c r="A391" s="172" t="s">
        <v>975</v>
      </c>
      <c r="B391" s="209"/>
      <c r="C391" s="208" t="s">
        <v>2970</v>
      </c>
      <c r="D391" s="210"/>
      <c r="E391" s="101">
        <v>-2503745.84</v>
      </c>
      <c r="F391" s="101">
        <v>-2009547.49</v>
      </c>
      <c r="G391" s="101">
        <v>2471912.7</v>
      </c>
      <c r="H391" s="216">
        <v>0</v>
      </c>
      <c r="I391" s="216">
        <v>0</v>
      </c>
      <c r="J391" s="216">
        <v>379033.62</v>
      </c>
      <c r="K391" s="216">
        <v>0</v>
      </c>
      <c r="L391" s="216">
        <v>-280897.55</v>
      </c>
      <c r="M391" s="216">
        <v>-875000</v>
      </c>
      <c r="N391" s="216">
        <v>-8910</v>
      </c>
      <c r="O391" s="216">
        <v>1153447.04</v>
      </c>
      <c r="P391" s="101">
        <v>367673.11</v>
      </c>
      <c r="Q391" s="101">
        <v>0</v>
      </c>
      <c r="R391" s="101">
        <f t="shared" si="17"/>
        <v>-1673707.52</v>
      </c>
      <c r="S391" s="172"/>
    </row>
    <row r="392" spans="1:19" ht="12.75" customHeight="1">
      <c r="A392" s="172" t="s">
        <v>2496</v>
      </c>
      <c r="B392" s="209"/>
      <c r="C392" s="208" t="s">
        <v>2497</v>
      </c>
      <c r="D392" s="210"/>
      <c r="E392" s="101">
        <v>0</v>
      </c>
      <c r="F392" s="101">
        <v>0</v>
      </c>
      <c r="G392" s="101">
        <v>0</v>
      </c>
      <c r="H392" s="216">
        <v>0</v>
      </c>
      <c r="I392" s="216">
        <v>0</v>
      </c>
      <c r="J392" s="216">
        <v>0</v>
      </c>
      <c r="K392" s="216">
        <v>0</v>
      </c>
      <c r="L392" s="216">
        <v>0</v>
      </c>
      <c r="M392" s="216">
        <v>0</v>
      </c>
      <c r="N392" s="216">
        <v>0</v>
      </c>
      <c r="O392" s="216">
        <v>0</v>
      </c>
      <c r="P392" s="101">
        <v>0</v>
      </c>
      <c r="Q392" s="101">
        <v>0</v>
      </c>
      <c r="R392" s="101">
        <f t="shared" si="17"/>
        <v>0</v>
      </c>
      <c r="S392" s="172"/>
    </row>
    <row r="393" spans="1:19" ht="12.75" customHeight="1">
      <c r="A393" s="206"/>
      <c r="B393" s="209"/>
      <c r="C393" s="208"/>
      <c r="D393" s="210"/>
      <c r="E393" s="101"/>
      <c r="F393" s="101"/>
      <c r="G393" s="101"/>
      <c r="H393" s="253"/>
      <c r="I393" s="253"/>
      <c r="J393" s="253"/>
      <c r="K393" s="253"/>
      <c r="L393" s="253"/>
      <c r="M393" s="253"/>
      <c r="N393" s="253"/>
      <c r="O393" s="253"/>
      <c r="P393" s="101"/>
      <c r="Q393" s="101"/>
      <c r="R393" s="101"/>
      <c r="S393" s="206"/>
    </row>
    <row r="394" spans="1:19" s="602" customFormat="1" ht="12.75" customHeight="1">
      <c r="A394" s="213"/>
      <c r="B394" s="214"/>
      <c r="C394" s="215" t="s">
        <v>2783</v>
      </c>
      <c r="D394" s="72"/>
      <c r="E394" s="103"/>
      <c r="F394" s="103"/>
      <c r="G394" s="103"/>
      <c r="H394" s="252"/>
      <c r="I394" s="252"/>
      <c r="J394" s="252"/>
      <c r="K394" s="252"/>
      <c r="L394" s="252"/>
      <c r="M394" s="252"/>
      <c r="N394" s="252"/>
      <c r="O394" s="252"/>
      <c r="P394" s="103"/>
      <c r="Q394" s="103"/>
      <c r="R394" s="103"/>
      <c r="S394" s="213"/>
    </row>
    <row r="395" spans="1:19" s="602" customFormat="1" ht="12.75" customHeight="1">
      <c r="A395" s="213" t="s">
        <v>728</v>
      </c>
      <c r="B395" s="214"/>
      <c r="C395" s="215" t="s">
        <v>2784</v>
      </c>
      <c r="D395" s="72"/>
      <c r="E395" s="103">
        <f aca="true" t="shared" si="18" ref="E395:R395">E379+E384+E391+E392+E375</f>
        <v>-1212699.0699999998</v>
      </c>
      <c r="F395" s="103">
        <f t="shared" si="18"/>
        <v>-2006065.15</v>
      </c>
      <c r="G395" s="103">
        <f t="shared" si="18"/>
        <v>1177549.2800000003</v>
      </c>
      <c r="H395" s="252">
        <f t="shared" si="18"/>
        <v>0</v>
      </c>
      <c r="I395" s="252">
        <f t="shared" si="18"/>
        <v>0</v>
      </c>
      <c r="J395" s="252">
        <f t="shared" si="18"/>
        <v>379033.62</v>
      </c>
      <c r="K395" s="252">
        <f t="shared" si="18"/>
        <v>-44388</v>
      </c>
      <c r="L395" s="252">
        <f t="shared" si="18"/>
        <v>-280897.55</v>
      </c>
      <c r="M395" s="252">
        <f t="shared" si="18"/>
        <v>-875000</v>
      </c>
      <c r="N395" s="252">
        <f t="shared" si="18"/>
        <v>-8910</v>
      </c>
      <c r="O395" s="252">
        <f t="shared" si="18"/>
        <v>1160947.04</v>
      </c>
      <c r="P395" s="103">
        <f t="shared" si="18"/>
        <v>330785.11</v>
      </c>
      <c r="Q395" s="103">
        <f t="shared" si="18"/>
        <v>0</v>
      </c>
      <c r="R395" s="103">
        <f t="shared" si="18"/>
        <v>-1710429.83</v>
      </c>
      <c r="S395" s="213"/>
    </row>
    <row r="396" spans="1:19" ht="12.75" customHeight="1">
      <c r="A396" s="206"/>
      <c r="B396" s="209"/>
      <c r="C396" s="215"/>
      <c r="D396" s="210"/>
      <c r="E396" s="101"/>
      <c r="F396" s="101"/>
      <c r="G396" s="101"/>
      <c r="H396" s="253"/>
      <c r="I396" s="253"/>
      <c r="J396" s="253"/>
      <c r="K396" s="253"/>
      <c r="L396" s="253"/>
      <c r="M396" s="253"/>
      <c r="N396" s="253"/>
      <c r="O396" s="253"/>
      <c r="P396" s="101"/>
      <c r="Q396" s="101"/>
      <c r="R396" s="101"/>
      <c r="S396" s="206"/>
    </row>
    <row r="397" spans="1:19" ht="12.75" customHeight="1">
      <c r="A397" s="218" t="s">
        <v>728</v>
      </c>
      <c r="B397" s="214"/>
      <c r="C397" s="215" t="s">
        <v>2498</v>
      </c>
      <c r="D397" s="72"/>
      <c r="E397" s="103">
        <f aca="true" t="shared" si="19" ref="E397:R397">E354+E395</f>
        <v>3019304.3399999817</v>
      </c>
      <c r="F397" s="103">
        <f t="shared" si="19"/>
        <v>-179870.1299999985</v>
      </c>
      <c r="G397" s="103">
        <f t="shared" si="19"/>
        <v>493048.759999997</v>
      </c>
      <c r="H397" s="256">
        <f t="shared" si="19"/>
        <v>-113753.3600000001</v>
      </c>
      <c r="I397" s="256">
        <f t="shared" si="19"/>
        <v>223115.49</v>
      </c>
      <c r="J397" s="256">
        <f t="shared" si="19"/>
        <v>15835</v>
      </c>
      <c r="K397" s="256">
        <f t="shared" si="19"/>
        <v>-72350.63</v>
      </c>
      <c r="L397" s="256">
        <f t="shared" si="19"/>
        <v>60846.29999999999</v>
      </c>
      <c r="M397" s="256">
        <f t="shared" si="19"/>
        <v>-66543.37</v>
      </c>
      <c r="N397" s="256">
        <f t="shared" si="19"/>
        <v>4339.950000000001</v>
      </c>
      <c r="O397" s="256">
        <f t="shared" si="19"/>
        <v>10129.15000000014</v>
      </c>
      <c r="P397" s="103">
        <f t="shared" si="19"/>
        <v>61618.529999999446</v>
      </c>
      <c r="Q397" s="103">
        <f t="shared" si="19"/>
        <v>0</v>
      </c>
      <c r="R397" s="103">
        <f t="shared" si="19"/>
        <v>3394101.4999999534</v>
      </c>
      <c r="S397" s="220"/>
    </row>
    <row r="398" spans="1:19" ht="12.75" customHeight="1">
      <c r="A398" s="206"/>
      <c r="B398" s="209"/>
      <c r="C398" s="208"/>
      <c r="D398" s="210"/>
      <c r="E398" s="101"/>
      <c r="F398" s="101"/>
      <c r="G398" s="101"/>
      <c r="H398" s="253"/>
      <c r="I398" s="253"/>
      <c r="J398" s="253"/>
      <c r="K398" s="253"/>
      <c r="L398" s="253"/>
      <c r="M398" s="253"/>
      <c r="N398" s="253"/>
      <c r="O398" s="253"/>
      <c r="P398" s="101"/>
      <c r="Q398" s="101"/>
      <c r="R398" s="101"/>
      <c r="S398" s="206"/>
    </row>
    <row r="399" spans="1:19" s="595" customFormat="1" ht="12.75" hidden="1" outlineLevel="1">
      <c r="A399" s="223" t="s">
        <v>2499</v>
      </c>
      <c r="B399" s="224"/>
      <c r="C399" s="224" t="s">
        <v>2500</v>
      </c>
      <c r="D399" s="224" t="s">
        <v>2501</v>
      </c>
      <c r="E399" s="246">
        <v>23726832.169999998</v>
      </c>
      <c r="F399" s="246">
        <v>-792666.81</v>
      </c>
      <c r="G399" s="246"/>
      <c r="H399" s="247">
        <v>-110007.43</v>
      </c>
      <c r="I399" s="247">
        <v>30131.82</v>
      </c>
      <c r="J399" s="247">
        <v>17733.22</v>
      </c>
      <c r="K399" s="247">
        <v>-391959.59</v>
      </c>
      <c r="L399" s="247">
        <v>-64644.17</v>
      </c>
      <c r="M399" s="247">
        <v>816242.59</v>
      </c>
      <c r="N399" s="247">
        <v>-7387.86</v>
      </c>
      <c r="O399" s="247">
        <v>19245.16</v>
      </c>
      <c r="P399" s="246">
        <v>309353.74</v>
      </c>
      <c r="Q399" s="246">
        <v>0</v>
      </c>
      <c r="R399" s="246">
        <f>E399+F399+G399+P399+Q399</f>
        <v>23243519.099999998</v>
      </c>
      <c r="S399" s="223"/>
    </row>
    <row r="400" spans="1:19" s="603" customFormat="1" ht="12.75" customHeight="1" collapsed="1">
      <c r="A400" s="213" t="s">
        <v>2502</v>
      </c>
      <c r="B400" s="214" t="s">
        <v>2503</v>
      </c>
      <c r="D400" s="72"/>
      <c r="E400" s="103">
        <v>23726832.169999998</v>
      </c>
      <c r="F400" s="103">
        <v>-792666.81</v>
      </c>
      <c r="G400" s="103">
        <v>-2444014.56</v>
      </c>
      <c r="H400" s="252">
        <v>-110007.43</v>
      </c>
      <c r="I400" s="252">
        <v>30131.82</v>
      </c>
      <c r="J400" s="252">
        <v>17733.22</v>
      </c>
      <c r="K400" s="252">
        <v>-391959.59</v>
      </c>
      <c r="L400" s="252">
        <v>-64644.17</v>
      </c>
      <c r="M400" s="252">
        <v>816242.59</v>
      </c>
      <c r="N400" s="252">
        <v>-7387.86</v>
      </c>
      <c r="O400" s="252">
        <v>19245.16</v>
      </c>
      <c r="P400" s="103">
        <v>309353.74</v>
      </c>
      <c r="Q400" s="103">
        <v>0</v>
      </c>
      <c r="R400" s="103">
        <f>E400+F400+G400+P400+Q400</f>
        <v>20799504.54</v>
      </c>
      <c r="S400" s="213"/>
    </row>
    <row r="401" spans="1:19" ht="12.75" customHeight="1">
      <c r="A401" s="213"/>
      <c r="B401" s="209"/>
      <c r="C401" s="215"/>
      <c r="D401" s="72"/>
      <c r="E401" s="103"/>
      <c r="F401" s="103"/>
      <c r="G401" s="103"/>
      <c r="H401" s="252"/>
      <c r="I401" s="252"/>
      <c r="J401" s="252"/>
      <c r="K401" s="252"/>
      <c r="L401" s="252"/>
      <c r="M401" s="252"/>
      <c r="N401" s="252"/>
      <c r="O401" s="252"/>
      <c r="P401" s="103"/>
      <c r="Q401" s="103"/>
      <c r="R401" s="103"/>
      <c r="S401" s="213"/>
    </row>
    <row r="402" spans="1:19" ht="12.75" customHeight="1">
      <c r="A402" s="213" t="s">
        <v>728</v>
      </c>
      <c r="B402" s="214" t="s">
        <v>3060</v>
      </c>
      <c r="C402" s="208"/>
      <c r="D402" s="72"/>
      <c r="E402" s="221">
        <f aca="true" t="shared" si="20" ref="E402:R402">E397+E400</f>
        <v>26746136.50999998</v>
      </c>
      <c r="F402" s="221">
        <f t="shared" si="20"/>
        <v>-972536.9399999985</v>
      </c>
      <c r="G402" s="221">
        <f t="shared" si="20"/>
        <v>-1950965.800000003</v>
      </c>
      <c r="H402" s="221">
        <f t="shared" si="20"/>
        <v>-223760.7900000001</v>
      </c>
      <c r="I402" s="221">
        <f t="shared" si="20"/>
        <v>253247.31</v>
      </c>
      <c r="J402" s="221">
        <f t="shared" si="20"/>
        <v>33568.22</v>
      </c>
      <c r="K402" s="221">
        <f t="shared" si="20"/>
        <v>-464310.22000000003</v>
      </c>
      <c r="L402" s="221">
        <f t="shared" si="20"/>
        <v>-3797.87000000001</v>
      </c>
      <c r="M402" s="221">
        <f t="shared" si="20"/>
        <v>749699.22</v>
      </c>
      <c r="N402" s="221">
        <f t="shared" si="20"/>
        <v>-3047.909999999999</v>
      </c>
      <c r="O402" s="221">
        <f t="shared" si="20"/>
        <v>29374.31000000014</v>
      </c>
      <c r="P402" s="221">
        <f t="shared" si="20"/>
        <v>370972.26999999944</v>
      </c>
      <c r="Q402" s="221">
        <f t="shared" si="20"/>
        <v>0</v>
      </c>
      <c r="R402" s="221">
        <f t="shared" si="20"/>
        <v>24193606.039999954</v>
      </c>
      <c r="S402" s="213"/>
    </row>
    <row r="403" spans="5:18" ht="12.75">
      <c r="E403" s="171"/>
      <c r="F403" s="171"/>
      <c r="G403" s="171"/>
      <c r="P403" s="171"/>
      <c r="Q403" s="171"/>
      <c r="R403" s="171"/>
    </row>
    <row r="404" spans="5:18" ht="12.75">
      <c r="E404" s="171"/>
      <c r="F404" s="171"/>
      <c r="G404" s="171"/>
      <c r="P404" s="171"/>
      <c r="Q404" s="171"/>
      <c r="R404" s="171"/>
    </row>
    <row r="405" spans="5:18" ht="12.75">
      <c r="E405" s="171"/>
      <c r="F405" s="171"/>
      <c r="G405" s="171"/>
      <c r="P405" s="171"/>
      <c r="Q405" s="171"/>
      <c r="R405" s="171"/>
    </row>
    <row r="406" spans="5:18" ht="12.75">
      <c r="E406" s="171"/>
      <c r="F406" s="171"/>
      <c r="G406" s="171"/>
      <c r="P406" s="171"/>
      <c r="Q406" s="171"/>
      <c r="R406" s="171"/>
    </row>
    <row r="407" spans="5:18" ht="12.75">
      <c r="E407" s="171"/>
      <c r="F407" s="171"/>
      <c r="G407" s="171"/>
      <c r="P407" s="171"/>
      <c r="Q407" s="171"/>
      <c r="R407" s="171"/>
    </row>
    <row r="408" spans="5:18" ht="12.75">
      <c r="E408" s="171"/>
      <c r="F408" s="171"/>
      <c r="G408" s="171"/>
      <c r="P408" s="171"/>
      <c r="Q408" s="171"/>
      <c r="R408" s="171"/>
    </row>
    <row r="409" spans="5:18" ht="12.75">
      <c r="E409" s="171"/>
      <c r="F409" s="171"/>
      <c r="G409" s="171"/>
      <c r="P409" s="171"/>
      <c r="Q409" s="171"/>
      <c r="R409" s="171"/>
    </row>
    <row r="410" spans="5:18" ht="12.75">
      <c r="E410" s="171"/>
      <c r="F410" s="171"/>
      <c r="G410" s="171"/>
      <c r="P410" s="171"/>
      <c r="Q410" s="171"/>
      <c r="R410" s="171"/>
    </row>
    <row r="411" spans="5:18" ht="12.75">
      <c r="E411" s="171"/>
      <c r="F411" s="171"/>
      <c r="G411" s="171"/>
      <c r="P411" s="171"/>
      <c r="Q411" s="171"/>
      <c r="R411" s="171"/>
    </row>
    <row r="412" spans="5:18" ht="12.75">
      <c r="E412" s="171"/>
      <c r="F412" s="171"/>
      <c r="G412" s="171"/>
      <c r="P412" s="171"/>
      <c r="Q412" s="171"/>
      <c r="R412" s="171"/>
    </row>
    <row r="413" spans="5:18" ht="12.75">
      <c r="E413" s="171"/>
      <c r="F413" s="171"/>
      <c r="G413" s="171"/>
      <c r="P413" s="171"/>
      <c r="Q413" s="171"/>
      <c r="R413" s="171"/>
    </row>
    <row r="414" spans="5:18" ht="12.75">
      <c r="E414" s="171"/>
      <c r="F414" s="171"/>
      <c r="G414" s="171"/>
      <c r="P414" s="171"/>
      <c r="Q414" s="171"/>
      <c r="R414" s="171"/>
    </row>
    <row r="415" spans="5:18" ht="12.75">
      <c r="E415" s="171"/>
      <c r="F415" s="171"/>
      <c r="G415" s="171"/>
      <c r="P415" s="171"/>
      <c r="Q415" s="171"/>
      <c r="R415" s="171"/>
    </row>
    <row r="416" spans="5:18" ht="12.75">
      <c r="E416" s="171"/>
      <c r="F416" s="171"/>
      <c r="G416" s="171"/>
      <c r="P416" s="171"/>
      <c r="Q416" s="171"/>
      <c r="R416" s="171"/>
    </row>
    <row r="417" spans="5:18" ht="12.75">
      <c r="E417" s="171"/>
      <c r="F417" s="171"/>
      <c r="G417" s="171"/>
      <c r="P417" s="171"/>
      <c r="Q417" s="171"/>
      <c r="R417" s="171"/>
    </row>
    <row r="418" spans="5:18" ht="12.75">
      <c r="E418" s="171"/>
      <c r="F418" s="171"/>
      <c r="G418" s="171"/>
      <c r="P418" s="171"/>
      <c r="Q418" s="171"/>
      <c r="R418" s="171"/>
    </row>
    <row r="419" spans="5:18" ht="12.75">
      <c r="E419" s="171"/>
      <c r="F419" s="171"/>
      <c r="G419" s="171"/>
      <c r="P419" s="171"/>
      <c r="Q419" s="171"/>
      <c r="R419" s="171"/>
    </row>
    <row r="420" spans="5:18" ht="12.75">
      <c r="E420" s="171"/>
      <c r="F420" s="171"/>
      <c r="G420" s="171"/>
      <c r="P420" s="171"/>
      <c r="Q420" s="171"/>
      <c r="R420" s="171"/>
    </row>
    <row r="421" spans="5:18" ht="12.75">
      <c r="E421" s="171"/>
      <c r="F421" s="171"/>
      <c r="G421" s="171"/>
      <c r="P421" s="171"/>
      <c r="Q421" s="171"/>
      <c r="R421" s="171"/>
    </row>
    <row r="422" spans="5:18" ht="12.75">
      <c r="E422" s="171"/>
      <c r="F422" s="171"/>
      <c r="G422" s="171"/>
      <c r="P422" s="171"/>
      <c r="Q422" s="171"/>
      <c r="R422" s="171"/>
    </row>
    <row r="423" spans="5:18" ht="12.75">
      <c r="E423" s="171"/>
      <c r="F423" s="171"/>
      <c r="G423" s="171"/>
      <c r="P423" s="171"/>
      <c r="Q423" s="171"/>
      <c r="R423" s="171"/>
    </row>
    <row r="424" spans="5:18" ht="12.75">
      <c r="E424" s="171"/>
      <c r="F424" s="171"/>
      <c r="G424" s="171"/>
      <c r="P424" s="171"/>
      <c r="Q424" s="171"/>
      <c r="R424" s="171"/>
    </row>
    <row r="425" spans="5:18" ht="12.75">
      <c r="E425" s="171"/>
      <c r="F425" s="171"/>
      <c r="G425" s="171"/>
      <c r="P425" s="171"/>
      <c r="Q425" s="171"/>
      <c r="R425" s="171"/>
    </row>
    <row r="426" spans="5:18" ht="12.75">
      <c r="E426" s="171"/>
      <c r="F426" s="171"/>
      <c r="G426" s="171"/>
      <c r="P426" s="171"/>
      <c r="Q426" s="171"/>
      <c r="R426" s="171"/>
    </row>
    <row r="427" spans="5:18" ht="12.75">
      <c r="E427" s="171"/>
      <c r="F427" s="171"/>
      <c r="G427" s="171"/>
      <c r="P427" s="171"/>
      <c r="Q427" s="171"/>
      <c r="R427" s="171"/>
    </row>
    <row r="428" spans="5:18" ht="12.75">
      <c r="E428" s="171"/>
      <c r="F428" s="171"/>
      <c r="G428" s="171"/>
      <c r="P428" s="171"/>
      <c r="Q428" s="171"/>
      <c r="R428" s="171"/>
    </row>
    <row r="429" spans="5:18" ht="12.75">
      <c r="E429" s="171"/>
      <c r="F429" s="171"/>
      <c r="G429" s="171"/>
      <c r="P429" s="171"/>
      <c r="Q429" s="171"/>
      <c r="R429" s="171"/>
    </row>
    <row r="430" spans="5:18" ht="12.75">
      <c r="E430" s="171"/>
      <c r="F430" s="171"/>
      <c r="G430" s="171"/>
      <c r="P430" s="171"/>
      <c r="Q430" s="171"/>
      <c r="R430" s="171"/>
    </row>
    <row r="431" spans="5:18" ht="12.75">
      <c r="E431" s="171"/>
      <c r="F431" s="171"/>
      <c r="G431" s="171"/>
      <c r="P431" s="171"/>
      <c r="Q431" s="171"/>
      <c r="R431" s="171"/>
    </row>
    <row r="432" spans="5:18" ht="12.75">
      <c r="E432" s="171"/>
      <c r="F432" s="171"/>
      <c r="G432" s="171"/>
      <c r="P432" s="171"/>
      <c r="Q432" s="171"/>
      <c r="R432" s="171"/>
    </row>
    <row r="433" spans="5:18" ht="12.75">
      <c r="E433" s="171"/>
      <c r="F433" s="171"/>
      <c r="G433" s="171"/>
      <c r="P433" s="171"/>
      <c r="Q433" s="171"/>
      <c r="R433" s="171"/>
    </row>
    <row r="434" spans="5:18" ht="12.75">
      <c r="E434" s="171"/>
      <c r="F434" s="171"/>
      <c r="G434" s="171"/>
      <c r="P434" s="171"/>
      <c r="Q434" s="171"/>
      <c r="R434" s="171"/>
    </row>
    <row r="435" spans="5:18" ht="12.75">
      <c r="E435" s="171"/>
      <c r="F435" s="171"/>
      <c r="G435" s="171"/>
      <c r="P435" s="171"/>
      <c r="Q435" s="171"/>
      <c r="R435" s="171"/>
    </row>
    <row r="436" spans="5:18" ht="12.75">
      <c r="E436" s="171"/>
      <c r="F436" s="171"/>
      <c r="G436" s="171"/>
      <c r="P436" s="171"/>
      <c r="Q436" s="171"/>
      <c r="R436" s="171"/>
    </row>
    <row r="437" spans="5:18" ht="12.75">
      <c r="E437" s="171"/>
      <c r="F437" s="171"/>
      <c r="G437" s="171"/>
      <c r="P437" s="171"/>
      <c r="Q437" s="171"/>
      <c r="R437" s="171"/>
    </row>
    <row r="438" spans="5:18" ht="12.75">
      <c r="E438" s="171"/>
      <c r="F438" s="171"/>
      <c r="G438" s="171"/>
      <c r="P438" s="171"/>
      <c r="Q438" s="171"/>
      <c r="R438" s="171"/>
    </row>
    <row r="439" spans="5:18" ht="12.75">
      <c r="E439" s="171"/>
      <c r="F439" s="171"/>
      <c r="G439" s="171"/>
      <c r="P439" s="171"/>
      <c r="Q439" s="171"/>
      <c r="R439" s="171"/>
    </row>
    <row r="440" spans="5:18" ht="12.75">
      <c r="E440" s="171"/>
      <c r="F440" s="171"/>
      <c r="G440" s="171"/>
      <c r="P440" s="171"/>
      <c r="Q440" s="171"/>
      <c r="R440" s="171"/>
    </row>
    <row r="441" spans="5:18" ht="12.75">
      <c r="E441" s="171"/>
      <c r="F441" s="171"/>
      <c r="G441" s="171"/>
      <c r="P441" s="171"/>
      <c r="Q441" s="171"/>
      <c r="R441" s="171"/>
    </row>
    <row r="442" spans="5:18" ht="12.75">
      <c r="E442" s="171"/>
      <c r="F442" s="171"/>
      <c r="G442" s="171"/>
      <c r="P442" s="171"/>
      <c r="Q442" s="171"/>
      <c r="R442" s="171"/>
    </row>
    <row r="443" spans="5:18" ht="12.75">
      <c r="E443" s="171"/>
      <c r="F443" s="171"/>
      <c r="G443" s="171"/>
      <c r="P443" s="171"/>
      <c r="Q443" s="171"/>
      <c r="R443" s="171"/>
    </row>
    <row r="444" spans="5:18" ht="12.75">
      <c r="E444" s="171"/>
      <c r="F444" s="171"/>
      <c r="G444" s="171"/>
      <c r="P444" s="171"/>
      <c r="Q444" s="171"/>
      <c r="R444" s="171"/>
    </row>
    <row r="445" spans="5:18" ht="12.75">
      <c r="E445" s="171"/>
      <c r="F445" s="171"/>
      <c r="G445" s="171"/>
      <c r="P445" s="171"/>
      <c r="Q445" s="171"/>
      <c r="R445" s="171"/>
    </row>
    <row r="446" spans="5:18" ht="12.75">
      <c r="E446" s="171"/>
      <c r="F446" s="171"/>
      <c r="G446" s="171"/>
      <c r="P446" s="171"/>
      <c r="Q446" s="171"/>
      <c r="R446" s="171"/>
    </row>
    <row r="447" spans="5:18" ht="12.75">
      <c r="E447" s="171"/>
      <c r="F447" s="171"/>
      <c r="G447" s="171"/>
      <c r="P447" s="171"/>
      <c r="Q447" s="171"/>
      <c r="R447" s="171"/>
    </row>
    <row r="448" spans="5:18" ht="12.75">
      <c r="E448" s="171"/>
      <c r="F448" s="171"/>
      <c r="G448" s="171"/>
      <c r="P448" s="171"/>
      <c r="Q448" s="171"/>
      <c r="R448" s="171"/>
    </row>
    <row r="449" spans="5:18" ht="12.75">
      <c r="E449" s="171"/>
      <c r="F449" s="171"/>
      <c r="G449" s="171"/>
      <c r="P449" s="171"/>
      <c r="Q449" s="171"/>
      <c r="R449" s="171"/>
    </row>
    <row r="450" spans="5:18" ht="12.75">
      <c r="E450" s="171"/>
      <c r="F450" s="171"/>
      <c r="G450" s="171"/>
      <c r="P450" s="171"/>
      <c r="Q450" s="171"/>
      <c r="R450" s="171"/>
    </row>
    <row r="451" spans="5:18" ht="12.75">
      <c r="E451" s="171"/>
      <c r="F451" s="171"/>
      <c r="G451" s="171"/>
      <c r="P451" s="171"/>
      <c r="Q451" s="171"/>
      <c r="R451" s="171"/>
    </row>
    <row r="452" spans="5:18" ht="12.75">
      <c r="E452" s="171"/>
      <c r="F452" s="171"/>
      <c r="G452" s="171"/>
      <c r="P452" s="171"/>
      <c r="Q452" s="171"/>
      <c r="R452" s="171"/>
    </row>
    <row r="453" spans="5:18" ht="12.75">
      <c r="E453" s="171"/>
      <c r="F453" s="171"/>
      <c r="G453" s="171"/>
      <c r="P453" s="171"/>
      <c r="Q453" s="171"/>
      <c r="R453" s="171"/>
    </row>
    <row r="454" spans="5:18" ht="12.75">
      <c r="E454" s="171"/>
      <c r="F454" s="171"/>
      <c r="G454" s="171"/>
      <c r="P454" s="171"/>
      <c r="Q454" s="171"/>
      <c r="R454" s="171"/>
    </row>
    <row r="455" spans="5:18" ht="12.75">
      <c r="E455" s="171"/>
      <c r="F455" s="171"/>
      <c r="G455" s="171"/>
      <c r="P455" s="171"/>
      <c r="Q455" s="171"/>
      <c r="R455" s="171"/>
    </row>
    <row r="456" spans="5:18" ht="12.75">
      <c r="E456" s="171"/>
      <c r="F456" s="171"/>
      <c r="G456" s="171"/>
      <c r="P456" s="171"/>
      <c r="Q456" s="171"/>
      <c r="R456" s="171"/>
    </row>
    <row r="457" spans="5:18" ht="12.75">
      <c r="E457" s="171"/>
      <c r="F457" s="171"/>
      <c r="G457" s="171"/>
      <c r="P457" s="171"/>
      <c r="Q457" s="171"/>
      <c r="R457" s="171"/>
    </row>
    <row r="458" spans="5:18" ht="12.75">
      <c r="E458" s="171"/>
      <c r="F458" s="171"/>
      <c r="G458" s="171"/>
      <c r="P458" s="171"/>
      <c r="Q458" s="171"/>
      <c r="R458" s="171"/>
    </row>
    <row r="459" spans="5:18" ht="12.75">
      <c r="E459" s="171"/>
      <c r="F459" s="171"/>
      <c r="G459" s="171"/>
      <c r="P459" s="171"/>
      <c r="Q459" s="171"/>
      <c r="R459" s="171"/>
    </row>
    <row r="460" spans="5:18" ht="12.75">
      <c r="E460" s="171"/>
      <c r="F460" s="171"/>
      <c r="G460" s="171"/>
      <c r="P460" s="171"/>
      <c r="Q460" s="171"/>
      <c r="R460" s="171"/>
    </row>
    <row r="461" spans="5:18" ht="12.75">
      <c r="E461" s="171"/>
      <c r="F461" s="171"/>
      <c r="G461" s="171"/>
      <c r="P461" s="171"/>
      <c r="Q461" s="171"/>
      <c r="R461" s="171"/>
    </row>
    <row r="462" spans="5:18" ht="12.75">
      <c r="E462" s="171"/>
      <c r="F462" s="171"/>
      <c r="G462" s="171"/>
      <c r="P462" s="171"/>
      <c r="Q462" s="171"/>
      <c r="R462" s="171"/>
    </row>
    <row r="463" spans="5:18" ht="12.75">
      <c r="E463" s="171"/>
      <c r="F463" s="171"/>
      <c r="G463" s="171"/>
      <c r="P463" s="171"/>
      <c r="Q463" s="171"/>
      <c r="R463" s="171"/>
    </row>
    <row r="464" spans="5:18" ht="12.75">
      <c r="E464" s="171"/>
      <c r="F464" s="171"/>
      <c r="G464" s="171"/>
      <c r="P464" s="171"/>
      <c r="Q464" s="171"/>
      <c r="R464" s="171"/>
    </row>
    <row r="465" spans="5:18" ht="12.75">
      <c r="E465" s="171"/>
      <c r="F465" s="171"/>
      <c r="G465" s="171"/>
      <c r="P465" s="171"/>
      <c r="Q465" s="171"/>
      <c r="R465" s="171"/>
    </row>
    <row r="466" spans="5:18" ht="12.75">
      <c r="E466" s="171"/>
      <c r="F466" s="171"/>
      <c r="G466" s="171"/>
      <c r="P466" s="171"/>
      <c r="Q466" s="171"/>
      <c r="R466" s="171"/>
    </row>
    <row r="467" spans="5:18" ht="12.75">
      <c r="E467" s="171"/>
      <c r="F467" s="171"/>
      <c r="G467" s="171"/>
      <c r="P467" s="171"/>
      <c r="Q467" s="171"/>
      <c r="R467" s="171"/>
    </row>
    <row r="468" spans="5:18" ht="12.75">
      <c r="E468" s="171"/>
      <c r="F468" s="171"/>
      <c r="G468" s="171"/>
      <c r="P468" s="171"/>
      <c r="Q468" s="171"/>
      <c r="R468" s="171"/>
    </row>
    <row r="469" spans="5:18" ht="12.75">
      <c r="E469" s="171"/>
      <c r="F469" s="171"/>
      <c r="G469" s="171"/>
      <c r="P469" s="171"/>
      <c r="Q469" s="171"/>
      <c r="R469" s="171"/>
    </row>
    <row r="470" spans="5:18" ht="12.75">
      <c r="E470" s="171"/>
      <c r="F470" s="171"/>
      <c r="G470" s="171"/>
      <c r="P470" s="171"/>
      <c r="Q470" s="171"/>
      <c r="R470" s="171"/>
    </row>
    <row r="471" spans="5:18" ht="12.75">
      <c r="E471" s="171"/>
      <c r="F471" s="171"/>
      <c r="G471" s="171"/>
      <c r="P471" s="171"/>
      <c r="Q471" s="171"/>
      <c r="R471" s="171"/>
    </row>
    <row r="472" spans="5:18" ht="12.75">
      <c r="E472" s="171"/>
      <c r="F472" s="171"/>
      <c r="G472" s="171"/>
      <c r="P472" s="171"/>
      <c r="Q472" s="171"/>
      <c r="R472" s="171"/>
    </row>
    <row r="473" spans="5:18" ht="12.75">
      <c r="E473" s="171"/>
      <c r="F473" s="171"/>
      <c r="G473" s="171"/>
      <c r="P473" s="171"/>
      <c r="Q473" s="171"/>
      <c r="R473" s="171"/>
    </row>
    <row r="474" spans="5:18" ht="12.75">
      <c r="E474" s="171"/>
      <c r="F474" s="171"/>
      <c r="G474" s="171"/>
      <c r="P474" s="171"/>
      <c r="Q474" s="171"/>
      <c r="R474" s="171"/>
    </row>
    <row r="475" spans="5:18" ht="12.75">
      <c r="E475" s="171"/>
      <c r="F475" s="171"/>
      <c r="G475" s="171"/>
      <c r="P475" s="171"/>
      <c r="Q475" s="171"/>
      <c r="R475" s="171"/>
    </row>
    <row r="476" spans="5:18" ht="12.75">
      <c r="E476" s="171"/>
      <c r="F476" s="171"/>
      <c r="G476" s="171"/>
      <c r="P476" s="171"/>
      <c r="Q476" s="171"/>
      <c r="R476" s="171"/>
    </row>
    <row r="477" spans="5:18" ht="12.75">
      <c r="E477" s="171"/>
      <c r="F477" s="171"/>
      <c r="G477" s="171"/>
      <c r="P477" s="171"/>
      <c r="Q477" s="171"/>
      <c r="R477" s="171"/>
    </row>
    <row r="478" spans="5:18" ht="12.75">
      <c r="E478" s="171"/>
      <c r="F478" s="171"/>
      <c r="G478" s="171"/>
      <c r="P478" s="171"/>
      <c r="Q478" s="171"/>
      <c r="R478" s="171"/>
    </row>
    <row r="479" spans="5:18" ht="12.75">
      <c r="E479" s="171"/>
      <c r="F479" s="171"/>
      <c r="G479" s="171"/>
      <c r="P479" s="171"/>
      <c r="Q479" s="171"/>
      <c r="R479" s="171"/>
    </row>
    <row r="480" spans="5:18" ht="12.75">
      <c r="E480" s="171"/>
      <c r="F480" s="171"/>
      <c r="G480" s="171"/>
      <c r="P480" s="171"/>
      <c r="Q480" s="171"/>
      <c r="R480" s="171"/>
    </row>
    <row r="481" spans="5:18" ht="12.75">
      <c r="E481" s="171"/>
      <c r="F481" s="171"/>
      <c r="G481" s="171"/>
      <c r="P481" s="171"/>
      <c r="Q481" s="171"/>
      <c r="R481" s="171"/>
    </row>
    <row r="482" spans="5:18" ht="12.75">
      <c r="E482" s="171"/>
      <c r="F482" s="171"/>
      <c r="G482" s="171"/>
      <c r="P482" s="171"/>
      <c r="Q482" s="171"/>
      <c r="R482" s="171"/>
    </row>
    <row r="483" spans="5:18" ht="12.75">
      <c r="E483" s="171"/>
      <c r="F483" s="171"/>
      <c r="G483" s="171"/>
      <c r="P483" s="171"/>
      <c r="Q483" s="171"/>
      <c r="R483" s="171"/>
    </row>
    <row r="484" spans="5:18" ht="12.75">
      <c r="E484" s="171"/>
      <c r="F484" s="171"/>
      <c r="G484" s="171"/>
      <c r="P484" s="171"/>
      <c r="Q484" s="171"/>
      <c r="R484" s="171"/>
    </row>
    <row r="485" spans="5:18" ht="12.75">
      <c r="E485" s="171"/>
      <c r="F485" s="171"/>
      <c r="G485" s="171"/>
      <c r="P485" s="171"/>
      <c r="Q485" s="171"/>
      <c r="R485" s="171"/>
    </row>
    <row r="486" spans="5:18" ht="12.75">
      <c r="E486" s="171"/>
      <c r="F486" s="171"/>
      <c r="G486" s="171"/>
      <c r="P486" s="171"/>
      <c r="Q486" s="171"/>
      <c r="R486" s="171"/>
    </row>
    <row r="487" spans="5:18" ht="12.75">
      <c r="E487" s="171"/>
      <c r="F487" s="171"/>
      <c r="G487" s="171"/>
      <c r="P487" s="171"/>
      <c r="Q487" s="171"/>
      <c r="R487" s="171"/>
    </row>
    <row r="488" spans="5:18" ht="12.75">
      <c r="E488" s="171"/>
      <c r="F488" s="171"/>
      <c r="G488" s="171"/>
      <c r="P488" s="171"/>
      <c r="Q488" s="171"/>
      <c r="R488" s="171"/>
    </row>
    <row r="489" spans="5:18" ht="12.75">
      <c r="E489" s="171"/>
      <c r="F489" s="171"/>
      <c r="G489" s="171"/>
      <c r="P489" s="171"/>
      <c r="Q489" s="171"/>
      <c r="R489" s="171"/>
    </row>
    <row r="490" spans="5:18" ht="12.75">
      <c r="E490" s="171"/>
      <c r="F490" s="171"/>
      <c r="G490" s="171"/>
      <c r="P490" s="171"/>
      <c r="Q490" s="171"/>
      <c r="R490" s="171"/>
    </row>
    <row r="491" spans="5:18" ht="12.75">
      <c r="E491" s="171"/>
      <c r="F491" s="171"/>
      <c r="G491" s="171"/>
      <c r="P491" s="171"/>
      <c r="Q491" s="171"/>
      <c r="R491" s="171"/>
    </row>
    <row r="492" spans="5:18" ht="12.75">
      <c r="E492" s="171"/>
      <c r="F492" s="171"/>
      <c r="G492" s="171"/>
      <c r="P492" s="171"/>
      <c r="Q492" s="171"/>
      <c r="R492" s="171"/>
    </row>
    <row r="493" spans="5:18" ht="12.75">
      <c r="E493" s="171"/>
      <c r="F493" s="171"/>
      <c r="G493" s="171"/>
      <c r="P493" s="171"/>
      <c r="Q493" s="171"/>
      <c r="R493" s="171"/>
    </row>
    <row r="494" spans="5:18" ht="12.75">
      <c r="E494" s="171"/>
      <c r="F494" s="171"/>
      <c r="G494" s="171"/>
      <c r="P494" s="171"/>
      <c r="Q494" s="171"/>
      <c r="R494" s="171"/>
    </row>
    <row r="495" spans="5:18" ht="12.75">
      <c r="E495" s="171"/>
      <c r="F495" s="171"/>
      <c r="G495" s="171"/>
      <c r="P495" s="171"/>
      <c r="Q495" s="171"/>
      <c r="R495" s="171"/>
    </row>
    <row r="496" spans="5:18" ht="12.75">
      <c r="E496" s="171"/>
      <c r="F496" s="171"/>
      <c r="G496" s="171"/>
      <c r="P496" s="171"/>
      <c r="Q496" s="171"/>
      <c r="R496" s="171"/>
    </row>
    <row r="497" spans="5:18" ht="12.75">
      <c r="E497" s="171"/>
      <c r="F497" s="171"/>
      <c r="G497" s="171"/>
      <c r="P497" s="171"/>
      <c r="Q497" s="171"/>
      <c r="R497" s="171"/>
    </row>
    <row r="498" spans="5:18" ht="12.75">
      <c r="E498" s="171"/>
      <c r="F498" s="171"/>
      <c r="G498" s="171"/>
      <c r="P498" s="171"/>
      <c r="Q498" s="171"/>
      <c r="R498" s="171"/>
    </row>
    <row r="499" spans="5:18" ht="12.75">
      <c r="E499" s="171"/>
      <c r="F499" s="171"/>
      <c r="G499" s="171"/>
      <c r="P499" s="171"/>
      <c r="Q499" s="171"/>
      <c r="R499" s="171"/>
    </row>
    <row r="500" spans="5:18" ht="12.75">
      <c r="E500" s="171"/>
      <c r="F500" s="171"/>
      <c r="G500" s="171"/>
      <c r="P500" s="171"/>
      <c r="Q500" s="171"/>
      <c r="R500" s="171"/>
    </row>
    <row r="501" spans="5:18" ht="12.75">
      <c r="E501" s="171"/>
      <c r="F501" s="171"/>
      <c r="G501" s="171"/>
      <c r="P501" s="171"/>
      <c r="Q501" s="171"/>
      <c r="R501" s="171"/>
    </row>
    <row r="502" spans="5:18" ht="12.75">
      <c r="E502" s="171"/>
      <c r="F502" s="171"/>
      <c r="G502" s="171"/>
      <c r="P502" s="171"/>
      <c r="Q502" s="171"/>
      <c r="R502" s="171"/>
    </row>
    <row r="503" spans="5:18" ht="12.75">
      <c r="E503" s="171"/>
      <c r="F503" s="171"/>
      <c r="G503" s="171"/>
      <c r="P503" s="171"/>
      <c r="Q503" s="171"/>
      <c r="R503" s="171"/>
    </row>
    <row r="504" spans="5:18" ht="12.75">
      <c r="E504" s="171"/>
      <c r="F504" s="171"/>
      <c r="G504" s="171"/>
      <c r="P504" s="171"/>
      <c r="Q504" s="171"/>
      <c r="R504" s="171"/>
    </row>
    <row r="505" spans="5:18" ht="12.75">
      <c r="E505" s="171"/>
      <c r="F505" s="171"/>
      <c r="G505" s="171"/>
      <c r="P505" s="171"/>
      <c r="Q505" s="171"/>
      <c r="R505" s="171"/>
    </row>
    <row r="506" spans="5:18" ht="12.75">
      <c r="E506" s="171"/>
      <c r="F506" s="171"/>
      <c r="G506" s="171"/>
      <c r="P506" s="171"/>
      <c r="Q506" s="171"/>
      <c r="R506" s="171"/>
    </row>
    <row r="507" spans="5:18" ht="12.75">
      <c r="E507" s="171"/>
      <c r="F507" s="171"/>
      <c r="G507" s="171"/>
      <c r="P507" s="171"/>
      <c r="Q507" s="171"/>
      <c r="R507" s="171"/>
    </row>
    <row r="508" spans="5:18" ht="12.75">
      <c r="E508" s="171"/>
      <c r="F508" s="171"/>
      <c r="G508" s="171"/>
      <c r="P508" s="171"/>
      <c r="Q508" s="171"/>
      <c r="R508" s="171"/>
    </row>
    <row r="509" spans="5:18" ht="12.75">
      <c r="E509" s="171"/>
      <c r="F509" s="171"/>
      <c r="G509" s="171"/>
      <c r="P509" s="171"/>
      <c r="Q509" s="171"/>
      <c r="R509" s="171"/>
    </row>
    <row r="510" spans="5:18" ht="12.75">
      <c r="E510" s="171"/>
      <c r="F510" s="171"/>
      <c r="G510" s="171"/>
      <c r="P510" s="171"/>
      <c r="Q510" s="171"/>
      <c r="R510" s="171"/>
    </row>
    <row r="511" spans="5:18" ht="12.75">
      <c r="E511" s="171"/>
      <c r="F511" s="171"/>
      <c r="G511" s="171"/>
      <c r="P511" s="171"/>
      <c r="Q511" s="171"/>
      <c r="R511" s="171"/>
    </row>
    <row r="512" spans="5:18" ht="12.75">
      <c r="E512" s="171"/>
      <c r="F512" s="171"/>
      <c r="G512" s="171"/>
      <c r="P512" s="171"/>
      <c r="Q512" s="171"/>
      <c r="R512" s="171"/>
    </row>
    <row r="513" spans="5:18" ht="12.75">
      <c r="E513" s="171"/>
      <c r="F513" s="171"/>
      <c r="G513" s="171"/>
      <c r="P513" s="171"/>
      <c r="Q513" s="171"/>
      <c r="R513" s="171"/>
    </row>
    <row r="514" spans="5:18" ht="12.75">
      <c r="E514" s="171"/>
      <c r="F514" s="171"/>
      <c r="G514" s="171"/>
      <c r="P514" s="171"/>
      <c r="Q514" s="171"/>
      <c r="R514" s="171"/>
    </row>
    <row r="515" spans="5:18" ht="12.75">
      <c r="E515" s="171"/>
      <c r="F515" s="171"/>
      <c r="G515" s="171"/>
      <c r="P515" s="171"/>
      <c r="Q515" s="171"/>
      <c r="R515" s="171"/>
    </row>
    <row r="516" spans="5:18" ht="12.75">
      <c r="E516" s="171"/>
      <c r="F516" s="171"/>
      <c r="G516" s="171"/>
      <c r="P516" s="171"/>
      <c r="Q516" s="171"/>
      <c r="R516" s="171"/>
    </row>
    <row r="517" spans="5:18" ht="12.75">
      <c r="E517" s="171"/>
      <c r="F517" s="171"/>
      <c r="G517" s="171"/>
      <c r="P517" s="171"/>
      <c r="Q517" s="171"/>
      <c r="R517" s="171"/>
    </row>
    <row r="518" spans="5:18" ht="12.75">
      <c r="E518" s="171"/>
      <c r="F518" s="171"/>
      <c r="G518" s="171"/>
      <c r="P518" s="171"/>
      <c r="Q518" s="171"/>
      <c r="R518" s="171"/>
    </row>
    <row r="519" spans="5:18" ht="12.75">
      <c r="E519" s="171"/>
      <c r="F519" s="171"/>
      <c r="G519" s="171"/>
      <c r="P519" s="171"/>
      <c r="Q519" s="171"/>
      <c r="R519" s="171"/>
    </row>
    <row r="520" spans="5:18" ht="12.75">
      <c r="E520" s="171"/>
      <c r="F520" s="171"/>
      <c r="G520" s="171"/>
      <c r="P520" s="171"/>
      <c r="Q520" s="171"/>
      <c r="R520" s="171"/>
    </row>
    <row r="521" spans="5:18" ht="12.75">
      <c r="E521" s="171"/>
      <c r="F521" s="171"/>
      <c r="G521" s="171"/>
      <c r="P521" s="171"/>
      <c r="Q521" s="171"/>
      <c r="R521" s="171"/>
    </row>
    <row r="522" spans="5:18" ht="12.75">
      <c r="E522" s="171"/>
      <c r="F522" s="171"/>
      <c r="G522" s="171"/>
      <c r="P522" s="171"/>
      <c r="Q522" s="171"/>
      <c r="R522" s="171"/>
    </row>
    <row r="523" spans="5:18" ht="12.75">
      <c r="E523" s="171"/>
      <c r="F523" s="171"/>
      <c r="G523" s="171"/>
      <c r="P523" s="171"/>
      <c r="Q523" s="171"/>
      <c r="R523" s="171"/>
    </row>
    <row r="524" spans="5:18" ht="12.75">
      <c r="E524" s="171"/>
      <c r="F524" s="171"/>
      <c r="G524" s="171"/>
      <c r="P524" s="171"/>
      <c r="Q524" s="171"/>
      <c r="R524" s="171"/>
    </row>
    <row r="525" spans="5:18" ht="12.75">
      <c r="E525" s="171"/>
      <c r="F525" s="171"/>
      <c r="G525" s="171"/>
      <c r="P525" s="171"/>
      <c r="Q525" s="171"/>
      <c r="R525" s="171"/>
    </row>
    <row r="526" spans="5:18" ht="12.75">
      <c r="E526" s="171"/>
      <c r="F526" s="171"/>
      <c r="G526" s="171"/>
      <c r="P526" s="171"/>
      <c r="Q526" s="171"/>
      <c r="R526" s="171"/>
    </row>
    <row r="527" spans="5:18" ht="12.75">
      <c r="E527" s="171"/>
      <c r="F527" s="171"/>
      <c r="G527" s="171"/>
      <c r="P527" s="171"/>
      <c r="Q527" s="171"/>
      <c r="R527" s="171"/>
    </row>
    <row r="528" spans="5:18" ht="12.75">
      <c r="E528" s="171"/>
      <c r="F528" s="171"/>
      <c r="G528" s="171"/>
      <c r="P528" s="171"/>
      <c r="Q528" s="171"/>
      <c r="R528" s="171"/>
    </row>
    <row r="529" spans="5:18" ht="12.75">
      <c r="E529" s="171"/>
      <c r="F529" s="171"/>
      <c r="G529" s="171"/>
      <c r="P529" s="171"/>
      <c r="Q529" s="171"/>
      <c r="R529" s="171"/>
    </row>
    <row r="530" spans="5:18" ht="12.75">
      <c r="E530" s="171"/>
      <c r="F530" s="171"/>
      <c r="G530" s="171"/>
      <c r="P530" s="171"/>
      <c r="Q530" s="171"/>
      <c r="R530" s="171"/>
    </row>
    <row r="531" spans="5:18" ht="12.75">
      <c r="E531" s="171"/>
      <c r="F531" s="171"/>
      <c r="G531" s="171"/>
      <c r="P531" s="171"/>
      <c r="Q531" s="171"/>
      <c r="R531" s="171"/>
    </row>
    <row r="532" spans="5:18" ht="12.75">
      <c r="E532" s="171"/>
      <c r="F532" s="171"/>
      <c r="G532" s="171"/>
      <c r="P532" s="171"/>
      <c r="Q532" s="171"/>
      <c r="R532" s="171"/>
    </row>
    <row r="533" spans="5:18" ht="12.75">
      <c r="E533" s="171"/>
      <c r="F533" s="171"/>
      <c r="G533" s="171"/>
      <c r="P533" s="171"/>
      <c r="Q533" s="171"/>
      <c r="R533" s="171"/>
    </row>
    <row r="534" spans="5:18" ht="12.75">
      <c r="E534" s="171"/>
      <c r="F534" s="171"/>
      <c r="G534" s="171"/>
      <c r="P534" s="171"/>
      <c r="Q534" s="171"/>
      <c r="R534" s="171"/>
    </row>
    <row r="535" spans="5:18" ht="12.75">
      <c r="E535" s="171"/>
      <c r="F535" s="171"/>
      <c r="G535" s="171"/>
      <c r="P535" s="171"/>
      <c r="Q535" s="171"/>
      <c r="R535" s="171"/>
    </row>
    <row r="536" spans="5:18" ht="12.75">
      <c r="E536" s="171"/>
      <c r="F536" s="171"/>
      <c r="G536" s="171"/>
      <c r="P536" s="171"/>
      <c r="Q536" s="171"/>
      <c r="R536" s="171"/>
    </row>
    <row r="537" spans="5:18" ht="12.75">
      <c r="E537" s="171"/>
      <c r="F537" s="171"/>
      <c r="G537" s="171"/>
      <c r="P537" s="171"/>
      <c r="Q537" s="171"/>
      <c r="R537" s="171"/>
    </row>
    <row r="538" spans="5:18" ht="12.75">
      <c r="E538" s="171"/>
      <c r="F538" s="171"/>
      <c r="G538" s="171"/>
      <c r="P538" s="171"/>
      <c r="Q538" s="171"/>
      <c r="R538" s="171"/>
    </row>
    <row r="539" spans="5:18" ht="12.75">
      <c r="E539" s="171"/>
      <c r="F539" s="171"/>
      <c r="G539" s="171"/>
      <c r="P539" s="171"/>
      <c r="Q539" s="171"/>
      <c r="R539" s="171"/>
    </row>
    <row r="540" spans="5:18" ht="12.75">
      <c r="E540" s="171"/>
      <c r="F540" s="171"/>
      <c r="G540" s="171"/>
      <c r="P540" s="171"/>
      <c r="Q540" s="171"/>
      <c r="R540" s="171"/>
    </row>
    <row r="541" spans="5:18" ht="12.75">
      <c r="E541" s="171"/>
      <c r="F541" s="171"/>
      <c r="G541" s="171"/>
      <c r="P541" s="171"/>
      <c r="Q541" s="171"/>
      <c r="R541" s="171"/>
    </row>
    <row r="542" spans="5:18" ht="12.75">
      <c r="E542" s="171"/>
      <c r="F542" s="171"/>
      <c r="G542" s="171"/>
      <c r="P542" s="171"/>
      <c r="Q542" s="171"/>
      <c r="R542" s="171"/>
    </row>
    <row r="543" spans="5:18" ht="12.75">
      <c r="E543" s="171"/>
      <c r="F543" s="171"/>
      <c r="G543" s="171"/>
      <c r="P543" s="171"/>
      <c r="Q543" s="171"/>
      <c r="R543" s="171"/>
    </row>
    <row r="544" spans="5:18" ht="12.75">
      <c r="E544" s="171"/>
      <c r="F544" s="171"/>
      <c r="G544" s="171"/>
      <c r="P544" s="171"/>
      <c r="Q544" s="171"/>
      <c r="R544" s="171"/>
    </row>
    <row r="545" spans="5:18" ht="12.75">
      <c r="E545" s="171"/>
      <c r="F545" s="171"/>
      <c r="G545" s="171"/>
      <c r="P545" s="171"/>
      <c r="Q545" s="171"/>
      <c r="R545" s="171"/>
    </row>
    <row r="546" spans="5:18" ht="12.75">
      <c r="E546" s="171"/>
      <c r="F546" s="171"/>
      <c r="G546" s="171"/>
      <c r="P546" s="171"/>
      <c r="Q546" s="171"/>
      <c r="R546" s="171"/>
    </row>
    <row r="547" spans="5:18" ht="12.75">
      <c r="E547" s="171"/>
      <c r="F547" s="171"/>
      <c r="G547" s="171"/>
      <c r="P547" s="171"/>
      <c r="Q547" s="171"/>
      <c r="R547" s="171"/>
    </row>
    <row r="548" spans="5:18" ht="12.75">
      <c r="E548" s="171"/>
      <c r="F548" s="171"/>
      <c r="G548" s="171"/>
      <c r="P548" s="171"/>
      <c r="Q548" s="171"/>
      <c r="R548" s="171"/>
    </row>
    <row r="549" spans="5:18" ht="12.75">
      <c r="E549" s="171"/>
      <c r="F549" s="171"/>
      <c r="G549" s="171"/>
      <c r="P549" s="171"/>
      <c r="Q549" s="171"/>
      <c r="R549" s="171"/>
    </row>
    <row r="550" spans="5:18" ht="12.75">
      <c r="E550" s="171"/>
      <c r="F550" s="171"/>
      <c r="G550" s="171"/>
      <c r="P550" s="171"/>
      <c r="Q550" s="171"/>
      <c r="R550" s="171"/>
    </row>
    <row r="551" spans="5:18" ht="12.75">
      <c r="E551" s="171"/>
      <c r="F551" s="171"/>
      <c r="G551" s="171"/>
      <c r="P551" s="171"/>
      <c r="Q551" s="171"/>
      <c r="R551" s="171"/>
    </row>
    <row r="552" spans="5:18" ht="12.75">
      <c r="E552" s="171"/>
      <c r="F552" s="171"/>
      <c r="G552" s="171"/>
      <c r="P552" s="171"/>
      <c r="Q552" s="171"/>
      <c r="R552" s="171"/>
    </row>
    <row r="553" spans="5:18" ht="12.75">
      <c r="E553" s="171"/>
      <c r="F553" s="171"/>
      <c r="G553" s="171"/>
      <c r="P553" s="171"/>
      <c r="Q553" s="171"/>
      <c r="R553" s="171"/>
    </row>
    <row r="554" spans="5:18" ht="12.75">
      <c r="E554" s="171"/>
      <c r="F554" s="171"/>
      <c r="G554" s="171"/>
      <c r="P554" s="171"/>
      <c r="Q554" s="171"/>
      <c r="R554" s="171"/>
    </row>
    <row r="555" spans="5:18" ht="12.75">
      <c r="E555" s="171"/>
      <c r="F555" s="171"/>
      <c r="G555" s="171"/>
      <c r="P555" s="171"/>
      <c r="Q555" s="171"/>
      <c r="R555" s="171"/>
    </row>
    <row r="556" spans="5:18" ht="12.75">
      <c r="E556" s="171"/>
      <c r="F556" s="171"/>
      <c r="G556" s="171"/>
      <c r="P556" s="171"/>
      <c r="Q556" s="171"/>
      <c r="R556" s="171"/>
    </row>
    <row r="557" spans="5:18" ht="12.75">
      <c r="E557" s="171"/>
      <c r="F557" s="171"/>
      <c r="G557" s="171"/>
      <c r="P557" s="171"/>
      <c r="Q557" s="171"/>
      <c r="R557" s="171"/>
    </row>
    <row r="558" spans="5:18" ht="12.75">
      <c r="E558" s="171"/>
      <c r="F558" s="171"/>
      <c r="G558" s="171"/>
      <c r="P558" s="171"/>
      <c r="Q558" s="171"/>
      <c r="R558" s="171"/>
    </row>
    <row r="559" spans="5:18" ht="12.75">
      <c r="E559" s="171"/>
      <c r="F559" s="171"/>
      <c r="G559" s="171"/>
      <c r="P559" s="171"/>
      <c r="Q559" s="171"/>
      <c r="R559" s="171"/>
    </row>
    <row r="560" spans="5:18" ht="12.75">
      <c r="E560" s="171"/>
      <c r="F560" s="171"/>
      <c r="G560" s="171"/>
      <c r="P560" s="171"/>
      <c r="Q560" s="171"/>
      <c r="R560" s="171"/>
    </row>
    <row r="561" spans="5:18" ht="12.75">
      <c r="E561" s="171"/>
      <c r="F561" s="171"/>
      <c r="G561" s="171"/>
      <c r="P561" s="171"/>
      <c r="Q561" s="171"/>
      <c r="R561" s="171"/>
    </row>
    <row r="562" spans="5:18" ht="12.75">
      <c r="E562" s="171"/>
      <c r="F562" s="171"/>
      <c r="G562" s="171"/>
      <c r="P562" s="171"/>
      <c r="Q562" s="171"/>
      <c r="R562" s="171"/>
    </row>
    <row r="563" spans="5:18" ht="12.75">
      <c r="E563" s="171"/>
      <c r="F563" s="171"/>
      <c r="G563" s="171"/>
      <c r="P563" s="171"/>
      <c r="Q563" s="171"/>
      <c r="R563" s="171"/>
    </row>
    <row r="564" spans="5:18" ht="12.75">
      <c r="E564" s="171"/>
      <c r="F564" s="171"/>
      <c r="G564" s="171"/>
      <c r="P564" s="171"/>
      <c r="Q564" s="171"/>
      <c r="R564" s="171"/>
    </row>
    <row r="565" spans="5:18" ht="12.75">
      <c r="E565" s="171"/>
      <c r="F565" s="171"/>
      <c r="G565" s="171"/>
      <c r="P565" s="171"/>
      <c r="Q565" s="171"/>
      <c r="R565" s="171"/>
    </row>
    <row r="566" spans="5:18" ht="12.75">
      <c r="E566" s="171"/>
      <c r="F566" s="171"/>
      <c r="G566" s="171"/>
      <c r="P566" s="171"/>
      <c r="Q566" s="171"/>
      <c r="R566" s="171"/>
    </row>
    <row r="567" spans="5:18" ht="12.75">
      <c r="E567" s="171"/>
      <c r="F567" s="171"/>
      <c r="G567" s="171"/>
      <c r="P567" s="171"/>
      <c r="Q567" s="171"/>
      <c r="R567" s="171"/>
    </row>
    <row r="568" spans="5:18" ht="12.75">
      <c r="E568" s="171"/>
      <c r="F568" s="171"/>
      <c r="G568" s="171"/>
      <c r="P568" s="171"/>
      <c r="Q568" s="171"/>
      <c r="R568" s="171"/>
    </row>
    <row r="569" spans="5:18" ht="12.75">
      <c r="E569" s="171"/>
      <c r="F569" s="171"/>
      <c r="G569" s="171"/>
      <c r="P569" s="171"/>
      <c r="Q569" s="171"/>
      <c r="R569" s="171"/>
    </row>
    <row r="570" spans="5:18" ht="12.75">
      <c r="E570" s="171"/>
      <c r="F570" s="171"/>
      <c r="G570" s="171"/>
      <c r="P570" s="171"/>
      <c r="Q570" s="171"/>
      <c r="R570" s="171"/>
    </row>
    <row r="571" spans="5:18" ht="12.75">
      <c r="E571" s="171"/>
      <c r="F571" s="171"/>
      <c r="G571" s="171"/>
      <c r="P571" s="171"/>
      <c r="Q571" s="171"/>
      <c r="R571" s="171"/>
    </row>
    <row r="572" spans="5:18" ht="12.75">
      <c r="E572" s="171"/>
      <c r="F572" s="171"/>
      <c r="G572" s="171"/>
      <c r="P572" s="171"/>
      <c r="Q572" s="171"/>
      <c r="R572" s="171"/>
    </row>
    <row r="573" spans="5:18" ht="12.75">
      <c r="E573" s="171"/>
      <c r="F573" s="171"/>
      <c r="G573" s="171"/>
      <c r="P573" s="171"/>
      <c r="Q573" s="171"/>
      <c r="R573" s="171"/>
    </row>
    <row r="574" spans="5:18" ht="12.75">
      <c r="E574" s="171"/>
      <c r="F574" s="171"/>
      <c r="G574" s="171"/>
      <c r="P574" s="171"/>
      <c r="Q574" s="171"/>
      <c r="R574" s="171"/>
    </row>
    <row r="575" spans="5:18" ht="12.75">
      <c r="E575" s="171"/>
      <c r="F575" s="171"/>
      <c r="G575" s="171"/>
      <c r="P575" s="171"/>
      <c r="Q575" s="171"/>
      <c r="R575" s="171"/>
    </row>
    <row r="576" spans="5:18" ht="12.75">
      <c r="E576" s="171"/>
      <c r="F576" s="171"/>
      <c r="G576" s="171"/>
      <c r="P576" s="171"/>
      <c r="Q576" s="171"/>
      <c r="R576" s="171"/>
    </row>
    <row r="577" spans="5:18" ht="12.75">
      <c r="E577" s="171"/>
      <c r="F577" s="171"/>
      <c r="G577" s="171"/>
      <c r="P577" s="171"/>
      <c r="Q577" s="171"/>
      <c r="R577" s="171"/>
    </row>
    <row r="578" spans="5:18" ht="12.75">
      <c r="E578" s="171"/>
      <c r="F578" s="171"/>
      <c r="G578" s="171"/>
      <c r="P578" s="171"/>
      <c r="Q578" s="171"/>
      <c r="R578" s="171"/>
    </row>
    <row r="579" spans="5:18" ht="12.75">
      <c r="E579" s="171"/>
      <c r="F579" s="171"/>
      <c r="G579" s="171"/>
      <c r="P579" s="171"/>
      <c r="Q579" s="171"/>
      <c r="R579" s="171"/>
    </row>
    <row r="580" spans="5:18" ht="12.75">
      <c r="E580" s="171"/>
      <c r="F580" s="171"/>
      <c r="G580" s="171"/>
      <c r="P580" s="171"/>
      <c r="Q580" s="171"/>
      <c r="R580" s="171"/>
    </row>
    <row r="581" spans="5:18" ht="12.75">
      <c r="E581" s="171"/>
      <c r="F581" s="171"/>
      <c r="G581" s="171"/>
      <c r="P581" s="171"/>
      <c r="Q581" s="171"/>
      <c r="R581" s="171"/>
    </row>
    <row r="582" spans="5:18" ht="12.75">
      <c r="E582" s="171"/>
      <c r="F582" s="171"/>
      <c r="G582" s="171"/>
      <c r="P582" s="171"/>
      <c r="Q582" s="171"/>
      <c r="R582" s="171"/>
    </row>
    <row r="583" spans="5:18" ht="12.75">
      <c r="E583" s="171"/>
      <c r="F583" s="171"/>
      <c r="G583" s="171"/>
      <c r="P583" s="171"/>
      <c r="Q583" s="171"/>
      <c r="R583" s="171"/>
    </row>
    <row r="584" spans="5:18" ht="12.75">
      <c r="E584" s="171"/>
      <c r="F584" s="171"/>
      <c r="G584" s="171"/>
      <c r="P584" s="171"/>
      <c r="Q584" s="171"/>
      <c r="R584" s="171"/>
    </row>
    <row r="585" spans="5:18" ht="12.75">
      <c r="E585" s="171"/>
      <c r="F585" s="171"/>
      <c r="G585" s="171"/>
      <c r="P585" s="171"/>
      <c r="Q585" s="171"/>
      <c r="R585" s="171"/>
    </row>
    <row r="586" spans="5:18" ht="12.75">
      <c r="E586" s="171"/>
      <c r="F586" s="171"/>
      <c r="G586" s="171"/>
      <c r="P586" s="171"/>
      <c r="Q586" s="171"/>
      <c r="R586" s="171"/>
    </row>
    <row r="587" spans="5:18" ht="12.75">
      <c r="E587" s="171"/>
      <c r="F587" s="171"/>
      <c r="G587" s="171"/>
      <c r="P587" s="171"/>
      <c r="Q587" s="171"/>
      <c r="R587" s="171"/>
    </row>
    <row r="588" spans="5:18" ht="12.75">
      <c r="E588" s="171"/>
      <c r="F588" s="171"/>
      <c r="G588" s="171"/>
      <c r="P588" s="171"/>
      <c r="Q588" s="171"/>
      <c r="R588" s="171"/>
    </row>
    <row r="589" spans="5:18" ht="12.75">
      <c r="E589" s="171"/>
      <c r="F589" s="171"/>
      <c r="G589" s="171"/>
      <c r="P589" s="171"/>
      <c r="Q589" s="171"/>
      <c r="R589" s="171"/>
    </row>
    <row r="590" spans="5:18" ht="12.75">
      <c r="E590" s="171"/>
      <c r="F590" s="171"/>
      <c r="G590" s="171"/>
      <c r="P590" s="171"/>
      <c r="Q590" s="171"/>
      <c r="R590" s="171"/>
    </row>
    <row r="591" spans="5:18" ht="12.75">
      <c r="E591" s="171"/>
      <c r="F591" s="171"/>
      <c r="G591" s="171"/>
      <c r="P591" s="171"/>
      <c r="Q591" s="171"/>
      <c r="R591" s="171"/>
    </row>
    <row r="592" spans="5:18" ht="12.75">
      <c r="E592" s="171"/>
      <c r="F592" s="171"/>
      <c r="G592" s="171"/>
      <c r="P592" s="171"/>
      <c r="Q592" s="171"/>
      <c r="R592" s="171"/>
    </row>
    <row r="593" spans="5:18" ht="12.75">
      <c r="E593" s="171"/>
      <c r="F593" s="171"/>
      <c r="G593" s="171"/>
      <c r="P593" s="171"/>
      <c r="Q593" s="171"/>
      <c r="R593" s="171"/>
    </row>
    <row r="594" spans="5:18" ht="12.75">
      <c r="E594" s="171"/>
      <c r="F594" s="171"/>
      <c r="G594" s="171"/>
      <c r="P594" s="171"/>
      <c r="Q594" s="171"/>
      <c r="R594" s="171"/>
    </row>
    <row r="595" spans="5:18" ht="12.75">
      <c r="E595" s="171"/>
      <c r="F595" s="171"/>
      <c r="G595" s="171"/>
      <c r="P595" s="171"/>
      <c r="Q595" s="171"/>
      <c r="R595" s="171"/>
    </row>
    <row r="596" spans="5:18" ht="12.75">
      <c r="E596" s="171"/>
      <c r="F596" s="171"/>
      <c r="G596" s="171"/>
      <c r="P596" s="171"/>
      <c r="Q596" s="171"/>
      <c r="R596" s="171"/>
    </row>
    <row r="597" spans="5:18" ht="12.75">
      <c r="E597" s="171"/>
      <c r="F597" s="171"/>
      <c r="G597" s="171"/>
      <c r="P597" s="171"/>
      <c r="Q597" s="171"/>
      <c r="R597" s="171"/>
    </row>
    <row r="598" spans="5:18" ht="12.75">
      <c r="E598" s="171"/>
      <c r="F598" s="171"/>
      <c r="G598" s="171"/>
      <c r="P598" s="171"/>
      <c r="Q598" s="171"/>
      <c r="R598" s="171"/>
    </row>
    <row r="599" spans="5:18" ht="12.75">
      <c r="E599" s="171"/>
      <c r="F599" s="171"/>
      <c r="G599" s="171"/>
      <c r="P599" s="171"/>
      <c r="Q599" s="171"/>
      <c r="R599" s="171"/>
    </row>
    <row r="600" spans="5:18" ht="12.75">
      <c r="E600" s="171"/>
      <c r="F600" s="171"/>
      <c r="G600" s="171"/>
      <c r="P600" s="171"/>
      <c r="Q600" s="171"/>
      <c r="R600" s="171"/>
    </row>
    <row r="601" spans="5:18" ht="12.75">
      <c r="E601" s="171"/>
      <c r="F601" s="171"/>
      <c r="G601" s="171"/>
      <c r="P601" s="171"/>
      <c r="Q601" s="171"/>
      <c r="R601" s="171"/>
    </row>
    <row r="602" spans="5:18" ht="12.75">
      <c r="E602" s="171"/>
      <c r="F602" s="171"/>
      <c r="G602" s="171"/>
      <c r="P602" s="171"/>
      <c r="Q602" s="171"/>
      <c r="R602" s="171"/>
    </row>
    <row r="603" spans="5:18" ht="12.75">
      <c r="E603" s="171"/>
      <c r="F603" s="171"/>
      <c r="G603" s="171"/>
      <c r="P603" s="171"/>
      <c r="Q603" s="171"/>
      <c r="R603" s="171"/>
    </row>
    <row r="604" spans="5:18" ht="12.75">
      <c r="E604" s="171"/>
      <c r="F604" s="171"/>
      <c r="G604" s="171"/>
      <c r="P604" s="171"/>
      <c r="Q604" s="171"/>
      <c r="R604" s="171"/>
    </row>
    <row r="605" spans="5:18" ht="12.75">
      <c r="E605" s="171"/>
      <c r="F605" s="171"/>
      <c r="G605" s="171"/>
      <c r="P605" s="171"/>
      <c r="Q605" s="171"/>
      <c r="R605" s="171"/>
    </row>
    <row r="606" spans="5:18" ht="12.75">
      <c r="E606" s="171"/>
      <c r="F606" s="171"/>
      <c r="G606" s="171"/>
      <c r="P606" s="171"/>
      <c r="Q606" s="171"/>
      <c r="R606" s="171"/>
    </row>
    <row r="607" spans="5:18" ht="12.75">
      <c r="E607" s="171"/>
      <c r="F607" s="171"/>
      <c r="G607" s="171"/>
      <c r="P607" s="171"/>
      <c r="Q607" s="171"/>
      <c r="R607" s="171"/>
    </row>
    <row r="608" spans="5:18" ht="12.75">
      <c r="E608" s="171"/>
      <c r="F608" s="171"/>
      <c r="G608" s="171"/>
      <c r="P608" s="171"/>
      <c r="Q608" s="171"/>
      <c r="R608" s="171"/>
    </row>
    <row r="609" spans="5:18" ht="12.75">
      <c r="E609" s="171"/>
      <c r="F609" s="171"/>
      <c r="G609" s="171"/>
      <c r="P609" s="171"/>
      <c r="Q609" s="171"/>
      <c r="R609" s="171"/>
    </row>
    <row r="610" spans="5:18" ht="12.75">
      <c r="E610" s="171"/>
      <c r="F610" s="171"/>
      <c r="G610" s="171"/>
      <c r="P610" s="171"/>
      <c r="Q610" s="171"/>
      <c r="R610" s="171"/>
    </row>
    <row r="611" spans="5:18" ht="12.75">
      <c r="E611" s="171"/>
      <c r="F611" s="171"/>
      <c r="G611" s="171"/>
      <c r="P611" s="171"/>
      <c r="Q611" s="171"/>
      <c r="R611" s="171"/>
    </row>
    <row r="612" spans="5:18" ht="12.75">
      <c r="E612" s="171"/>
      <c r="F612" s="171"/>
      <c r="G612" s="171"/>
      <c r="P612" s="171"/>
      <c r="Q612" s="171"/>
      <c r="R612" s="171"/>
    </row>
    <row r="613" spans="5:18" ht="12.75">
      <c r="E613" s="171"/>
      <c r="F613" s="171"/>
      <c r="G613" s="171"/>
      <c r="P613" s="171"/>
      <c r="Q613" s="171"/>
      <c r="R613" s="171"/>
    </row>
    <row r="614" spans="5:18" ht="12.75">
      <c r="E614" s="171"/>
      <c r="F614" s="171"/>
      <c r="G614" s="171"/>
      <c r="P614" s="171"/>
      <c r="Q614" s="171"/>
      <c r="R614" s="171"/>
    </row>
    <row r="615" spans="5:18" ht="12.75">
      <c r="E615" s="171"/>
      <c r="F615" s="171"/>
      <c r="G615" s="171"/>
      <c r="P615" s="171"/>
      <c r="Q615" s="171"/>
      <c r="R615" s="171"/>
    </row>
    <row r="616" spans="5:18" ht="12.75">
      <c r="E616" s="171"/>
      <c r="F616" s="171"/>
      <c r="G616" s="171"/>
      <c r="P616" s="171"/>
      <c r="Q616" s="171"/>
      <c r="R616" s="171"/>
    </row>
    <row r="617" spans="5:18" ht="12.75">
      <c r="E617" s="171"/>
      <c r="F617" s="171"/>
      <c r="G617" s="171"/>
      <c r="P617" s="171"/>
      <c r="Q617" s="171"/>
      <c r="R617" s="171"/>
    </row>
    <row r="618" spans="5:18" ht="12.75">
      <c r="E618" s="171"/>
      <c r="F618" s="171"/>
      <c r="G618" s="171"/>
      <c r="P618" s="171"/>
      <c r="Q618" s="171"/>
      <c r="R618" s="171"/>
    </row>
    <row r="619" spans="5:18" ht="12.75">
      <c r="E619" s="171"/>
      <c r="F619" s="171"/>
      <c r="G619" s="171"/>
      <c r="P619" s="171"/>
      <c r="Q619" s="171"/>
      <c r="R619" s="171"/>
    </row>
    <row r="620" spans="5:18" ht="12.75">
      <c r="E620" s="171"/>
      <c r="F620" s="171"/>
      <c r="G620" s="171"/>
      <c r="P620" s="171"/>
      <c r="Q620" s="171"/>
      <c r="R620" s="171"/>
    </row>
    <row r="621" spans="5:18" ht="12.75">
      <c r="E621" s="171"/>
      <c r="F621" s="171"/>
      <c r="G621" s="171"/>
      <c r="P621" s="171"/>
      <c r="Q621" s="171"/>
      <c r="R621" s="171"/>
    </row>
    <row r="622" spans="5:18" ht="12.75">
      <c r="E622" s="171"/>
      <c r="F622" s="171"/>
      <c r="G622" s="171"/>
      <c r="P622" s="171"/>
      <c r="Q622" s="171"/>
      <c r="R622" s="171"/>
    </row>
    <row r="623" spans="5:18" ht="12.75">
      <c r="E623" s="171"/>
      <c r="F623" s="171"/>
      <c r="G623" s="171"/>
      <c r="P623" s="171"/>
      <c r="Q623" s="171"/>
      <c r="R623" s="171"/>
    </row>
    <row r="624" spans="5:18" ht="12.75">
      <c r="E624" s="171"/>
      <c r="F624" s="171"/>
      <c r="G624" s="171"/>
      <c r="P624" s="171"/>
      <c r="Q624" s="171"/>
      <c r="R624" s="171"/>
    </row>
    <row r="625" spans="5:18" ht="12.75">
      <c r="E625" s="171"/>
      <c r="F625" s="171"/>
      <c r="G625" s="171"/>
      <c r="P625" s="171"/>
      <c r="Q625" s="171"/>
      <c r="R625" s="171"/>
    </row>
    <row r="626" spans="5:18" ht="12.75">
      <c r="E626" s="171"/>
      <c r="F626" s="171"/>
      <c r="G626" s="171"/>
      <c r="P626" s="171"/>
      <c r="Q626" s="171"/>
      <c r="R626" s="171"/>
    </row>
    <row r="627" spans="5:18" ht="12.75">
      <c r="E627" s="171"/>
      <c r="F627" s="171"/>
      <c r="G627" s="171"/>
      <c r="P627" s="171"/>
      <c r="Q627" s="171"/>
      <c r="R627" s="171"/>
    </row>
    <row r="628" spans="5:18" ht="12.75">
      <c r="E628" s="171"/>
      <c r="F628" s="171"/>
      <c r="G628" s="171"/>
      <c r="P628" s="171"/>
      <c r="Q628" s="171"/>
      <c r="R628" s="171"/>
    </row>
    <row r="629" spans="5:18" ht="12.75">
      <c r="E629" s="171"/>
      <c r="F629" s="171"/>
      <c r="G629" s="171"/>
      <c r="P629" s="171"/>
      <c r="Q629" s="171"/>
      <c r="R629" s="171"/>
    </row>
    <row r="630" spans="5:18" ht="12.75">
      <c r="E630" s="171"/>
      <c r="F630" s="171"/>
      <c r="G630" s="171"/>
      <c r="P630" s="171"/>
      <c r="Q630" s="171"/>
      <c r="R630" s="171"/>
    </row>
    <row r="631" spans="5:18" ht="12.75">
      <c r="E631" s="171"/>
      <c r="F631" s="171"/>
      <c r="G631" s="171"/>
      <c r="P631" s="171"/>
      <c r="Q631" s="171"/>
      <c r="R631" s="171"/>
    </row>
    <row r="632" spans="5:18" ht="12.75">
      <c r="E632" s="171"/>
      <c r="F632" s="171"/>
      <c r="G632" s="171"/>
      <c r="P632" s="171"/>
      <c r="Q632" s="171"/>
      <c r="R632" s="171"/>
    </row>
    <row r="633" spans="5:18" ht="12.75">
      <c r="E633" s="171"/>
      <c r="F633" s="171"/>
      <c r="G633" s="171"/>
      <c r="P633" s="171"/>
      <c r="Q633" s="171"/>
      <c r="R633" s="171"/>
    </row>
    <row r="634" spans="5:18" ht="12.75">
      <c r="E634" s="171"/>
      <c r="F634" s="171"/>
      <c r="G634" s="171"/>
      <c r="P634" s="171"/>
      <c r="Q634" s="171"/>
      <c r="R634" s="171"/>
    </row>
    <row r="635" spans="5:18" ht="12.75">
      <c r="E635" s="171"/>
      <c r="F635" s="171"/>
      <c r="G635" s="171"/>
      <c r="P635" s="171"/>
      <c r="Q635" s="171"/>
      <c r="R635" s="171"/>
    </row>
    <row r="636" spans="5:18" ht="12.75">
      <c r="E636" s="171"/>
      <c r="F636" s="171"/>
      <c r="G636" s="171"/>
      <c r="P636" s="171"/>
      <c r="Q636" s="171"/>
      <c r="R636" s="171"/>
    </row>
    <row r="637" spans="5:18" ht="12.75">
      <c r="E637" s="171"/>
      <c r="F637" s="171"/>
      <c r="G637" s="171"/>
      <c r="P637" s="171"/>
      <c r="Q637" s="171"/>
      <c r="R637" s="171"/>
    </row>
    <row r="638" spans="5:18" ht="12.75">
      <c r="E638" s="171"/>
      <c r="F638" s="171"/>
      <c r="G638" s="171"/>
      <c r="P638" s="171"/>
      <c r="Q638" s="171"/>
      <c r="R638" s="171"/>
    </row>
    <row r="639" spans="5:18" ht="12.75">
      <c r="E639" s="171"/>
      <c r="F639" s="171"/>
      <c r="G639" s="171"/>
      <c r="P639" s="171"/>
      <c r="Q639" s="171"/>
      <c r="R639" s="171"/>
    </row>
    <row r="640" spans="5:18" ht="12.75">
      <c r="E640" s="171"/>
      <c r="F640" s="171"/>
      <c r="G640" s="171"/>
      <c r="P640" s="171"/>
      <c r="Q640" s="171"/>
      <c r="R640" s="171"/>
    </row>
    <row r="641" spans="5:18" ht="12.75">
      <c r="E641" s="171"/>
      <c r="F641" s="171"/>
      <c r="G641" s="171"/>
      <c r="P641" s="171"/>
      <c r="Q641" s="171"/>
      <c r="R641" s="171"/>
    </row>
    <row r="642" spans="5:18" ht="12.75">
      <c r="E642" s="171"/>
      <c r="F642" s="171"/>
      <c r="G642" s="171"/>
      <c r="P642" s="171"/>
      <c r="Q642" s="171"/>
      <c r="R642" s="171"/>
    </row>
    <row r="643" spans="5:18" ht="12.75">
      <c r="E643" s="171"/>
      <c r="F643" s="171"/>
      <c r="G643" s="171"/>
      <c r="P643" s="171"/>
      <c r="Q643" s="171"/>
      <c r="R643" s="171"/>
    </row>
    <row r="644" spans="5:18" ht="12.75">
      <c r="E644" s="171"/>
      <c r="F644" s="171"/>
      <c r="G644" s="171"/>
      <c r="P644" s="171"/>
      <c r="Q644" s="171"/>
      <c r="R644" s="171"/>
    </row>
    <row r="645" spans="5:18" ht="12.75">
      <c r="E645" s="171"/>
      <c r="F645" s="171"/>
      <c r="G645" s="171"/>
      <c r="P645" s="171"/>
      <c r="Q645" s="171"/>
      <c r="R645" s="171"/>
    </row>
    <row r="646" spans="5:18" ht="12.75">
      <c r="E646" s="171"/>
      <c r="F646" s="171"/>
      <c r="G646" s="171"/>
      <c r="P646" s="171"/>
      <c r="Q646" s="171"/>
      <c r="R646" s="171"/>
    </row>
    <row r="647" spans="5:18" ht="12.75">
      <c r="E647" s="171"/>
      <c r="F647" s="171"/>
      <c r="G647" s="171"/>
      <c r="P647" s="171"/>
      <c r="Q647" s="171"/>
      <c r="R647" s="171"/>
    </row>
    <row r="648" spans="5:18" ht="12.75">
      <c r="E648" s="171"/>
      <c r="F648" s="171"/>
      <c r="G648" s="171"/>
      <c r="P648" s="171"/>
      <c r="Q648" s="171"/>
      <c r="R648" s="171"/>
    </row>
    <row r="649" spans="5:18" ht="12.75">
      <c r="E649" s="171"/>
      <c r="F649" s="171"/>
      <c r="G649" s="171"/>
      <c r="P649" s="171"/>
      <c r="Q649" s="171"/>
      <c r="R649" s="171"/>
    </row>
    <row r="650" spans="5:18" ht="12.75">
      <c r="E650" s="171"/>
      <c r="F650" s="171"/>
      <c r="G650" s="171"/>
      <c r="P650" s="171"/>
      <c r="Q650" s="171"/>
      <c r="R650" s="171"/>
    </row>
    <row r="651" spans="5:18" ht="12.75">
      <c r="E651" s="171"/>
      <c r="F651" s="171"/>
      <c r="G651" s="171"/>
      <c r="P651" s="171"/>
      <c r="Q651" s="171"/>
      <c r="R651" s="171"/>
    </row>
    <row r="652" spans="5:18" ht="12.75">
      <c r="E652" s="171"/>
      <c r="F652" s="171"/>
      <c r="G652" s="171"/>
      <c r="P652" s="171"/>
      <c r="Q652" s="171"/>
      <c r="R652" s="171"/>
    </row>
    <row r="653" spans="5:18" ht="12.75">
      <c r="E653" s="171"/>
      <c r="F653" s="171"/>
      <c r="G653" s="171"/>
      <c r="P653" s="171"/>
      <c r="Q653" s="171"/>
      <c r="R653" s="171"/>
    </row>
    <row r="654" spans="5:18" ht="12.75">
      <c r="E654" s="171"/>
      <c r="F654" s="171"/>
      <c r="G654" s="171"/>
      <c r="P654" s="171"/>
      <c r="Q654" s="171"/>
      <c r="R654" s="171"/>
    </row>
    <row r="655" spans="5:18" ht="12.75">
      <c r="E655" s="171"/>
      <c r="F655" s="171"/>
      <c r="G655" s="171"/>
      <c r="P655" s="171"/>
      <c r="Q655" s="171"/>
      <c r="R655" s="171"/>
    </row>
    <row r="656" spans="5:18" ht="12.75">
      <c r="E656" s="171"/>
      <c r="F656" s="171"/>
      <c r="G656" s="171"/>
      <c r="P656" s="171"/>
      <c r="Q656" s="171"/>
      <c r="R656" s="171"/>
    </row>
    <row r="657" spans="5:18" ht="12.75">
      <c r="E657" s="171"/>
      <c r="F657" s="171"/>
      <c r="G657" s="171"/>
      <c r="P657" s="171"/>
      <c r="Q657" s="171"/>
      <c r="R657" s="171"/>
    </row>
    <row r="658" spans="5:18" ht="12.75">
      <c r="E658" s="171"/>
      <c r="F658" s="171"/>
      <c r="G658" s="171"/>
      <c r="P658" s="171"/>
      <c r="Q658" s="171"/>
      <c r="R658" s="171"/>
    </row>
    <row r="659" spans="5:18" ht="12.75">
      <c r="E659" s="171"/>
      <c r="F659" s="171"/>
      <c r="G659" s="171"/>
      <c r="P659" s="171"/>
      <c r="Q659" s="171"/>
      <c r="R659" s="171"/>
    </row>
    <row r="660" spans="5:18" ht="12.75">
      <c r="E660" s="171"/>
      <c r="F660" s="171"/>
      <c r="G660" s="171"/>
      <c r="P660" s="171"/>
      <c r="Q660" s="171"/>
      <c r="R660" s="171"/>
    </row>
    <row r="661" spans="5:18" ht="12.75">
      <c r="E661" s="171"/>
      <c r="F661" s="171"/>
      <c r="G661" s="171"/>
      <c r="P661" s="171"/>
      <c r="Q661" s="171"/>
      <c r="R661" s="171"/>
    </row>
    <row r="662" spans="5:18" ht="12.75">
      <c r="E662" s="171"/>
      <c r="F662" s="171"/>
      <c r="G662" s="171"/>
      <c r="P662" s="171"/>
      <c r="Q662" s="171"/>
      <c r="R662" s="171"/>
    </row>
    <row r="663" spans="5:18" ht="12.75">
      <c r="E663" s="171"/>
      <c r="F663" s="171"/>
      <c r="G663" s="171"/>
      <c r="P663" s="171"/>
      <c r="Q663" s="171"/>
      <c r="R663" s="171"/>
    </row>
    <row r="664" spans="5:18" ht="12.75">
      <c r="E664" s="171"/>
      <c r="F664" s="171"/>
      <c r="G664" s="171"/>
      <c r="P664" s="171"/>
      <c r="Q664" s="171"/>
      <c r="R664" s="171"/>
    </row>
    <row r="665" spans="5:18" ht="12.75">
      <c r="E665" s="171"/>
      <c r="F665" s="171"/>
      <c r="G665" s="171"/>
      <c r="P665" s="171"/>
      <c r="Q665" s="171"/>
      <c r="R665" s="171"/>
    </row>
    <row r="666" spans="5:18" ht="12.75">
      <c r="E666" s="171"/>
      <c r="F666" s="171"/>
      <c r="G666" s="171"/>
      <c r="P666" s="171"/>
      <c r="Q666" s="171"/>
      <c r="R666" s="171"/>
    </row>
    <row r="667" spans="5:18" ht="12.75">
      <c r="E667" s="171"/>
      <c r="F667" s="171"/>
      <c r="G667" s="171"/>
      <c r="P667" s="171"/>
      <c r="Q667" s="171"/>
      <c r="R667" s="171"/>
    </row>
    <row r="668" spans="5:18" ht="12.75">
      <c r="E668" s="171"/>
      <c r="F668" s="171"/>
      <c r="G668" s="171"/>
      <c r="P668" s="171"/>
      <c r="Q668" s="171"/>
      <c r="R668" s="171"/>
    </row>
    <row r="669" spans="5:18" ht="12.75">
      <c r="E669" s="171"/>
      <c r="F669" s="171"/>
      <c r="G669" s="171"/>
      <c r="P669" s="171"/>
      <c r="Q669" s="171"/>
      <c r="R669" s="171"/>
    </row>
    <row r="670" spans="5:18" ht="12.75">
      <c r="E670" s="171"/>
      <c r="F670" s="171"/>
      <c r="G670" s="171"/>
      <c r="P670" s="171"/>
      <c r="Q670" s="171"/>
      <c r="R670" s="171"/>
    </row>
    <row r="671" spans="5:18" ht="12.75">
      <c r="E671" s="171"/>
      <c r="F671" s="171"/>
      <c r="G671" s="171"/>
      <c r="P671" s="171"/>
      <c r="Q671" s="171"/>
      <c r="R671" s="171"/>
    </row>
    <row r="672" spans="5:18" ht="12.75">
      <c r="E672" s="171"/>
      <c r="F672" s="171"/>
      <c r="G672" s="171"/>
      <c r="P672" s="171"/>
      <c r="Q672" s="171"/>
      <c r="R672" s="171"/>
    </row>
    <row r="673" spans="5:18" ht="12.75">
      <c r="E673" s="171"/>
      <c r="F673" s="171"/>
      <c r="G673" s="171"/>
      <c r="P673" s="171"/>
      <c r="Q673" s="171"/>
      <c r="R673" s="171"/>
    </row>
    <row r="674" spans="5:18" ht="12.75">
      <c r="E674" s="171"/>
      <c r="F674" s="171"/>
      <c r="G674" s="171"/>
      <c r="P674" s="171"/>
      <c r="Q674" s="171"/>
      <c r="R674" s="171"/>
    </row>
    <row r="675" spans="5:18" ht="12.75">
      <c r="E675" s="171"/>
      <c r="F675" s="171"/>
      <c r="G675" s="171"/>
      <c r="P675" s="171"/>
      <c r="Q675" s="171"/>
      <c r="R675" s="171"/>
    </row>
    <row r="676" spans="5:18" ht="12.75">
      <c r="E676" s="171"/>
      <c r="F676" s="171"/>
      <c r="G676" s="171"/>
      <c r="P676" s="171"/>
      <c r="Q676" s="171"/>
      <c r="R676" s="171"/>
    </row>
    <row r="677" spans="5:18" ht="12.75">
      <c r="E677" s="171"/>
      <c r="F677" s="171"/>
      <c r="G677" s="171"/>
      <c r="P677" s="171"/>
      <c r="Q677" s="171"/>
      <c r="R677" s="171"/>
    </row>
    <row r="678" spans="5:18" ht="12.75">
      <c r="E678" s="171"/>
      <c r="F678" s="171"/>
      <c r="G678" s="171"/>
      <c r="P678" s="171"/>
      <c r="Q678" s="171"/>
      <c r="R678" s="171"/>
    </row>
    <row r="679" spans="5:18" ht="12.75">
      <c r="E679" s="171"/>
      <c r="F679" s="171"/>
      <c r="G679" s="171"/>
      <c r="P679" s="171"/>
      <c r="Q679" s="171"/>
      <c r="R679" s="171"/>
    </row>
    <row r="680" spans="5:18" ht="12.75">
      <c r="E680" s="171"/>
      <c r="F680" s="171"/>
      <c r="G680" s="171"/>
      <c r="P680" s="171"/>
      <c r="Q680" s="171"/>
      <c r="R680" s="171"/>
    </row>
    <row r="681" spans="5:18" ht="12.75">
      <c r="E681" s="171"/>
      <c r="F681" s="171"/>
      <c r="G681" s="171"/>
      <c r="P681" s="171"/>
      <c r="Q681" s="171"/>
      <c r="R681" s="171"/>
    </row>
    <row r="682" spans="5:18" ht="12.75">
      <c r="E682" s="171"/>
      <c r="F682" s="171"/>
      <c r="G682" s="171"/>
      <c r="P682" s="171"/>
      <c r="Q682" s="171"/>
      <c r="R682" s="171"/>
    </row>
    <row r="683" spans="5:18" ht="12.75">
      <c r="E683" s="171"/>
      <c r="F683" s="171"/>
      <c r="G683" s="171"/>
      <c r="P683" s="171"/>
      <c r="Q683" s="171"/>
      <c r="R683" s="171"/>
    </row>
    <row r="684" spans="5:18" ht="12.75">
      <c r="E684" s="171"/>
      <c r="F684" s="171"/>
      <c r="G684" s="171"/>
      <c r="P684" s="171"/>
      <c r="Q684" s="171"/>
      <c r="R684" s="171"/>
    </row>
    <row r="685" spans="5:18" ht="12.75">
      <c r="E685" s="171"/>
      <c r="F685" s="171"/>
      <c r="G685" s="171"/>
      <c r="P685" s="171"/>
      <c r="Q685" s="171"/>
      <c r="R685" s="171"/>
    </row>
    <row r="686" spans="5:18" ht="12.75">
      <c r="E686" s="171"/>
      <c r="F686" s="171"/>
      <c r="G686" s="171"/>
      <c r="P686" s="171"/>
      <c r="Q686" s="171"/>
      <c r="R686" s="171"/>
    </row>
    <row r="687" spans="5:18" ht="12.75">
      <c r="E687" s="171"/>
      <c r="F687" s="171"/>
      <c r="G687" s="171"/>
      <c r="P687" s="171"/>
      <c r="Q687" s="171"/>
      <c r="R687" s="171"/>
    </row>
    <row r="688" spans="5:18" ht="12.75">
      <c r="E688" s="171"/>
      <c r="F688" s="171"/>
      <c r="G688" s="171"/>
      <c r="P688" s="171"/>
      <c r="Q688" s="171"/>
      <c r="R688" s="171"/>
    </row>
    <row r="689" spans="5:18" ht="12.75">
      <c r="E689" s="171"/>
      <c r="F689" s="171"/>
      <c r="G689" s="171"/>
      <c r="P689" s="171"/>
      <c r="Q689" s="171"/>
      <c r="R689" s="171"/>
    </row>
    <row r="690" spans="5:18" ht="12.75">
      <c r="E690" s="171"/>
      <c r="F690" s="171"/>
      <c r="G690" s="171"/>
      <c r="P690" s="171"/>
      <c r="Q690" s="171"/>
      <c r="R690" s="171"/>
    </row>
    <row r="691" spans="5:18" ht="12.75">
      <c r="E691" s="171"/>
      <c r="F691" s="171"/>
      <c r="G691" s="171"/>
      <c r="P691" s="171"/>
      <c r="Q691" s="171"/>
      <c r="R691" s="171"/>
    </row>
    <row r="692" spans="5:18" ht="12.75">
      <c r="E692" s="171"/>
      <c r="F692" s="171"/>
      <c r="G692" s="171"/>
      <c r="P692" s="171"/>
      <c r="Q692" s="171"/>
      <c r="R692" s="171"/>
    </row>
    <row r="693" spans="5:18" ht="12.75">
      <c r="E693" s="171"/>
      <c r="F693" s="171"/>
      <c r="G693" s="171"/>
      <c r="P693" s="171"/>
      <c r="Q693" s="171"/>
      <c r="R693" s="171"/>
    </row>
    <row r="694" spans="5:18" ht="12.75">
      <c r="E694" s="171"/>
      <c r="F694" s="171"/>
      <c r="G694" s="171"/>
      <c r="P694" s="171"/>
      <c r="Q694" s="171"/>
      <c r="R694" s="171"/>
    </row>
    <row r="695" spans="5:18" ht="12.75">
      <c r="E695" s="171"/>
      <c r="F695" s="171"/>
      <c r="G695" s="171"/>
      <c r="P695" s="171"/>
      <c r="Q695" s="171"/>
      <c r="R695" s="171"/>
    </row>
    <row r="696" spans="5:18" ht="12.75">
      <c r="E696" s="171"/>
      <c r="F696" s="171"/>
      <c r="G696" s="171"/>
      <c r="P696" s="171"/>
      <c r="Q696" s="171"/>
      <c r="R696" s="171"/>
    </row>
    <row r="697" spans="5:18" ht="12.75">
      <c r="E697" s="171"/>
      <c r="F697" s="171"/>
      <c r="G697" s="171"/>
      <c r="P697" s="171"/>
      <c r="Q697" s="171"/>
      <c r="R697" s="171"/>
    </row>
    <row r="698" spans="5:18" ht="12.75">
      <c r="E698" s="171"/>
      <c r="F698" s="171"/>
      <c r="G698" s="171"/>
      <c r="P698" s="171"/>
      <c r="Q698" s="171"/>
      <c r="R698" s="171"/>
    </row>
    <row r="699" spans="5:18" ht="12.75">
      <c r="E699" s="171"/>
      <c r="F699" s="171"/>
      <c r="G699" s="171"/>
      <c r="P699" s="171"/>
      <c r="Q699" s="171"/>
      <c r="R699" s="171"/>
    </row>
    <row r="700" spans="5:18" ht="12.75">
      <c r="E700" s="171"/>
      <c r="F700" s="171"/>
      <c r="G700" s="171"/>
      <c r="P700" s="171"/>
      <c r="Q700" s="171"/>
      <c r="R700" s="171"/>
    </row>
    <row r="701" spans="5:18" ht="12.75">
      <c r="E701" s="171"/>
      <c r="F701" s="171"/>
      <c r="G701" s="171"/>
      <c r="P701" s="171"/>
      <c r="Q701" s="171"/>
      <c r="R701" s="171"/>
    </row>
    <row r="702" spans="5:18" ht="12.75">
      <c r="E702" s="171"/>
      <c r="F702" s="171"/>
      <c r="G702" s="171"/>
      <c r="P702" s="171"/>
      <c r="Q702" s="171"/>
      <c r="R702" s="171"/>
    </row>
    <row r="703" spans="5:18" ht="12.75">
      <c r="E703" s="171"/>
      <c r="F703" s="171"/>
      <c r="G703" s="171"/>
      <c r="P703" s="171"/>
      <c r="Q703" s="171"/>
      <c r="R703" s="171"/>
    </row>
    <row r="704" spans="5:18" ht="12.75">
      <c r="E704" s="171"/>
      <c r="F704" s="171"/>
      <c r="G704" s="171"/>
      <c r="P704" s="171"/>
      <c r="Q704" s="171"/>
      <c r="R704" s="171"/>
    </row>
    <row r="705" spans="5:18" ht="12.75">
      <c r="E705" s="171"/>
      <c r="F705" s="171"/>
      <c r="G705" s="171"/>
      <c r="P705" s="171"/>
      <c r="Q705" s="171"/>
      <c r="R705" s="171"/>
    </row>
    <row r="706" spans="5:18" ht="12.75">
      <c r="E706" s="171"/>
      <c r="F706" s="171"/>
      <c r="G706" s="171"/>
      <c r="P706" s="171"/>
      <c r="Q706" s="171"/>
      <c r="R706" s="171"/>
    </row>
    <row r="707" spans="5:18" ht="12.75">
      <c r="E707" s="171"/>
      <c r="F707" s="171"/>
      <c r="G707" s="171"/>
      <c r="P707" s="171"/>
      <c r="Q707" s="171"/>
      <c r="R707" s="171"/>
    </row>
    <row r="708" spans="5:18" ht="12.75">
      <c r="E708" s="171"/>
      <c r="F708" s="171"/>
      <c r="G708" s="171"/>
      <c r="P708" s="171"/>
      <c r="Q708" s="171"/>
      <c r="R708" s="171"/>
    </row>
    <row r="709" spans="5:18" ht="12.75">
      <c r="E709" s="171"/>
      <c r="F709" s="171"/>
      <c r="G709" s="171"/>
      <c r="P709" s="171"/>
      <c r="Q709" s="171"/>
      <c r="R709" s="171"/>
    </row>
    <row r="710" spans="5:18" ht="12.75">
      <c r="E710" s="171"/>
      <c r="F710" s="171"/>
      <c r="G710" s="171"/>
      <c r="P710" s="171"/>
      <c r="Q710" s="171"/>
      <c r="R710" s="171"/>
    </row>
    <row r="711" spans="5:18" ht="12.75">
      <c r="E711" s="171"/>
      <c r="F711" s="171"/>
      <c r="G711" s="171"/>
      <c r="P711" s="171"/>
      <c r="Q711" s="171"/>
      <c r="R711" s="171"/>
    </row>
    <row r="712" spans="5:18" ht="12.75">
      <c r="E712" s="171"/>
      <c r="F712" s="171"/>
      <c r="G712" s="171"/>
      <c r="P712" s="171"/>
      <c r="Q712" s="171"/>
      <c r="R712" s="171"/>
    </row>
    <row r="713" spans="5:18" ht="12.75">
      <c r="E713" s="171"/>
      <c r="F713" s="171"/>
      <c r="G713" s="171"/>
      <c r="P713" s="171"/>
      <c r="Q713" s="171"/>
      <c r="R713" s="171"/>
    </row>
    <row r="714" spans="5:18" ht="12.75">
      <c r="E714" s="171"/>
      <c r="F714" s="171"/>
      <c r="G714" s="171"/>
      <c r="P714" s="171"/>
      <c r="Q714" s="171"/>
      <c r="R714" s="171"/>
    </row>
    <row r="715" spans="5:18" ht="12.75">
      <c r="E715" s="171"/>
      <c r="F715" s="171"/>
      <c r="G715" s="171"/>
      <c r="P715" s="171"/>
      <c r="Q715" s="171"/>
      <c r="R715" s="171"/>
    </row>
    <row r="716" spans="5:18" ht="12.75">
      <c r="E716" s="171"/>
      <c r="F716" s="171"/>
      <c r="G716" s="171"/>
      <c r="P716" s="171"/>
      <c r="Q716" s="171"/>
      <c r="R716" s="171"/>
    </row>
    <row r="717" spans="5:18" ht="12.75">
      <c r="E717" s="171"/>
      <c r="F717" s="171"/>
      <c r="G717" s="171"/>
      <c r="P717" s="171"/>
      <c r="Q717" s="171"/>
      <c r="R717" s="171"/>
    </row>
    <row r="718" spans="5:18" ht="12.75">
      <c r="E718" s="171"/>
      <c r="F718" s="171"/>
      <c r="G718" s="171"/>
      <c r="P718" s="171"/>
      <c r="Q718" s="171"/>
      <c r="R718" s="171"/>
    </row>
    <row r="719" spans="5:18" ht="12.75">
      <c r="E719" s="171"/>
      <c r="F719" s="171"/>
      <c r="G719" s="171"/>
      <c r="P719" s="171"/>
      <c r="Q719" s="171"/>
      <c r="R719" s="171"/>
    </row>
    <row r="720" spans="5:18" ht="12.75">
      <c r="E720" s="171"/>
      <c r="F720" s="171"/>
      <c r="G720" s="171"/>
      <c r="P720" s="171"/>
      <c r="Q720" s="171"/>
      <c r="R720" s="171"/>
    </row>
    <row r="721" spans="5:18" ht="12.75">
      <c r="E721" s="171"/>
      <c r="F721" s="171"/>
      <c r="G721" s="171"/>
      <c r="P721" s="171"/>
      <c r="Q721" s="171"/>
      <c r="R721" s="171"/>
    </row>
    <row r="722" spans="5:18" ht="12.75">
      <c r="E722" s="171"/>
      <c r="F722" s="171"/>
      <c r="G722" s="171"/>
      <c r="P722" s="171"/>
      <c r="Q722" s="171"/>
      <c r="R722" s="171"/>
    </row>
    <row r="723" spans="5:18" ht="12.75">
      <c r="E723" s="171"/>
      <c r="F723" s="171"/>
      <c r="G723" s="171"/>
      <c r="P723" s="171"/>
      <c r="Q723" s="171"/>
      <c r="R723" s="171"/>
    </row>
    <row r="724" spans="5:18" ht="12.75">
      <c r="E724" s="171"/>
      <c r="F724" s="171"/>
      <c r="G724" s="171"/>
      <c r="P724" s="171"/>
      <c r="Q724" s="171"/>
      <c r="R724" s="171"/>
    </row>
    <row r="725" spans="5:18" ht="12.75">
      <c r="E725" s="171"/>
      <c r="F725" s="171"/>
      <c r="G725" s="171"/>
      <c r="P725" s="171"/>
      <c r="Q725" s="171"/>
      <c r="R725" s="171"/>
    </row>
    <row r="726" spans="5:18" ht="12.75">
      <c r="E726" s="171"/>
      <c r="F726" s="171"/>
      <c r="G726" s="171"/>
      <c r="P726" s="171"/>
      <c r="Q726" s="171"/>
      <c r="R726" s="171"/>
    </row>
    <row r="727" spans="5:18" ht="12.75">
      <c r="E727" s="171"/>
      <c r="F727" s="171"/>
      <c r="G727" s="171"/>
      <c r="P727" s="171"/>
      <c r="Q727" s="171"/>
      <c r="R727" s="171"/>
    </row>
    <row r="728" spans="5:18" ht="12.75">
      <c r="E728" s="171"/>
      <c r="F728" s="171"/>
      <c r="G728" s="171"/>
      <c r="P728" s="171"/>
      <c r="Q728" s="171"/>
      <c r="R728" s="171"/>
    </row>
    <row r="729" spans="5:18" ht="12.75">
      <c r="E729" s="171"/>
      <c r="F729" s="171"/>
      <c r="G729" s="171"/>
      <c r="P729" s="171"/>
      <c r="Q729" s="171"/>
      <c r="R729" s="171"/>
    </row>
    <row r="730" spans="5:18" ht="12.75">
      <c r="E730" s="171"/>
      <c r="F730" s="171"/>
      <c r="G730" s="171"/>
      <c r="P730" s="171"/>
      <c r="Q730" s="171"/>
      <c r="R730" s="171"/>
    </row>
    <row r="731" spans="5:18" ht="12.75">
      <c r="E731" s="171"/>
      <c r="F731" s="171"/>
      <c r="G731" s="171"/>
      <c r="P731" s="171"/>
      <c r="Q731" s="171"/>
      <c r="R731" s="171"/>
    </row>
    <row r="732" spans="5:18" ht="12.75">
      <c r="E732" s="171"/>
      <c r="F732" s="171"/>
      <c r="G732" s="171"/>
      <c r="P732" s="171"/>
      <c r="Q732" s="171"/>
      <c r="R732" s="171"/>
    </row>
    <row r="733" spans="5:18" ht="12.75">
      <c r="E733" s="171"/>
      <c r="F733" s="171"/>
      <c r="G733" s="171"/>
      <c r="P733" s="171"/>
      <c r="Q733" s="171"/>
      <c r="R733" s="171"/>
    </row>
    <row r="734" spans="5:18" ht="12.75">
      <c r="E734" s="171"/>
      <c r="F734" s="171"/>
      <c r="G734" s="171"/>
      <c r="P734" s="171"/>
      <c r="Q734" s="171"/>
      <c r="R734" s="171"/>
    </row>
    <row r="735" spans="5:18" ht="12.75">
      <c r="E735" s="171"/>
      <c r="F735" s="171"/>
      <c r="G735" s="171"/>
      <c r="P735" s="171"/>
      <c r="Q735" s="171"/>
      <c r="R735" s="171"/>
    </row>
    <row r="736" spans="5:18" ht="12.75">
      <c r="E736" s="171"/>
      <c r="F736" s="171"/>
      <c r="G736" s="171"/>
      <c r="P736" s="171"/>
      <c r="Q736" s="171"/>
      <c r="R736" s="171"/>
    </row>
    <row r="737" spans="5:18" ht="12.75">
      <c r="E737" s="171"/>
      <c r="F737" s="171"/>
      <c r="G737" s="171"/>
      <c r="P737" s="171"/>
      <c r="Q737" s="171"/>
      <c r="R737" s="171"/>
    </row>
    <row r="738" spans="5:18" ht="12.75">
      <c r="E738" s="171"/>
      <c r="F738" s="171"/>
      <c r="G738" s="171"/>
      <c r="P738" s="171"/>
      <c r="Q738" s="171"/>
      <c r="R738" s="171"/>
    </row>
    <row r="739" spans="5:18" ht="12.75">
      <c r="E739" s="171"/>
      <c r="F739" s="171"/>
      <c r="G739" s="171"/>
      <c r="P739" s="171"/>
      <c r="Q739" s="171"/>
      <c r="R739" s="171"/>
    </row>
    <row r="740" spans="5:18" ht="12.75">
      <c r="E740" s="171"/>
      <c r="F740" s="171"/>
      <c r="G740" s="171"/>
      <c r="P740" s="171"/>
      <c r="Q740" s="171"/>
      <c r="R740" s="171"/>
    </row>
    <row r="741" spans="5:18" ht="12.75">
      <c r="E741" s="171"/>
      <c r="F741" s="171"/>
      <c r="G741" s="171"/>
      <c r="P741" s="171"/>
      <c r="Q741" s="171"/>
      <c r="R741" s="171"/>
    </row>
    <row r="742" spans="5:18" ht="12.75">
      <c r="E742" s="171"/>
      <c r="F742" s="171"/>
      <c r="G742" s="171"/>
      <c r="P742" s="171"/>
      <c r="Q742" s="171"/>
      <c r="R742" s="171"/>
    </row>
    <row r="743" spans="5:18" ht="12.75">
      <c r="E743" s="171"/>
      <c r="F743" s="171"/>
      <c r="G743" s="171"/>
      <c r="P743" s="171"/>
      <c r="Q743" s="171"/>
      <c r="R743" s="171"/>
    </row>
    <row r="744" spans="5:18" ht="12.75">
      <c r="E744" s="171"/>
      <c r="F744" s="171"/>
      <c r="G744" s="171"/>
      <c r="P744" s="171"/>
      <c r="Q744" s="171"/>
      <c r="R744" s="171"/>
    </row>
    <row r="745" spans="5:18" ht="12.75">
      <c r="E745" s="171"/>
      <c r="F745" s="171"/>
      <c r="G745" s="171"/>
      <c r="P745" s="171"/>
      <c r="Q745" s="171"/>
      <c r="R745" s="171"/>
    </row>
    <row r="746" spans="5:18" ht="12.75">
      <c r="E746" s="171"/>
      <c r="F746" s="171"/>
      <c r="G746" s="171"/>
      <c r="P746" s="171"/>
      <c r="Q746" s="171"/>
      <c r="R746" s="171"/>
    </row>
    <row r="747" spans="5:18" ht="12.75">
      <c r="E747" s="171"/>
      <c r="F747" s="171"/>
      <c r="G747" s="171"/>
      <c r="P747" s="171"/>
      <c r="Q747" s="171"/>
      <c r="R747" s="171"/>
    </row>
    <row r="748" spans="5:18" ht="12.75">
      <c r="E748" s="171"/>
      <c r="F748" s="171"/>
      <c r="G748" s="171"/>
      <c r="P748" s="171"/>
      <c r="Q748" s="171"/>
      <c r="R748" s="171"/>
    </row>
    <row r="749" spans="5:18" ht="12.75">
      <c r="E749" s="171"/>
      <c r="F749" s="171"/>
      <c r="G749" s="171"/>
      <c r="P749" s="171"/>
      <c r="Q749" s="171"/>
      <c r="R749" s="171"/>
    </row>
    <row r="750" spans="5:18" ht="12.75">
      <c r="E750" s="171"/>
      <c r="F750" s="171"/>
      <c r="G750" s="171"/>
      <c r="P750" s="171"/>
      <c r="Q750" s="171"/>
      <c r="R750" s="171"/>
    </row>
    <row r="751" spans="5:18" ht="12.75">
      <c r="E751" s="171"/>
      <c r="F751" s="171"/>
      <c r="G751" s="171"/>
      <c r="P751" s="171"/>
      <c r="Q751" s="171"/>
      <c r="R751" s="171"/>
    </row>
    <row r="752" spans="5:18" ht="12.75">
      <c r="E752" s="171"/>
      <c r="F752" s="171"/>
      <c r="G752" s="171"/>
      <c r="P752" s="171"/>
      <c r="Q752" s="171"/>
      <c r="R752" s="171"/>
    </row>
    <row r="753" spans="5:18" ht="12.75">
      <c r="E753" s="171"/>
      <c r="F753" s="171"/>
      <c r="G753" s="171"/>
      <c r="P753" s="171"/>
      <c r="Q753" s="171"/>
      <c r="R753" s="171"/>
    </row>
    <row r="754" spans="5:18" ht="12.75">
      <c r="E754" s="171"/>
      <c r="F754" s="171"/>
      <c r="G754" s="171"/>
      <c r="P754" s="171"/>
      <c r="Q754" s="171"/>
      <c r="R754" s="171"/>
    </row>
    <row r="755" spans="5:18" ht="12.75">
      <c r="E755" s="171"/>
      <c r="F755" s="171"/>
      <c r="G755" s="171"/>
      <c r="P755" s="171"/>
      <c r="Q755" s="171"/>
      <c r="R755" s="171"/>
    </row>
    <row r="756" spans="5:18" ht="12.75">
      <c r="E756" s="171"/>
      <c r="F756" s="171"/>
      <c r="G756" s="171"/>
      <c r="P756" s="171"/>
      <c r="Q756" s="171"/>
      <c r="R756" s="171"/>
    </row>
    <row r="757" spans="5:18" ht="12.75">
      <c r="E757" s="171"/>
      <c r="F757" s="171"/>
      <c r="G757" s="171"/>
      <c r="P757" s="171"/>
      <c r="Q757" s="171"/>
      <c r="R757" s="171"/>
    </row>
    <row r="758" spans="5:18" ht="12.75">
      <c r="E758" s="171"/>
      <c r="F758" s="171"/>
      <c r="G758" s="171"/>
      <c r="P758" s="171"/>
      <c r="Q758" s="171"/>
      <c r="R758" s="171"/>
    </row>
    <row r="759" spans="5:18" ht="12.75">
      <c r="E759" s="171"/>
      <c r="F759" s="171"/>
      <c r="G759" s="171"/>
      <c r="P759" s="171"/>
      <c r="Q759" s="171"/>
      <c r="R759" s="171"/>
    </row>
    <row r="760" spans="5:18" ht="12.75">
      <c r="E760" s="171"/>
      <c r="F760" s="171"/>
      <c r="G760" s="171"/>
      <c r="P760" s="171"/>
      <c r="Q760" s="171"/>
      <c r="R760" s="171"/>
    </row>
    <row r="761" spans="5:18" ht="12.75">
      <c r="E761" s="171"/>
      <c r="F761" s="171"/>
      <c r="G761" s="171"/>
      <c r="P761" s="171"/>
      <c r="Q761" s="171"/>
      <c r="R761" s="171"/>
    </row>
    <row r="762" spans="5:18" ht="12.75">
      <c r="E762" s="171"/>
      <c r="F762" s="171"/>
      <c r="G762" s="171"/>
      <c r="P762" s="171"/>
      <c r="Q762" s="171"/>
      <c r="R762" s="171"/>
    </row>
    <row r="763" spans="5:18" ht="12.75">
      <c r="E763" s="171"/>
      <c r="F763" s="171"/>
      <c r="G763" s="171"/>
      <c r="P763" s="171"/>
      <c r="Q763" s="171"/>
      <c r="R763" s="171"/>
    </row>
    <row r="764" spans="5:18" ht="12.75">
      <c r="E764" s="171"/>
      <c r="F764" s="171"/>
      <c r="G764" s="171"/>
      <c r="P764" s="171"/>
      <c r="Q764" s="171"/>
      <c r="R764" s="171"/>
    </row>
    <row r="765" spans="5:18" ht="12.75">
      <c r="E765" s="171"/>
      <c r="F765" s="171"/>
      <c r="G765" s="171"/>
      <c r="P765" s="171"/>
      <c r="Q765" s="171"/>
      <c r="R765" s="171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3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B2">
      <selection activeCell="B8" sqref="B8"/>
    </sheetView>
  </sheetViews>
  <sheetFormatPr defaultColWidth="9.140625" defaultRowHeight="12.75" outlineLevelRow="1"/>
  <cols>
    <col min="1" max="1" width="3.421875" style="1" hidden="1" customWidth="1"/>
    <col min="2" max="2" width="3.421875" style="172" customWidth="1"/>
    <col min="3" max="3" width="86.421875" style="172" customWidth="1"/>
    <col min="4" max="4" width="15.421875" style="172" customWidth="1"/>
    <col min="5" max="5" width="19.57421875" style="172" customWidth="1"/>
    <col min="6" max="7" width="19.57421875" style="172" hidden="1" customWidth="1"/>
    <col min="8" max="8" width="19.421875" style="171" customWidth="1"/>
    <col min="9" max="9" width="17.57421875" style="171" customWidth="1"/>
    <col min="10" max="10" width="0" style="1" hidden="1" customWidth="1"/>
    <col min="11" max="11" width="9.140625" style="257" customWidth="1"/>
    <col min="12" max="13" width="0" style="257" hidden="1" customWidth="1"/>
    <col min="14" max="16384" width="9.140625" style="257" customWidth="1"/>
  </cols>
  <sheetData>
    <row r="1" spans="1:9" ht="110.25" customHeight="1" hidden="1">
      <c r="A1" s="233" t="s">
        <v>2785</v>
      </c>
      <c r="B1" s="172" t="s">
        <v>726</v>
      </c>
      <c r="C1" s="172" t="s">
        <v>727</v>
      </c>
      <c r="D1" s="172" t="s">
        <v>726</v>
      </c>
      <c r="E1" s="172" t="s">
        <v>726</v>
      </c>
      <c r="H1" s="171" t="s">
        <v>3113</v>
      </c>
      <c r="I1" s="171" t="s">
        <v>728</v>
      </c>
    </row>
    <row r="2" spans="1:12" ht="15.75" customHeight="1">
      <c r="A2" s="125"/>
      <c r="B2" s="5" t="s">
        <v>729</v>
      </c>
      <c r="C2" s="47"/>
      <c r="D2" s="47"/>
      <c r="E2" s="47"/>
      <c r="F2" s="47"/>
      <c r="G2" s="47"/>
      <c r="H2" s="47"/>
      <c r="I2" s="226"/>
      <c r="J2" s="10"/>
      <c r="L2" s="218" t="s">
        <v>3125</v>
      </c>
    </row>
    <row r="3" spans="1:10" ht="15.75" customHeight="1">
      <c r="A3" s="125"/>
      <c r="B3" s="11" t="s">
        <v>2786</v>
      </c>
      <c r="C3" s="48"/>
      <c r="D3" s="48"/>
      <c r="E3" s="48"/>
      <c r="F3" s="48"/>
      <c r="G3" s="48"/>
      <c r="H3" s="48"/>
      <c r="I3" s="180"/>
      <c r="J3" s="10"/>
    </row>
    <row r="4" spans="1:10" ht="15.75" customHeight="1">
      <c r="A4" s="129"/>
      <c r="B4" s="84" t="str">
        <f>"For the Year Ending "&amp;TEXT(J4,"MMMM DD, YYY")</f>
        <v>For the Year Ending June 30, 2004</v>
      </c>
      <c r="C4" s="258"/>
      <c r="D4" s="258"/>
      <c r="E4" s="258"/>
      <c r="F4" s="258"/>
      <c r="G4" s="258"/>
      <c r="H4" s="258"/>
      <c r="I4" s="259"/>
      <c r="J4" s="1" t="s">
        <v>2976</v>
      </c>
    </row>
    <row r="5" spans="1:10" ht="12.75" customHeight="1">
      <c r="A5" s="125"/>
      <c r="B5" s="227"/>
      <c r="C5" s="228"/>
      <c r="D5" s="179"/>
      <c r="E5" s="228"/>
      <c r="F5" s="228"/>
      <c r="G5" s="228"/>
      <c r="H5" s="228"/>
      <c r="I5" s="260"/>
      <c r="J5" s="10"/>
    </row>
    <row r="6" spans="2:9" ht="12.75" customHeight="1">
      <c r="B6" s="197"/>
      <c r="C6" s="60"/>
      <c r="D6" s="60"/>
      <c r="E6" s="261" t="s">
        <v>3132</v>
      </c>
      <c r="F6" s="262"/>
      <c r="G6" s="262"/>
      <c r="H6" s="262"/>
      <c r="I6" s="150" t="s">
        <v>3128</v>
      </c>
    </row>
    <row r="7" spans="2:9" ht="12.75" customHeight="1">
      <c r="B7" s="199"/>
      <c r="C7" s="262"/>
      <c r="D7" s="262"/>
      <c r="E7" s="263" t="s">
        <v>764</v>
      </c>
      <c r="F7" s="231" t="s">
        <v>2787</v>
      </c>
      <c r="G7" s="231" t="s">
        <v>2788</v>
      </c>
      <c r="H7" s="231" t="s">
        <v>3126</v>
      </c>
      <c r="I7" s="150" t="s">
        <v>3131</v>
      </c>
    </row>
    <row r="8" spans="2:9" ht="12.75" customHeight="1">
      <c r="B8" s="202"/>
      <c r="C8" s="203"/>
      <c r="D8" s="204"/>
      <c r="E8" s="188"/>
      <c r="F8" s="188"/>
      <c r="G8" s="188"/>
      <c r="H8" s="188"/>
      <c r="I8" s="205"/>
    </row>
    <row r="9" spans="2:9" ht="12.75" customHeight="1">
      <c r="B9" s="61" t="s">
        <v>771</v>
      </c>
      <c r="C9" s="207"/>
      <c r="D9" s="62"/>
      <c r="E9" s="185"/>
      <c r="F9" s="185"/>
      <c r="G9" s="185"/>
      <c r="H9" s="185"/>
      <c r="I9" s="185"/>
    </row>
    <row r="10" spans="1:10" s="118" customFormat="1" ht="12.75" customHeight="1">
      <c r="A10" s="160" t="s">
        <v>726</v>
      </c>
      <c r="B10" s="209"/>
      <c r="C10" s="208" t="s">
        <v>1018</v>
      </c>
      <c r="D10" s="210"/>
      <c r="E10" s="185" t="s">
        <v>726</v>
      </c>
      <c r="F10" s="185"/>
      <c r="G10" s="185"/>
      <c r="H10" s="185"/>
      <c r="I10" s="185"/>
      <c r="J10" s="160"/>
    </row>
    <row r="11" spans="1:10" s="118" customFormat="1" ht="12.75" customHeight="1">
      <c r="A11" s="160" t="s">
        <v>2789</v>
      </c>
      <c r="B11" s="209"/>
      <c r="C11" s="208" t="s">
        <v>2790</v>
      </c>
      <c r="D11" s="210"/>
      <c r="E11" s="211">
        <v>90950608.22</v>
      </c>
      <c r="F11" s="211"/>
      <c r="G11" s="211"/>
      <c r="H11" s="211">
        <v>0</v>
      </c>
      <c r="I11" s="211">
        <f aca="true" t="shared" si="0" ref="I11:I27">E11+H11</f>
        <v>90950608.22</v>
      </c>
      <c r="J11" s="160"/>
    </row>
    <row r="12" spans="1:10" s="118" customFormat="1" ht="12.75" customHeight="1">
      <c r="A12" s="160" t="s">
        <v>2791</v>
      </c>
      <c r="B12" s="209"/>
      <c r="C12" s="208" t="s">
        <v>2792</v>
      </c>
      <c r="D12" s="210"/>
      <c r="E12" s="101">
        <v>5876848.88</v>
      </c>
      <c r="F12" s="101"/>
      <c r="G12" s="101"/>
      <c r="H12" s="101">
        <v>0</v>
      </c>
      <c r="I12" s="101">
        <f t="shared" si="0"/>
        <v>5876848.88</v>
      </c>
      <c r="J12" s="160"/>
    </row>
    <row r="13" spans="1:10" s="118" customFormat="1" ht="12.75" customHeight="1">
      <c r="A13" s="160" t="s">
        <v>2793</v>
      </c>
      <c r="B13" s="209"/>
      <c r="C13" s="208" t="s">
        <v>2794</v>
      </c>
      <c r="D13" s="210"/>
      <c r="E13" s="101">
        <v>1212271.71</v>
      </c>
      <c r="F13" s="101"/>
      <c r="G13" s="101"/>
      <c r="H13" s="101">
        <v>0</v>
      </c>
      <c r="I13" s="101">
        <f t="shared" si="0"/>
        <v>1212271.71</v>
      </c>
      <c r="J13" s="160"/>
    </row>
    <row r="14" spans="1:10" s="118" customFormat="1" ht="12.75" customHeight="1">
      <c r="A14" s="160" t="s">
        <v>2795</v>
      </c>
      <c r="B14" s="209"/>
      <c r="C14" s="208" t="s">
        <v>2796</v>
      </c>
      <c r="D14" s="210"/>
      <c r="E14" s="101">
        <v>848947.42</v>
      </c>
      <c r="F14" s="101"/>
      <c r="G14" s="101"/>
      <c r="H14" s="101">
        <v>0</v>
      </c>
      <c r="I14" s="101">
        <f t="shared" si="0"/>
        <v>848947.42</v>
      </c>
      <c r="J14" s="160"/>
    </row>
    <row r="15" spans="1:10" s="118" customFormat="1" ht="12.75" customHeight="1">
      <c r="A15" s="160" t="s">
        <v>2797</v>
      </c>
      <c r="B15" s="209"/>
      <c r="C15" s="208" t="s">
        <v>2798</v>
      </c>
      <c r="D15" s="210"/>
      <c r="E15" s="101">
        <v>2565924.7</v>
      </c>
      <c r="F15" s="101"/>
      <c r="G15" s="101"/>
      <c r="H15" s="101">
        <v>0</v>
      </c>
      <c r="I15" s="101">
        <f t="shared" si="0"/>
        <v>2565924.7</v>
      </c>
      <c r="J15" s="160"/>
    </row>
    <row r="16" spans="1:10" s="118" customFormat="1" ht="12.75" customHeight="1">
      <c r="A16" s="160" t="s">
        <v>2799</v>
      </c>
      <c r="B16" s="209"/>
      <c r="C16" s="208" t="s">
        <v>1019</v>
      </c>
      <c r="D16" s="210"/>
      <c r="E16" s="101">
        <v>2206157.83</v>
      </c>
      <c r="F16" s="101"/>
      <c r="G16" s="101"/>
      <c r="H16" s="101">
        <v>0</v>
      </c>
      <c r="I16" s="101">
        <f t="shared" si="0"/>
        <v>2206157.83</v>
      </c>
      <c r="J16" s="160"/>
    </row>
    <row r="17" spans="1:9" ht="76.5" hidden="1" outlineLevel="1">
      <c r="A17" s="233" t="s">
        <v>3377</v>
      </c>
      <c r="C17" s="172" t="s">
        <v>3378</v>
      </c>
      <c r="E17" s="216"/>
      <c r="F17" s="216"/>
      <c r="G17" s="216"/>
      <c r="H17" s="217">
        <v>1082187.18</v>
      </c>
      <c r="I17" s="554">
        <f t="shared" si="0"/>
        <v>1082187.18</v>
      </c>
    </row>
    <row r="18" spans="1:9" ht="76.5" hidden="1" outlineLevel="1">
      <c r="A18" s="233" t="s">
        <v>3380</v>
      </c>
      <c r="C18" s="172" t="s">
        <v>3381</v>
      </c>
      <c r="E18" s="216"/>
      <c r="F18" s="216"/>
      <c r="G18" s="216"/>
      <c r="H18" s="217">
        <v>5374430.65</v>
      </c>
      <c r="I18" s="554">
        <f t="shared" si="0"/>
        <v>5374430.65</v>
      </c>
    </row>
    <row r="19" spans="1:9" ht="76.5" hidden="1" outlineLevel="1">
      <c r="A19" s="233" t="s">
        <v>3383</v>
      </c>
      <c r="C19" s="172" t="s">
        <v>3384</v>
      </c>
      <c r="E19" s="216"/>
      <c r="F19" s="216"/>
      <c r="G19" s="216"/>
      <c r="H19" s="217">
        <v>1308263.12</v>
      </c>
      <c r="I19" s="554">
        <f t="shared" si="0"/>
        <v>1308263.12</v>
      </c>
    </row>
    <row r="20" spans="1:9" ht="76.5" hidden="1" outlineLevel="1">
      <c r="A20" s="233" t="s">
        <v>3386</v>
      </c>
      <c r="C20" s="172" t="s">
        <v>3387</v>
      </c>
      <c r="E20" s="216"/>
      <c r="F20" s="216"/>
      <c r="G20" s="216"/>
      <c r="H20" s="217">
        <v>96807.99</v>
      </c>
      <c r="I20" s="554">
        <f t="shared" si="0"/>
        <v>96807.99</v>
      </c>
    </row>
    <row r="21" spans="1:9" ht="76.5" hidden="1" outlineLevel="1">
      <c r="A21" s="233" t="s">
        <v>3389</v>
      </c>
      <c r="C21" s="172" t="s">
        <v>3390</v>
      </c>
      <c r="E21" s="216"/>
      <c r="F21" s="216"/>
      <c r="G21" s="216"/>
      <c r="H21" s="217">
        <v>215827.66</v>
      </c>
      <c r="I21" s="554">
        <f t="shared" si="0"/>
        <v>215827.66</v>
      </c>
    </row>
    <row r="22" spans="1:9" ht="76.5" hidden="1" outlineLevel="1">
      <c r="A22" s="233" t="s">
        <v>3392</v>
      </c>
      <c r="C22" s="172" t="s">
        <v>3393</v>
      </c>
      <c r="E22" s="216"/>
      <c r="F22" s="216"/>
      <c r="G22" s="216"/>
      <c r="H22" s="217">
        <v>433667.8</v>
      </c>
      <c r="I22" s="554">
        <f t="shared" si="0"/>
        <v>433667.8</v>
      </c>
    </row>
    <row r="23" spans="1:9" ht="76.5" hidden="1" outlineLevel="1">
      <c r="A23" s="233" t="s">
        <v>3395</v>
      </c>
      <c r="C23" s="172" t="s">
        <v>3396</v>
      </c>
      <c r="E23" s="216"/>
      <c r="F23" s="216"/>
      <c r="G23" s="216"/>
      <c r="H23" s="217">
        <v>101779.8</v>
      </c>
      <c r="I23" s="554">
        <f t="shared" si="0"/>
        <v>101779.8</v>
      </c>
    </row>
    <row r="24" spans="1:9" ht="76.5" hidden="1" outlineLevel="1">
      <c r="A24" s="233" t="s">
        <v>3398</v>
      </c>
      <c r="C24" s="172" t="s">
        <v>3399</v>
      </c>
      <c r="E24" s="216"/>
      <c r="F24" s="216"/>
      <c r="G24" s="216"/>
      <c r="H24" s="217">
        <v>36332.83</v>
      </c>
      <c r="I24" s="554">
        <f t="shared" si="0"/>
        <v>36332.83</v>
      </c>
    </row>
    <row r="25" spans="1:9" ht="76.5" hidden="1" outlineLevel="1">
      <c r="A25" s="233" t="s">
        <v>3401</v>
      </c>
      <c r="C25" s="172" t="s">
        <v>3402</v>
      </c>
      <c r="E25" s="216"/>
      <c r="F25" s="216"/>
      <c r="G25" s="216"/>
      <c r="H25" s="217">
        <v>15452.1</v>
      </c>
      <c r="I25" s="554">
        <f t="shared" si="0"/>
        <v>15452.1</v>
      </c>
    </row>
    <row r="26" spans="1:9" ht="76.5" hidden="1" outlineLevel="1">
      <c r="A26" s="233" t="s">
        <v>3404</v>
      </c>
      <c r="C26" s="172" t="s">
        <v>3405</v>
      </c>
      <c r="E26" s="216"/>
      <c r="F26" s="216"/>
      <c r="G26" s="216"/>
      <c r="H26" s="217">
        <v>77041.49</v>
      </c>
      <c r="I26" s="554">
        <f t="shared" si="0"/>
        <v>77041.49</v>
      </c>
    </row>
    <row r="27" spans="1:9" ht="76.5" hidden="1" outlineLevel="1">
      <c r="A27" s="233" t="s">
        <v>3407</v>
      </c>
      <c r="C27" s="172" t="s">
        <v>3408</v>
      </c>
      <c r="E27" s="216"/>
      <c r="F27" s="216"/>
      <c r="G27" s="216"/>
      <c r="H27" s="217">
        <v>683948.7</v>
      </c>
      <c r="I27" s="554">
        <f t="shared" si="0"/>
        <v>683948.7</v>
      </c>
    </row>
    <row r="28" spans="1:10" s="118" customFormat="1" ht="12.75" customHeight="1" collapsed="1">
      <c r="A28" s="160" t="s">
        <v>2800</v>
      </c>
      <c r="B28" s="209"/>
      <c r="C28" s="208" t="s">
        <v>773</v>
      </c>
      <c r="D28" s="210"/>
      <c r="E28" s="101">
        <v>16524067.79</v>
      </c>
      <c r="F28" s="101"/>
      <c r="G28" s="101"/>
      <c r="H28" s="101">
        <v>9425739.32</v>
      </c>
      <c r="I28" s="101">
        <f>E28+H28</f>
        <v>25949807.11</v>
      </c>
      <c r="J28" s="160"/>
    </row>
    <row r="29" spans="1:10" s="118" customFormat="1" ht="12.75" customHeight="1">
      <c r="A29" s="22"/>
      <c r="B29" s="214"/>
      <c r="C29" s="215" t="s">
        <v>1020</v>
      </c>
      <c r="D29" s="72"/>
      <c r="E29" s="103">
        <f>E11+E12+E13+E14+E15+E16-E28</f>
        <v>87136690.97</v>
      </c>
      <c r="F29" s="103"/>
      <c r="G29" s="103"/>
      <c r="H29" s="103">
        <f>H11+H12+H13+H14+H15+H16-H28</f>
        <v>-9425739.32</v>
      </c>
      <c r="I29" s="103">
        <f>E29+H29</f>
        <v>77710951.65</v>
      </c>
      <c r="J29" s="1"/>
    </row>
    <row r="30" spans="1:10" s="118" customFormat="1" ht="12.75" customHeight="1">
      <c r="A30" s="1"/>
      <c r="B30" s="209"/>
      <c r="C30" s="208"/>
      <c r="D30" s="210"/>
      <c r="E30" s="101"/>
      <c r="F30" s="101"/>
      <c r="G30" s="101"/>
      <c r="H30" s="101"/>
      <c r="I30" s="101"/>
      <c r="J30" s="1"/>
    </row>
    <row r="31" spans="1:10" s="118" customFormat="1" ht="12.75" customHeight="1">
      <c r="A31" s="160" t="s">
        <v>726</v>
      </c>
      <c r="B31" s="209"/>
      <c r="C31" s="208" t="s">
        <v>1021</v>
      </c>
      <c r="D31" s="210"/>
      <c r="E31" s="101" t="s">
        <v>726</v>
      </c>
      <c r="F31" s="101"/>
      <c r="G31" s="101"/>
      <c r="H31" s="101"/>
      <c r="I31" s="101"/>
      <c r="J31" s="160"/>
    </row>
    <row r="32" spans="1:10" s="118" customFormat="1" ht="12.75" customHeight="1">
      <c r="A32" s="160"/>
      <c r="B32" s="209"/>
      <c r="C32" s="208" t="s">
        <v>2801</v>
      </c>
      <c r="D32" s="210"/>
      <c r="E32" s="101"/>
      <c r="F32" s="101"/>
      <c r="G32" s="101"/>
      <c r="H32" s="101"/>
      <c r="I32" s="101"/>
      <c r="J32" s="160"/>
    </row>
    <row r="33" spans="1:10" s="118" customFormat="1" ht="12.75" customHeight="1">
      <c r="A33" s="160" t="s">
        <v>726</v>
      </c>
      <c r="B33" s="209"/>
      <c r="C33" s="208" t="s">
        <v>2802</v>
      </c>
      <c r="D33" s="210"/>
      <c r="E33" s="101">
        <v>0</v>
      </c>
      <c r="F33" s="101">
        <v>0</v>
      </c>
      <c r="G33" s="101">
        <v>101377.32</v>
      </c>
      <c r="H33" s="101">
        <f aca="true" t="shared" si="1" ref="H33:H49">F33+G33</f>
        <v>101377.32</v>
      </c>
      <c r="I33" s="101">
        <f>H33</f>
        <v>101377.32</v>
      </c>
      <c r="J33" s="160"/>
    </row>
    <row r="34" spans="1:10" s="118" customFormat="1" ht="12.75" customHeight="1">
      <c r="A34" s="160" t="s">
        <v>726</v>
      </c>
      <c r="B34" s="209"/>
      <c r="C34" s="208" t="s">
        <v>2803</v>
      </c>
      <c r="D34" s="210"/>
      <c r="E34" s="101">
        <v>0</v>
      </c>
      <c r="F34" s="101">
        <v>0</v>
      </c>
      <c r="G34" s="101">
        <v>1714000.12</v>
      </c>
      <c r="H34" s="101">
        <f t="shared" si="1"/>
        <v>1714000.12</v>
      </c>
      <c r="I34" s="101">
        <f aca="true" t="shared" si="2" ref="I34:I49">H34</f>
        <v>1714000.12</v>
      </c>
      <c r="J34" s="160"/>
    </row>
    <row r="35" spans="1:10" s="118" customFormat="1" ht="12.75" customHeight="1">
      <c r="A35" s="160" t="s">
        <v>726</v>
      </c>
      <c r="B35" s="209"/>
      <c r="C35" s="208" t="s">
        <v>2804</v>
      </c>
      <c r="D35" s="210"/>
      <c r="E35" s="101">
        <v>0</v>
      </c>
      <c r="F35" s="101">
        <v>0</v>
      </c>
      <c r="G35" s="101">
        <v>848406.72</v>
      </c>
      <c r="H35" s="101">
        <f t="shared" si="1"/>
        <v>848406.72</v>
      </c>
      <c r="I35" s="101">
        <f t="shared" si="2"/>
        <v>848406.72</v>
      </c>
      <c r="J35" s="160"/>
    </row>
    <row r="36" spans="1:10" s="118" customFormat="1" ht="12.75" customHeight="1">
      <c r="A36" s="160" t="s">
        <v>726</v>
      </c>
      <c r="B36" s="209"/>
      <c r="C36" s="208" t="s">
        <v>2805</v>
      </c>
      <c r="D36" s="210"/>
      <c r="E36" s="101">
        <v>0</v>
      </c>
      <c r="F36" s="101">
        <v>87000</v>
      </c>
      <c r="G36" s="101">
        <v>7504491.58</v>
      </c>
      <c r="H36" s="101">
        <f t="shared" si="1"/>
        <v>7591491.58</v>
      </c>
      <c r="I36" s="101">
        <f t="shared" si="2"/>
        <v>7591491.58</v>
      </c>
      <c r="J36" s="160"/>
    </row>
    <row r="37" spans="1:10" s="118" customFormat="1" ht="12.75" customHeight="1">
      <c r="A37" s="160" t="s">
        <v>726</v>
      </c>
      <c r="B37" s="209"/>
      <c r="C37" s="208" t="s">
        <v>2806</v>
      </c>
      <c r="D37" s="210"/>
      <c r="E37" s="101">
        <v>0</v>
      </c>
      <c r="F37" s="101">
        <v>0</v>
      </c>
      <c r="G37" s="101">
        <v>472991.24</v>
      </c>
      <c r="H37" s="101">
        <f t="shared" si="1"/>
        <v>472991.24</v>
      </c>
      <c r="I37" s="101">
        <f t="shared" si="2"/>
        <v>472991.24</v>
      </c>
      <c r="J37" s="160"/>
    </row>
    <row r="38" spans="1:10" s="118" customFormat="1" ht="12.75" customHeight="1">
      <c r="A38" s="160" t="s">
        <v>726</v>
      </c>
      <c r="B38" s="209"/>
      <c r="C38" s="208" t="s">
        <v>2807</v>
      </c>
      <c r="D38" s="210"/>
      <c r="E38" s="101">
        <v>0</v>
      </c>
      <c r="F38" s="101">
        <v>0</v>
      </c>
      <c r="G38" s="101">
        <v>14614753.23</v>
      </c>
      <c r="H38" s="101">
        <v>14584909</v>
      </c>
      <c r="I38" s="101">
        <f t="shared" si="2"/>
        <v>14584909</v>
      </c>
      <c r="J38" s="160"/>
    </row>
    <row r="39" spans="1:10" s="118" customFormat="1" ht="12.75" customHeight="1">
      <c r="A39" s="160" t="s">
        <v>726</v>
      </c>
      <c r="B39" s="209"/>
      <c r="C39" s="208" t="s">
        <v>2808</v>
      </c>
      <c r="D39" s="210"/>
      <c r="E39" s="101">
        <v>0</v>
      </c>
      <c r="F39" s="101">
        <v>0</v>
      </c>
      <c r="G39" s="101">
        <v>4503.64</v>
      </c>
      <c r="H39" s="101">
        <f t="shared" si="1"/>
        <v>4503.64</v>
      </c>
      <c r="I39" s="101">
        <f t="shared" si="2"/>
        <v>4503.64</v>
      </c>
      <c r="J39" s="160"/>
    </row>
    <row r="40" spans="1:10" s="118" customFormat="1" ht="12.75" customHeight="1">
      <c r="A40" s="160" t="s">
        <v>726</v>
      </c>
      <c r="B40" s="209"/>
      <c r="C40" s="208" t="s">
        <v>2809</v>
      </c>
      <c r="D40" s="210"/>
      <c r="E40" s="101">
        <v>0</v>
      </c>
      <c r="F40" s="101">
        <v>0</v>
      </c>
      <c r="G40" s="101">
        <v>0</v>
      </c>
      <c r="H40" s="101">
        <f t="shared" si="1"/>
        <v>0</v>
      </c>
      <c r="I40" s="101">
        <f t="shared" si="2"/>
        <v>0</v>
      </c>
      <c r="J40" s="160"/>
    </row>
    <row r="41" spans="1:10" s="118" customFormat="1" ht="12.75" customHeight="1">
      <c r="A41" s="160" t="s">
        <v>726</v>
      </c>
      <c r="B41" s="209"/>
      <c r="C41" s="208" t="s">
        <v>2810</v>
      </c>
      <c r="D41" s="210"/>
      <c r="E41" s="101">
        <v>0</v>
      </c>
      <c r="F41" s="101">
        <v>0</v>
      </c>
      <c r="G41" s="101">
        <v>50606.3</v>
      </c>
      <c r="H41" s="101">
        <f t="shared" si="1"/>
        <v>50606.3</v>
      </c>
      <c r="I41" s="101">
        <f t="shared" si="2"/>
        <v>50606.3</v>
      </c>
      <c r="J41" s="160"/>
    </row>
    <row r="42" spans="1:10" s="118" customFormat="1" ht="12.75" customHeight="1">
      <c r="A42" s="160" t="s">
        <v>726</v>
      </c>
      <c r="B42" s="209"/>
      <c r="C42" s="208" t="s">
        <v>2811</v>
      </c>
      <c r="D42" s="210"/>
      <c r="E42" s="101">
        <v>0</v>
      </c>
      <c r="F42" s="101">
        <v>0</v>
      </c>
      <c r="G42" s="101">
        <v>17002.44</v>
      </c>
      <c r="H42" s="101">
        <f t="shared" si="1"/>
        <v>17002.44</v>
      </c>
      <c r="I42" s="101">
        <f t="shared" si="2"/>
        <v>17002.44</v>
      </c>
      <c r="J42" s="160"/>
    </row>
    <row r="43" spans="1:10" s="118" customFormat="1" ht="12.75" customHeight="1">
      <c r="A43" s="160" t="s">
        <v>726</v>
      </c>
      <c r="B43" s="209"/>
      <c r="C43" s="208" t="s">
        <v>2812</v>
      </c>
      <c r="D43" s="210"/>
      <c r="E43" s="101">
        <v>0</v>
      </c>
      <c r="F43" s="101">
        <v>0</v>
      </c>
      <c r="G43" s="101">
        <v>0</v>
      </c>
      <c r="H43" s="101">
        <f t="shared" si="1"/>
        <v>0</v>
      </c>
      <c r="I43" s="101">
        <f t="shared" si="2"/>
        <v>0</v>
      </c>
      <c r="J43" s="160"/>
    </row>
    <row r="44" spans="1:10" s="118" customFormat="1" ht="12.75" customHeight="1">
      <c r="A44" s="160" t="s">
        <v>726</v>
      </c>
      <c r="B44" s="209"/>
      <c r="C44" s="208" t="s">
        <v>2813</v>
      </c>
      <c r="D44" s="210"/>
      <c r="E44" s="101">
        <v>0</v>
      </c>
      <c r="F44" s="101">
        <v>0</v>
      </c>
      <c r="G44" s="101">
        <v>0</v>
      </c>
      <c r="H44" s="101">
        <f t="shared" si="1"/>
        <v>0</v>
      </c>
      <c r="I44" s="101">
        <f t="shared" si="2"/>
        <v>0</v>
      </c>
      <c r="J44" s="160"/>
    </row>
    <row r="45" spans="1:10" s="118" customFormat="1" ht="12.75" customHeight="1">
      <c r="A45" s="160" t="s">
        <v>726</v>
      </c>
      <c r="B45" s="209"/>
      <c r="C45" s="208" t="s">
        <v>2814</v>
      </c>
      <c r="D45" s="210"/>
      <c r="E45" s="101">
        <v>0</v>
      </c>
      <c r="F45" s="101">
        <v>0</v>
      </c>
      <c r="G45" s="101">
        <v>7500</v>
      </c>
      <c r="H45" s="101">
        <f t="shared" si="1"/>
        <v>7500</v>
      </c>
      <c r="I45" s="101">
        <f t="shared" si="2"/>
        <v>7500</v>
      </c>
      <c r="J45" s="160"/>
    </row>
    <row r="46" spans="1:10" s="118" customFormat="1" ht="12.75" customHeight="1">
      <c r="A46" s="160" t="s">
        <v>726</v>
      </c>
      <c r="B46" s="209"/>
      <c r="C46" s="208" t="s">
        <v>2815</v>
      </c>
      <c r="D46" s="210"/>
      <c r="E46" s="101">
        <v>0</v>
      </c>
      <c r="F46" s="101">
        <v>0</v>
      </c>
      <c r="G46" s="101">
        <v>1423130.76</v>
      </c>
      <c r="H46" s="101">
        <f t="shared" si="1"/>
        <v>1423130.76</v>
      </c>
      <c r="I46" s="101">
        <f t="shared" si="2"/>
        <v>1423130.76</v>
      </c>
      <c r="J46" s="160"/>
    </row>
    <row r="47" spans="1:10" s="118" customFormat="1" ht="12.75" customHeight="1">
      <c r="A47" s="160" t="s">
        <v>726</v>
      </c>
      <c r="B47" s="209"/>
      <c r="C47" s="208" t="s">
        <v>2816</v>
      </c>
      <c r="D47" s="210"/>
      <c r="E47" s="101">
        <v>0</v>
      </c>
      <c r="F47" s="101">
        <v>-455852.05</v>
      </c>
      <c r="G47" s="101">
        <v>173088.78</v>
      </c>
      <c r="H47" s="101">
        <f t="shared" si="1"/>
        <v>-282763.27</v>
      </c>
      <c r="I47" s="101">
        <f t="shared" si="2"/>
        <v>-282763.27</v>
      </c>
      <c r="J47" s="160"/>
    </row>
    <row r="48" spans="1:10" s="118" customFormat="1" ht="12.75" customHeight="1">
      <c r="A48" s="160" t="s">
        <v>726</v>
      </c>
      <c r="B48" s="209"/>
      <c r="C48" s="208" t="s">
        <v>2817</v>
      </c>
      <c r="D48" s="210"/>
      <c r="E48" s="101">
        <v>0</v>
      </c>
      <c r="F48" s="101">
        <v>0</v>
      </c>
      <c r="G48" s="101">
        <v>177132.66</v>
      </c>
      <c r="H48" s="101">
        <f t="shared" si="1"/>
        <v>177132.66</v>
      </c>
      <c r="I48" s="101">
        <f t="shared" si="2"/>
        <v>177132.66</v>
      </c>
      <c r="J48" s="160"/>
    </row>
    <row r="49" spans="1:10" s="118" customFormat="1" ht="12.75" customHeight="1">
      <c r="A49" s="159"/>
      <c r="B49" s="214"/>
      <c r="C49" s="215" t="s">
        <v>2818</v>
      </c>
      <c r="D49" s="72"/>
      <c r="E49" s="103">
        <v>0</v>
      </c>
      <c r="F49" s="103">
        <f>F33+F34+F35+F36+F37+F38+F39+F40+F41+F42+F43+F44+F45+F46+F47+F48</f>
        <v>-368852.05</v>
      </c>
      <c r="G49" s="103">
        <v>27079141</v>
      </c>
      <c r="H49" s="103">
        <f t="shared" si="1"/>
        <v>26710288.95</v>
      </c>
      <c r="I49" s="103">
        <f t="shared" si="2"/>
        <v>26710288.95</v>
      </c>
      <c r="J49" s="159"/>
    </row>
    <row r="50" spans="1:10" s="118" customFormat="1" ht="12.75" customHeight="1">
      <c r="A50" s="159"/>
      <c r="B50" s="214"/>
      <c r="C50" s="215"/>
      <c r="D50" s="72"/>
      <c r="E50" s="103"/>
      <c r="F50" s="103"/>
      <c r="G50" s="103"/>
      <c r="H50" s="103"/>
      <c r="I50" s="103"/>
      <c r="J50" s="159"/>
    </row>
    <row r="51" spans="1:9" ht="76.5" hidden="1" outlineLevel="1">
      <c r="A51" s="233" t="s">
        <v>2819</v>
      </c>
      <c r="C51" s="172" t="s">
        <v>2820</v>
      </c>
      <c r="E51" s="216"/>
      <c r="F51" s="216"/>
      <c r="G51" s="216"/>
      <c r="H51" s="217">
        <v>4175038.27</v>
      </c>
      <c r="I51" s="554">
        <f aca="true" t="shared" si="3" ref="I51:I59">E51+H51</f>
        <v>4175038.27</v>
      </c>
    </row>
    <row r="52" spans="1:9" ht="76.5" hidden="1" outlineLevel="1">
      <c r="A52" s="233" t="s">
        <v>2821</v>
      </c>
      <c r="C52" s="172" t="s">
        <v>2822</v>
      </c>
      <c r="E52" s="216"/>
      <c r="F52" s="216"/>
      <c r="G52" s="216"/>
      <c r="H52" s="217">
        <v>286465</v>
      </c>
      <c r="I52" s="554">
        <f t="shared" si="3"/>
        <v>286465</v>
      </c>
    </row>
    <row r="53" spans="1:10" s="118" customFormat="1" ht="12.75" customHeight="1" collapsed="1">
      <c r="A53" s="160" t="s">
        <v>2823</v>
      </c>
      <c r="B53" s="209"/>
      <c r="C53" s="208" t="s">
        <v>776</v>
      </c>
      <c r="D53" s="210"/>
      <c r="E53" s="101">
        <v>0</v>
      </c>
      <c r="F53" s="101"/>
      <c r="G53" s="101"/>
      <c r="H53" s="101">
        <v>4461503.27</v>
      </c>
      <c r="I53" s="101">
        <f t="shared" si="3"/>
        <v>4461503.27</v>
      </c>
      <c r="J53" s="160"/>
    </row>
    <row r="54" spans="1:9" ht="76.5" hidden="1" outlineLevel="1">
      <c r="A54" s="233" t="s">
        <v>2824</v>
      </c>
      <c r="C54" s="172" t="s">
        <v>2825</v>
      </c>
      <c r="E54" s="216"/>
      <c r="F54" s="216"/>
      <c r="G54" s="216"/>
      <c r="H54" s="217">
        <v>2678797.33</v>
      </c>
      <c r="I54" s="554">
        <f t="shared" si="3"/>
        <v>2678797.33</v>
      </c>
    </row>
    <row r="55" spans="1:9" ht="76.5" hidden="1" outlineLevel="1">
      <c r="A55" s="233" t="s">
        <v>2826</v>
      </c>
      <c r="C55" s="172" t="s">
        <v>2827</v>
      </c>
      <c r="E55" s="216"/>
      <c r="F55" s="216"/>
      <c r="G55" s="216"/>
      <c r="H55" s="217">
        <v>100</v>
      </c>
      <c r="I55" s="554">
        <f t="shared" si="3"/>
        <v>100</v>
      </c>
    </row>
    <row r="56" spans="1:9" ht="76.5" hidden="1" outlineLevel="1">
      <c r="A56" s="233" t="s">
        <v>2828</v>
      </c>
      <c r="C56" s="172" t="s">
        <v>2829</v>
      </c>
      <c r="E56" s="216"/>
      <c r="F56" s="216"/>
      <c r="G56" s="216"/>
      <c r="H56" s="217">
        <v>568562.88</v>
      </c>
      <c r="I56" s="554">
        <f t="shared" si="3"/>
        <v>568562.88</v>
      </c>
    </row>
    <row r="57" spans="1:9" ht="76.5" hidden="1" outlineLevel="1">
      <c r="A57" s="233" t="s">
        <v>2830</v>
      </c>
      <c r="C57" s="172" t="s">
        <v>2831</v>
      </c>
      <c r="E57" s="216"/>
      <c r="F57" s="216"/>
      <c r="G57" s="216"/>
      <c r="H57" s="217">
        <v>8314266.27</v>
      </c>
      <c r="I57" s="554">
        <f t="shared" si="3"/>
        <v>8314266.27</v>
      </c>
    </row>
    <row r="58" spans="1:10" s="118" customFormat="1" ht="12.75" customHeight="1" collapsed="1">
      <c r="A58" s="160" t="s">
        <v>2832</v>
      </c>
      <c r="B58" s="209"/>
      <c r="C58" s="208" t="s">
        <v>777</v>
      </c>
      <c r="D58" s="210"/>
      <c r="E58" s="101">
        <v>0</v>
      </c>
      <c r="F58" s="101"/>
      <c r="G58" s="101"/>
      <c r="H58" s="101">
        <v>11561726.48</v>
      </c>
      <c r="I58" s="101">
        <f t="shared" si="3"/>
        <v>11561726.48</v>
      </c>
      <c r="J58" s="160"/>
    </row>
    <row r="59" spans="1:10" s="118" customFormat="1" ht="12.75" customHeight="1">
      <c r="A59" s="160" t="s">
        <v>2833</v>
      </c>
      <c r="B59" s="209"/>
      <c r="C59" s="208" t="s">
        <v>3420</v>
      </c>
      <c r="D59" s="210"/>
      <c r="E59" s="101">
        <v>1836841.82</v>
      </c>
      <c r="F59" s="101"/>
      <c r="G59" s="101"/>
      <c r="H59" s="101">
        <v>0</v>
      </c>
      <c r="I59" s="101">
        <f t="shared" si="3"/>
        <v>1836841.82</v>
      </c>
      <c r="J59" s="160"/>
    </row>
    <row r="60" spans="1:10" s="118" customFormat="1" ht="12.75" customHeight="1">
      <c r="A60" s="160"/>
      <c r="B60" s="209"/>
      <c r="C60" s="208" t="s">
        <v>1022</v>
      </c>
      <c r="D60" s="210"/>
      <c r="E60" s="101"/>
      <c r="F60" s="101"/>
      <c r="G60" s="101"/>
      <c r="H60" s="101"/>
      <c r="I60" s="101"/>
      <c r="J60" s="160"/>
    </row>
    <row r="61" spans="1:10" s="118" customFormat="1" ht="12.75" customHeight="1">
      <c r="A61" s="160" t="s">
        <v>726</v>
      </c>
      <c r="B61" s="209"/>
      <c r="C61" s="208" t="s">
        <v>1023</v>
      </c>
      <c r="D61" s="210"/>
      <c r="E61" s="101">
        <v>0</v>
      </c>
      <c r="F61" s="101"/>
      <c r="G61" s="101"/>
      <c r="H61" s="101">
        <v>0</v>
      </c>
      <c r="I61" s="101">
        <f aca="true" t="shared" si="4" ref="I61:I69">E61+H61</f>
        <v>0</v>
      </c>
      <c r="J61" s="160"/>
    </row>
    <row r="62" spans="1:10" s="118" customFormat="1" ht="12.75" customHeight="1">
      <c r="A62" s="160" t="s">
        <v>726</v>
      </c>
      <c r="B62" s="209"/>
      <c r="C62" s="208" t="s">
        <v>1024</v>
      </c>
      <c r="D62" s="210"/>
      <c r="E62" s="101">
        <v>4982468.49</v>
      </c>
      <c r="F62" s="101"/>
      <c r="G62" s="101"/>
      <c r="H62" s="101">
        <v>0</v>
      </c>
      <c r="I62" s="101">
        <f t="shared" si="4"/>
        <v>4982468.49</v>
      </c>
      <c r="J62" s="160"/>
    </row>
    <row r="63" spans="1:10" s="118" customFormat="1" ht="12.75" customHeight="1">
      <c r="A63" s="160" t="s">
        <v>726</v>
      </c>
      <c r="B63" s="209"/>
      <c r="C63" s="208" t="s">
        <v>1025</v>
      </c>
      <c r="D63" s="210"/>
      <c r="E63" s="101">
        <v>5740635.140000001</v>
      </c>
      <c r="F63" s="101"/>
      <c r="G63" s="101"/>
      <c r="H63" s="101">
        <v>0</v>
      </c>
      <c r="I63" s="101">
        <f t="shared" si="4"/>
        <v>5740635.140000001</v>
      </c>
      <c r="J63" s="160"/>
    </row>
    <row r="64" spans="1:10" s="118" customFormat="1" ht="12.75" customHeight="1">
      <c r="A64" s="160" t="s">
        <v>726</v>
      </c>
      <c r="B64" s="209"/>
      <c r="C64" s="208" t="s">
        <v>1026</v>
      </c>
      <c r="D64" s="210"/>
      <c r="E64" s="101">
        <v>13989841.3</v>
      </c>
      <c r="F64" s="101"/>
      <c r="G64" s="101"/>
      <c r="H64" s="101">
        <v>0</v>
      </c>
      <c r="I64" s="101">
        <f t="shared" si="4"/>
        <v>13989841.3</v>
      </c>
      <c r="J64" s="160"/>
    </row>
    <row r="65" spans="1:10" s="118" customFormat="1" ht="12.75" customHeight="1">
      <c r="A65" s="160" t="s">
        <v>2834</v>
      </c>
      <c r="B65" s="209"/>
      <c r="C65" s="208" t="s">
        <v>1027</v>
      </c>
      <c r="D65" s="210"/>
      <c r="E65" s="101">
        <v>16271503.02</v>
      </c>
      <c r="F65" s="101"/>
      <c r="G65" s="101"/>
      <c r="H65" s="101">
        <v>0</v>
      </c>
      <c r="I65" s="101">
        <f t="shared" si="4"/>
        <v>16271503.02</v>
      </c>
      <c r="J65" s="160"/>
    </row>
    <row r="66" spans="1:10" s="118" customFormat="1" ht="12.75" customHeight="1">
      <c r="A66" s="160" t="s">
        <v>2835</v>
      </c>
      <c r="B66" s="209"/>
      <c r="C66" s="208" t="s">
        <v>2945</v>
      </c>
      <c r="D66" s="210"/>
      <c r="E66" s="101">
        <v>0</v>
      </c>
      <c r="F66" s="101"/>
      <c r="G66" s="101"/>
      <c r="H66" s="101">
        <v>0</v>
      </c>
      <c r="I66" s="101">
        <f t="shared" si="4"/>
        <v>0</v>
      </c>
      <c r="J66" s="160"/>
    </row>
    <row r="67" spans="1:10" s="118" customFormat="1" ht="12.75" customHeight="1">
      <c r="A67" s="160" t="s">
        <v>726</v>
      </c>
      <c r="B67" s="209"/>
      <c r="C67" s="208" t="s">
        <v>1028</v>
      </c>
      <c r="D67" s="210"/>
      <c r="E67" s="101" t="s">
        <v>726</v>
      </c>
      <c r="F67" s="101"/>
      <c r="G67" s="101"/>
      <c r="H67" s="101"/>
      <c r="I67" s="101"/>
      <c r="J67" s="160"/>
    </row>
    <row r="68" spans="1:10" s="118" customFormat="1" ht="12.75" customHeight="1">
      <c r="A68" s="2" t="s">
        <v>2836</v>
      </c>
      <c r="B68" s="209"/>
      <c r="C68" s="208" t="s">
        <v>1029</v>
      </c>
      <c r="D68" s="210"/>
      <c r="E68" s="101">
        <v>4645956.84</v>
      </c>
      <c r="F68" s="101"/>
      <c r="G68" s="101"/>
      <c r="H68" s="101">
        <v>-4477713.27</v>
      </c>
      <c r="I68" s="101">
        <f t="shared" si="4"/>
        <v>168243.5700000003</v>
      </c>
      <c r="J68" s="2"/>
    </row>
    <row r="69" spans="1:10" s="118" customFormat="1" ht="12.75" customHeight="1">
      <c r="A69" s="2" t="s">
        <v>726</v>
      </c>
      <c r="B69" s="209"/>
      <c r="C69" s="208" t="s">
        <v>1030</v>
      </c>
      <c r="D69" s="210"/>
      <c r="E69" s="101">
        <f>E75-E68</f>
        <v>5199971.74</v>
      </c>
      <c r="F69" s="101"/>
      <c r="G69" s="101"/>
      <c r="H69" s="101">
        <f>H75-H68</f>
        <v>2579995.3299999996</v>
      </c>
      <c r="I69" s="101">
        <f t="shared" si="4"/>
        <v>7779967.07</v>
      </c>
      <c r="J69" s="2"/>
    </row>
    <row r="70" spans="1:10" s="118" customFormat="1" ht="12.75" customHeight="1">
      <c r="A70" s="29"/>
      <c r="B70" s="214"/>
      <c r="C70" s="215"/>
      <c r="D70" s="72"/>
      <c r="E70" s="151"/>
      <c r="F70" s="151"/>
      <c r="G70" s="151"/>
      <c r="H70" s="151"/>
      <c r="I70" s="151"/>
      <c r="J70" s="29"/>
    </row>
    <row r="71" spans="1:10" s="118" customFormat="1" ht="12.75" customHeight="1">
      <c r="A71" s="29"/>
      <c r="B71" s="214"/>
      <c r="C71" s="207" t="s">
        <v>2837</v>
      </c>
      <c r="D71" s="62"/>
      <c r="E71" s="221">
        <f>+E29+E49+E53+E58+E59+E61+E62+E63+E64+E65+E66+E68+E69</f>
        <v>139803909.32</v>
      </c>
      <c r="F71" s="221"/>
      <c r="G71" s="221"/>
      <c r="H71" s="221">
        <f>+H29+H49+H53+H58+H59+H61+H62+H63+H64+H65+H66+H68+H69</f>
        <v>31410061.439999998</v>
      </c>
      <c r="I71" s="221">
        <f>+I29+I49+I53+I58+I59+I61+I62+I63+I64+I65+I66+I68+I69</f>
        <v>171213970.76</v>
      </c>
      <c r="J71" s="1"/>
    </row>
    <row r="72" spans="1:10" s="118" customFormat="1" ht="12.75">
      <c r="A72" s="1"/>
      <c r="B72" s="172"/>
      <c r="C72" s="172"/>
      <c r="D72" s="172"/>
      <c r="E72" s="172"/>
      <c r="F72" s="172"/>
      <c r="G72" s="172"/>
      <c r="H72" s="172"/>
      <c r="I72" s="172"/>
      <c r="J72" s="1"/>
    </row>
    <row r="73" spans="1:10" s="118" customFormat="1" ht="12.75">
      <c r="A73" s="1"/>
      <c r="B73" s="172"/>
      <c r="C73" s="172"/>
      <c r="D73" s="172"/>
      <c r="E73" s="171"/>
      <c r="F73" s="171"/>
      <c r="G73" s="171"/>
      <c r="H73" s="171"/>
      <c r="I73" s="171"/>
      <c r="J73" s="1"/>
    </row>
    <row r="74" spans="1:10" s="118" customFormat="1" ht="12.75" hidden="1">
      <c r="A74" s="1"/>
      <c r="B74" s="172"/>
      <c r="C74" s="172" t="s">
        <v>2838</v>
      </c>
      <c r="D74" s="172"/>
      <c r="E74" s="171"/>
      <c r="F74" s="171"/>
      <c r="G74" s="171"/>
      <c r="H74" s="171"/>
      <c r="I74" s="171"/>
      <c r="J74" s="1"/>
    </row>
    <row r="75" spans="1:10" s="118" customFormat="1" ht="12.75" hidden="1">
      <c r="A75" s="1" t="s">
        <v>2839</v>
      </c>
      <c r="B75" s="172"/>
      <c r="C75" s="172" t="s">
        <v>2840</v>
      </c>
      <c r="D75" s="172"/>
      <c r="E75" s="171">
        <v>9845928.58</v>
      </c>
      <c r="F75" s="171"/>
      <c r="G75" s="171"/>
      <c r="H75" s="171">
        <v>-1897717.94</v>
      </c>
      <c r="I75" s="171"/>
      <c r="J75" s="1"/>
    </row>
    <row r="76" spans="5:7" ht="12.75">
      <c r="E76" s="171"/>
      <c r="F76" s="171"/>
      <c r="G76" s="171"/>
    </row>
    <row r="77" spans="5:7" ht="12.75">
      <c r="E77" s="171"/>
      <c r="F77" s="171"/>
      <c r="G77" s="171"/>
    </row>
    <row r="78" spans="5:7" ht="12.75">
      <c r="E78" s="171"/>
      <c r="F78" s="171"/>
      <c r="G78" s="171"/>
    </row>
    <row r="79" spans="5:7" ht="12.75">
      <c r="E79" s="171"/>
      <c r="F79" s="171"/>
      <c r="G79" s="171"/>
    </row>
    <row r="80" spans="5:7" ht="12.75">
      <c r="E80" s="171"/>
      <c r="F80" s="171"/>
      <c r="G80" s="171"/>
    </row>
    <row r="81" spans="5:7" ht="12.75">
      <c r="E81" s="171"/>
      <c r="F81" s="171"/>
      <c r="G81" s="171"/>
    </row>
    <row r="82" spans="5:7" ht="12.75">
      <c r="E82" s="171"/>
      <c r="F82" s="171"/>
      <c r="G82" s="171"/>
    </row>
    <row r="83" spans="5:7" ht="12.75">
      <c r="E83" s="171"/>
      <c r="F83" s="171"/>
      <c r="G83" s="171"/>
    </row>
    <row r="84" spans="5:7" ht="12.75">
      <c r="E84" s="171"/>
      <c r="F84" s="171"/>
      <c r="G84" s="171"/>
    </row>
    <row r="85" spans="5:7" ht="12.75">
      <c r="E85" s="171"/>
      <c r="F85" s="171"/>
      <c r="G85" s="171"/>
    </row>
    <row r="86" spans="5:7" ht="12.75">
      <c r="E86" s="171"/>
      <c r="F86" s="171"/>
      <c r="G86" s="171"/>
    </row>
    <row r="87" spans="5:7" ht="12.75">
      <c r="E87" s="171"/>
      <c r="F87" s="171"/>
      <c r="G87" s="171"/>
    </row>
    <row r="88" spans="5:7" ht="12.75">
      <c r="E88" s="171"/>
      <c r="F88" s="171"/>
      <c r="G88" s="171"/>
    </row>
    <row r="89" spans="5:7" ht="12.75">
      <c r="E89" s="171"/>
      <c r="F89" s="171"/>
      <c r="G89" s="171"/>
    </row>
    <row r="90" spans="5:7" ht="12.75">
      <c r="E90" s="171"/>
      <c r="F90" s="171"/>
      <c r="G90" s="171"/>
    </row>
    <row r="91" spans="5:7" ht="12.75">
      <c r="E91" s="171"/>
      <c r="F91" s="171"/>
      <c r="G91" s="171"/>
    </row>
    <row r="92" spans="5:7" ht="12.75">
      <c r="E92" s="171"/>
      <c r="F92" s="171"/>
      <c r="G92" s="171"/>
    </row>
    <row r="93" spans="5:7" ht="12.75">
      <c r="E93" s="171"/>
      <c r="F93" s="171"/>
      <c r="G93" s="171"/>
    </row>
    <row r="94" spans="5:7" ht="12.75">
      <c r="E94" s="171"/>
      <c r="F94" s="171"/>
      <c r="G94" s="171"/>
    </row>
    <row r="95" spans="5:7" ht="12.75">
      <c r="E95" s="171"/>
      <c r="F95" s="171"/>
      <c r="G95" s="171"/>
    </row>
    <row r="96" spans="5:7" ht="12.75">
      <c r="E96" s="171"/>
      <c r="F96" s="171"/>
      <c r="G96" s="171"/>
    </row>
    <row r="97" spans="5:7" ht="12.75">
      <c r="E97" s="171"/>
      <c r="F97" s="171"/>
      <c r="G97" s="171"/>
    </row>
    <row r="98" spans="5:7" ht="12.75">
      <c r="E98" s="171"/>
      <c r="F98" s="171"/>
      <c r="G98" s="171"/>
    </row>
    <row r="99" spans="5:7" ht="12.75">
      <c r="E99" s="171"/>
      <c r="F99" s="171"/>
      <c r="G99" s="171"/>
    </row>
    <row r="100" spans="5:7" ht="12.75">
      <c r="E100" s="171"/>
      <c r="F100" s="171"/>
      <c r="G100" s="171"/>
    </row>
    <row r="101" spans="5:7" ht="12.75">
      <c r="E101" s="171"/>
      <c r="F101" s="171"/>
      <c r="G101" s="171"/>
    </row>
    <row r="102" spans="5:7" ht="12.75">
      <c r="E102" s="171"/>
      <c r="F102" s="171"/>
      <c r="G102" s="171"/>
    </row>
    <row r="103" spans="5:7" ht="12.75">
      <c r="E103" s="171"/>
      <c r="F103" s="171"/>
      <c r="G103" s="171"/>
    </row>
    <row r="104" spans="5:7" ht="12.75">
      <c r="E104" s="171"/>
      <c r="F104" s="171"/>
      <c r="G104" s="171"/>
    </row>
    <row r="105" spans="5:7" ht="12.75">
      <c r="E105" s="171"/>
      <c r="F105" s="171"/>
      <c r="G105" s="171"/>
    </row>
    <row r="106" spans="5:7" ht="12.75">
      <c r="E106" s="171"/>
      <c r="F106" s="171"/>
      <c r="G106" s="171"/>
    </row>
    <row r="107" spans="5:7" ht="12.75">
      <c r="E107" s="171"/>
      <c r="F107" s="171"/>
      <c r="G107" s="171"/>
    </row>
    <row r="108" spans="5:7" ht="12.75">
      <c r="E108" s="171"/>
      <c r="F108" s="171"/>
      <c r="G108" s="171"/>
    </row>
    <row r="109" spans="5:7" ht="12.75">
      <c r="E109" s="171"/>
      <c r="F109" s="171"/>
      <c r="G109" s="171"/>
    </row>
    <row r="110" spans="5:7" ht="12.75">
      <c r="E110" s="171"/>
      <c r="F110" s="171"/>
      <c r="G110" s="171"/>
    </row>
    <row r="111" spans="5:7" ht="12.75">
      <c r="E111" s="171"/>
      <c r="F111" s="171"/>
      <c r="G111" s="171"/>
    </row>
    <row r="112" spans="5:7" ht="12.75">
      <c r="E112" s="171"/>
      <c r="F112" s="171"/>
      <c r="G112" s="171"/>
    </row>
    <row r="113" spans="5:7" ht="12.75">
      <c r="E113" s="171"/>
      <c r="F113" s="171"/>
      <c r="G113" s="171"/>
    </row>
    <row r="114" spans="5:7" ht="12.75">
      <c r="E114" s="171"/>
      <c r="F114" s="171"/>
      <c r="G114" s="171"/>
    </row>
    <row r="115" spans="5:7" ht="12.75">
      <c r="E115" s="171"/>
      <c r="F115" s="171"/>
      <c r="G115" s="171"/>
    </row>
    <row r="116" spans="5:7" ht="12.75">
      <c r="E116" s="171"/>
      <c r="F116" s="171"/>
      <c r="G116" s="171"/>
    </row>
    <row r="117" spans="5:7" ht="12.75">
      <c r="E117" s="171"/>
      <c r="F117" s="171"/>
      <c r="G117" s="171"/>
    </row>
    <row r="118" spans="5:7" ht="12.75">
      <c r="E118" s="171"/>
      <c r="F118" s="171"/>
      <c r="G118" s="171"/>
    </row>
    <row r="119" spans="5:7" ht="12.75">
      <c r="E119" s="171"/>
      <c r="F119" s="171"/>
      <c r="G119" s="171"/>
    </row>
    <row r="120" spans="5:7" ht="12.75">
      <c r="E120" s="171"/>
      <c r="F120" s="171"/>
      <c r="G120" s="171"/>
    </row>
    <row r="121" spans="5:7" ht="12.75">
      <c r="E121" s="171"/>
      <c r="F121" s="171"/>
      <c r="G121" s="171"/>
    </row>
    <row r="122" spans="5:7" ht="12.75">
      <c r="E122" s="171"/>
      <c r="F122" s="171"/>
      <c r="G122" s="171"/>
    </row>
    <row r="123" spans="5:7" ht="12.75">
      <c r="E123" s="171"/>
      <c r="F123" s="171"/>
      <c r="G123" s="171"/>
    </row>
    <row r="124" spans="5:7" ht="12.75">
      <c r="E124" s="171"/>
      <c r="F124" s="171"/>
      <c r="G124" s="171"/>
    </row>
    <row r="125" spans="5:7" ht="12.75">
      <c r="E125" s="171"/>
      <c r="F125" s="171"/>
      <c r="G125" s="171"/>
    </row>
    <row r="126" spans="5:7" ht="12.75">
      <c r="E126" s="171"/>
      <c r="F126" s="171"/>
      <c r="G126" s="171"/>
    </row>
    <row r="127" spans="5:7" ht="12.75">
      <c r="E127" s="171"/>
      <c r="F127" s="171"/>
      <c r="G127" s="171"/>
    </row>
    <row r="128" spans="5:7" ht="12.75">
      <c r="E128" s="171"/>
      <c r="F128" s="171"/>
      <c r="G128" s="171"/>
    </row>
    <row r="129" spans="5:7" ht="12.75">
      <c r="E129" s="171"/>
      <c r="F129" s="171"/>
      <c r="G129" s="171"/>
    </row>
    <row r="130" spans="5:7" ht="12.75">
      <c r="E130" s="171"/>
      <c r="F130" s="171"/>
      <c r="G130" s="171"/>
    </row>
    <row r="131" spans="5:7" ht="12.75">
      <c r="E131" s="171"/>
      <c r="F131" s="171"/>
      <c r="G131" s="171"/>
    </row>
    <row r="132" spans="5:7" ht="12.75">
      <c r="E132" s="171"/>
      <c r="F132" s="171"/>
      <c r="G132" s="171"/>
    </row>
    <row r="133" spans="5:7" ht="12.75">
      <c r="E133" s="171"/>
      <c r="F133" s="171"/>
      <c r="G133" s="171"/>
    </row>
    <row r="134" spans="5:7" ht="12.75">
      <c r="E134" s="171"/>
      <c r="F134" s="171"/>
      <c r="G134" s="171"/>
    </row>
    <row r="135" spans="5:7" ht="12.75">
      <c r="E135" s="171"/>
      <c r="F135" s="171"/>
      <c r="G135" s="171"/>
    </row>
    <row r="136" spans="5:7" ht="12.75">
      <c r="E136" s="171"/>
      <c r="F136" s="171"/>
      <c r="G136" s="171"/>
    </row>
    <row r="137" spans="5:7" ht="12.75">
      <c r="E137" s="171"/>
      <c r="F137" s="171"/>
      <c r="G137" s="171"/>
    </row>
    <row r="138" spans="5:7" ht="12.75">
      <c r="E138" s="171"/>
      <c r="F138" s="171"/>
      <c r="G138" s="171"/>
    </row>
    <row r="139" spans="5:7" ht="12.75">
      <c r="E139" s="171"/>
      <c r="F139" s="171"/>
      <c r="G139" s="171"/>
    </row>
    <row r="140" spans="5:7" ht="12.75">
      <c r="E140" s="171"/>
      <c r="F140" s="171"/>
      <c r="G140" s="171"/>
    </row>
    <row r="141" spans="5:7" ht="12.75">
      <c r="E141" s="171"/>
      <c r="F141" s="171"/>
      <c r="G141" s="171"/>
    </row>
    <row r="142" spans="5:7" ht="12.75">
      <c r="E142" s="171"/>
      <c r="F142" s="171"/>
      <c r="G142" s="171"/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95" zoomScaleNormal="95" workbookViewId="0" topLeftCell="B2">
      <selection activeCell="B6" sqref="B6"/>
    </sheetView>
  </sheetViews>
  <sheetFormatPr defaultColWidth="9.140625" defaultRowHeight="12.75"/>
  <cols>
    <col min="1" max="1" width="2.140625" style="264" hidden="1" customWidth="1"/>
    <col min="2" max="2" width="68.7109375" style="264" customWidth="1"/>
    <col min="3" max="8" width="18.7109375" style="265" customWidth="1"/>
    <col min="9" max="9" width="15.28125" style="264" hidden="1" customWidth="1"/>
    <col min="10" max="15" width="0" style="264" hidden="1" customWidth="1"/>
    <col min="16" max="16" width="13.7109375" style="264" hidden="1" customWidth="1"/>
    <col min="17" max="19" width="0" style="264" hidden="1" customWidth="1"/>
    <col min="20" max="16384" width="9.140625" style="264" customWidth="1"/>
  </cols>
  <sheetData>
    <row r="1" spans="1:6" ht="12" hidden="1">
      <c r="A1" s="264" t="s">
        <v>2841</v>
      </c>
      <c r="C1" s="265" t="s">
        <v>2842</v>
      </c>
      <c r="D1" s="265" t="s">
        <v>2843</v>
      </c>
      <c r="E1" s="265" t="s">
        <v>2844</v>
      </c>
      <c r="F1" s="265" t="s">
        <v>726</v>
      </c>
    </row>
    <row r="2" spans="2:18" s="128" customFormat="1" ht="15.75" customHeight="1">
      <c r="B2" s="266" t="s">
        <v>729</v>
      </c>
      <c r="C2" s="267"/>
      <c r="D2" s="267"/>
      <c r="E2" s="267"/>
      <c r="F2" s="267"/>
      <c r="G2" s="267"/>
      <c r="H2" s="268"/>
      <c r="M2" s="128" t="s">
        <v>2845</v>
      </c>
      <c r="P2" s="269" t="s">
        <v>1031</v>
      </c>
      <c r="R2" s="128" t="s">
        <v>3125</v>
      </c>
    </row>
    <row r="3" spans="2:16" s="128" customFormat="1" ht="15.75" customHeight="1">
      <c r="B3" s="178" t="s">
        <v>2846</v>
      </c>
      <c r="C3" s="270"/>
      <c r="D3" s="271"/>
      <c r="E3" s="270"/>
      <c r="F3" s="270"/>
      <c r="G3" s="270"/>
      <c r="H3" s="127"/>
      <c r="M3" s="128" t="s">
        <v>1032</v>
      </c>
      <c r="P3" s="272">
        <f ca="1">NOW()</f>
        <v>38440.606776851855</v>
      </c>
    </row>
    <row r="4" spans="2:16" ht="15.75" customHeight="1">
      <c r="B4" s="273" t="str">
        <f>"For the Year Ending "&amp;TEXT(M4,"MMMM DD, YYYY")</f>
        <v>For the Year Ending June 30, 2004</v>
      </c>
      <c r="C4" s="274"/>
      <c r="D4" s="275"/>
      <c r="E4" s="274"/>
      <c r="F4" s="274"/>
      <c r="G4" s="274"/>
      <c r="H4" s="276"/>
      <c r="M4" s="264" t="s">
        <v>2976</v>
      </c>
      <c r="P4" s="277">
        <f ca="1">NOW()</f>
        <v>38440.606776851855</v>
      </c>
    </row>
    <row r="5" spans="2:9" ht="12.75" customHeight="1">
      <c r="B5" s="278"/>
      <c r="C5" s="279"/>
      <c r="D5" s="280"/>
      <c r="E5" s="279"/>
      <c r="F5" s="279"/>
      <c r="G5" s="279"/>
      <c r="H5" s="281"/>
      <c r="I5" s="282"/>
    </row>
    <row r="6" spans="2:8" ht="38.25" customHeight="1">
      <c r="B6" s="153"/>
      <c r="C6" s="283" t="s">
        <v>2847</v>
      </c>
      <c r="D6" s="284" t="s">
        <v>2950</v>
      </c>
      <c r="E6" s="285" t="s">
        <v>2951</v>
      </c>
      <c r="F6" s="285" t="s">
        <v>2952</v>
      </c>
      <c r="G6" s="285" t="s">
        <v>2848</v>
      </c>
      <c r="H6" s="284" t="s">
        <v>3128</v>
      </c>
    </row>
    <row r="7" spans="2:8" ht="12.75" customHeight="1">
      <c r="B7" s="153"/>
      <c r="C7" s="286"/>
      <c r="D7" s="287"/>
      <c r="E7" s="285"/>
      <c r="F7" s="285"/>
      <c r="G7" s="285"/>
      <c r="H7" s="287"/>
    </row>
    <row r="8" spans="2:8" ht="12.75" customHeight="1">
      <c r="B8" s="288" t="s">
        <v>2849</v>
      </c>
      <c r="C8" s="289"/>
      <c r="D8" s="290"/>
      <c r="E8" s="291"/>
      <c r="F8" s="292" t="s">
        <v>2850</v>
      </c>
      <c r="G8" s="291"/>
      <c r="H8" s="293"/>
    </row>
    <row r="9" spans="2:8" ht="12.75" customHeight="1">
      <c r="B9" s="153"/>
      <c r="C9" s="294"/>
      <c r="D9" s="293"/>
      <c r="E9" s="293"/>
      <c r="F9" s="293"/>
      <c r="G9" s="293"/>
      <c r="H9" s="293"/>
    </row>
    <row r="10" spans="1:8" ht="12.75" customHeight="1">
      <c r="A10" s="264" t="s">
        <v>2851</v>
      </c>
      <c r="B10" s="153" t="s">
        <v>1033</v>
      </c>
      <c r="C10" s="295">
        <v>80411417.09</v>
      </c>
      <c r="D10" s="296">
        <v>16433305.14</v>
      </c>
      <c r="E10" s="296">
        <v>14034530.770000001</v>
      </c>
      <c r="F10" s="296">
        <v>0</v>
      </c>
      <c r="G10" s="296">
        <v>0</v>
      </c>
      <c r="H10" s="296">
        <f>C10+D10+E10+F10+G10</f>
        <v>110879253</v>
      </c>
    </row>
    <row r="11" spans="2:8" ht="12.75" customHeight="1">
      <c r="B11" s="153"/>
      <c r="C11" s="555"/>
      <c r="D11" s="556"/>
      <c r="E11" s="556"/>
      <c r="F11" s="556"/>
      <c r="G11" s="556"/>
      <c r="H11" s="556"/>
    </row>
    <row r="12" spans="1:8" ht="12.75" customHeight="1">
      <c r="A12" s="264" t="s">
        <v>2852</v>
      </c>
      <c r="B12" s="153" t="s">
        <v>1034</v>
      </c>
      <c r="C12" s="297">
        <v>9679836.69</v>
      </c>
      <c r="D12" s="298">
        <v>2021509.84</v>
      </c>
      <c r="E12" s="298">
        <v>10659630.359999998</v>
      </c>
      <c r="F12" s="298">
        <v>0</v>
      </c>
      <c r="G12" s="298">
        <v>0</v>
      </c>
      <c r="H12" s="298">
        <f>C12+D12+E12+F12+G12</f>
        <v>22360976.889999997</v>
      </c>
    </row>
    <row r="13" spans="2:8" ht="12.75" customHeight="1">
      <c r="B13" s="153"/>
      <c r="C13" s="297"/>
      <c r="D13" s="298"/>
      <c r="E13" s="298"/>
      <c r="F13" s="298"/>
      <c r="G13" s="298"/>
      <c r="H13" s="298"/>
    </row>
    <row r="14" spans="1:8" ht="12.75" customHeight="1">
      <c r="A14" s="264" t="s">
        <v>2853</v>
      </c>
      <c r="B14" s="153" t="s">
        <v>1035</v>
      </c>
      <c r="C14" s="297">
        <v>7895010.89</v>
      </c>
      <c r="D14" s="298">
        <v>1998982.55</v>
      </c>
      <c r="E14" s="298">
        <v>5689417.34</v>
      </c>
      <c r="F14" s="298">
        <v>0</v>
      </c>
      <c r="G14" s="298">
        <v>0</v>
      </c>
      <c r="H14" s="298">
        <f>C14+D14+E14+F14+G14</f>
        <v>15583410.78</v>
      </c>
    </row>
    <row r="15" spans="2:8" ht="12.75" customHeight="1">
      <c r="B15" s="153"/>
      <c r="C15" s="297"/>
      <c r="D15" s="298"/>
      <c r="E15" s="298"/>
      <c r="F15" s="298"/>
      <c r="G15" s="298"/>
      <c r="H15" s="298"/>
    </row>
    <row r="16" spans="1:8" ht="12.75" customHeight="1">
      <c r="A16" s="264" t="s">
        <v>2854</v>
      </c>
      <c r="B16" s="153" t="s">
        <v>1036</v>
      </c>
      <c r="C16" s="297">
        <v>11152130.2</v>
      </c>
      <c r="D16" s="298">
        <v>2681913.88</v>
      </c>
      <c r="E16" s="298">
        <v>5802794.359999999</v>
      </c>
      <c r="F16" s="298">
        <v>0</v>
      </c>
      <c r="G16" s="298">
        <v>0</v>
      </c>
      <c r="H16" s="298">
        <f>C16+D16+E16+F16+G16</f>
        <v>19636838.439999998</v>
      </c>
    </row>
    <row r="17" spans="2:8" ht="12.75" customHeight="1">
      <c r="B17" s="153"/>
      <c r="C17" s="297"/>
      <c r="D17" s="298"/>
      <c r="E17" s="298"/>
      <c r="F17" s="298"/>
      <c r="G17" s="298"/>
      <c r="H17" s="298"/>
    </row>
    <row r="18" spans="1:8" ht="12.75" customHeight="1">
      <c r="A18" s="264" t="s">
        <v>2855</v>
      </c>
      <c r="B18" s="153" t="s">
        <v>1037</v>
      </c>
      <c r="C18" s="297">
        <v>7160650.54</v>
      </c>
      <c r="D18" s="298">
        <v>1395713.63</v>
      </c>
      <c r="E18" s="298">
        <v>5567494.09</v>
      </c>
      <c r="F18" s="298">
        <v>0</v>
      </c>
      <c r="G18" s="298">
        <v>0</v>
      </c>
      <c r="H18" s="298">
        <f>C18+D18+E18+F18+G18</f>
        <v>14123858.26</v>
      </c>
    </row>
    <row r="19" spans="2:8" ht="12.75" customHeight="1">
      <c r="B19" s="153"/>
      <c r="C19" s="297"/>
      <c r="D19" s="298"/>
      <c r="E19" s="298"/>
      <c r="F19" s="298"/>
      <c r="G19" s="298"/>
      <c r="H19" s="298"/>
    </row>
    <row r="20" spans="1:8" ht="12.75" customHeight="1">
      <c r="A20" s="264" t="s">
        <v>2856</v>
      </c>
      <c r="B20" s="153" t="s">
        <v>1038</v>
      </c>
      <c r="C20" s="297">
        <v>11896514.45</v>
      </c>
      <c r="D20" s="298">
        <v>2927593.84</v>
      </c>
      <c r="E20" s="298">
        <v>5519652.34</v>
      </c>
      <c r="F20" s="298">
        <v>0</v>
      </c>
      <c r="G20" s="298">
        <v>0</v>
      </c>
      <c r="H20" s="298">
        <f>C20+D20+E20+F20+G20</f>
        <v>20343760.63</v>
      </c>
    </row>
    <row r="21" spans="2:8" ht="12.75" customHeight="1">
      <c r="B21" s="153"/>
      <c r="C21" s="297"/>
      <c r="D21" s="298"/>
      <c r="E21" s="298"/>
      <c r="F21" s="298"/>
      <c r="G21" s="298"/>
      <c r="H21" s="298"/>
    </row>
    <row r="22" spans="1:8" ht="12.75" customHeight="1">
      <c r="A22" s="264" t="s">
        <v>2857</v>
      </c>
      <c r="B22" s="153" t="s">
        <v>1039</v>
      </c>
      <c r="C22" s="297">
        <v>6536303.23</v>
      </c>
      <c r="D22" s="298">
        <v>1742993.58</v>
      </c>
      <c r="E22" s="298">
        <v>8628381.769999996</v>
      </c>
      <c r="F22" s="298">
        <v>0</v>
      </c>
      <c r="G22" s="298">
        <v>0</v>
      </c>
      <c r="H22" s="298">
        <f>C22+D22+E22+F22+G22</f>
        <v>16907678.58</v>
      </c>
    </row>
    <row r="23" spans="2:8" ht="12.75" customHeight="1">
      <c r="B23" s="153" t="s">
        <v>2858</v>
      </c>
      <c r="C23" s="297"/>
      <c r="D23" s="298"/>
      <c r="E23" s="298"/>
      <c r="F23" s="298"/>
      <c r="G23" s="298"/>
      <c r="H23" s="298"/>
    </row>
    <row r="24" spans="1:8" ht="12.75" customHeight="1">
      <c r="A24" s="264" t="s">
        <v>726</v>
      </c>
      <c r="B24" s="153" t="s">
        <v>1040</v>
      </c>
      <c r="C24" s="297">
        <v>0</v>
      </c>
      <c r="D24" s="298">
        <v>0</v>
      </c>
      <c r="E24" s="298">
        <v>0</v>
      </c>
      <c r="F24" s="298">
        <v>6780000</v>
      </c>
      <c r="G24" s="298">
        <v>0</v>
      </c>
      <c r="H24" s="298">
        <f>C24+D24+E24+F24+G24</f>
        <v>6780000</v>
      </c>
    </row>
    <row r="25" spans="2:8" ht="12.75" customHeight="1">
      <c r="B25" s="153"/>
      <c r="C25" s="297"/>
      <c r="D25" s="298"/>
      <c r="E25" s="298"/>
      <c r="F25" s="298"/>
      <c r="G25" s="298"/>
      <c r="H25" s="298"/>
    </row>
    <row r="26" spans="2:8" s="299" customFormat="1" ht="12.75" customHeight="1">
      <c r="B26" s="288" t="s">
        <v>1041</v>
      </c>
      <c r="C26" s="300">
        <f aca="true" t="shared" si="0" ref="C26:H26">+C24+C22+C20+C18+C16+C14+C12+C10</f>
        <v>134731863.09</v>
      </c>
      <c r="D26" s="300">
        <f t="shared" si="0"/>
        <v>29202012.46</v>
      </c>
      <c r="E26" s="300">
        <f t="shared" si="0"/>
        <v>55901901.029999994</v>
      </c>
      <c r="F26" s="300">
        <f t="shared" si="0"/>
        <v>6780000</v>
      </c>
      <c r="G26" s="300">
        <f t="shared" si="0"/>
        <v>0</v>
      </c>
      <c r="H26" s="300">
        <f t="shared" si="0"/>
        <v>226615776.57999998</v>
      </c>
    </row>
    <row r="27" spans="2:8" ht="12.75" customHeight="1">
      <c r="B27" s="153"/>
      <c r="C27" s="297"/>
      <c r="D27" s="298"/>
      <c r="E27" s="298"/>
      <c r="F27" s="298"/>
      <c r="G27" s="298"/>
      <c r="H27" s="298"/>
    </row>
    <row r="28" spans="1:8" ht="12.75" customHeight="1">
      <c r="A28" s="264" t="s">
        <v>2859</v>
      </c>
      <c r="B28" s="153" t="s">
        <v>1042</v>
      </c>
      <c r="C28" s="297">
        <v>8959952.16</v>
      </c>
      <c r="D28" s="298">
        <v>2025301.08</v>
      </c>
      <c r="E28" s="298">
        <v>14412192.209999999</v>
      </c>
      <c r="F28" s="298">
        <v>0</v>
      </c>
      <c r="G28" s="298">
        <v>0</v>
      </c>
      <c r="H28" s="298">
        <f>C28+D28+E28+F28+G28</f>
        <v>25397445.45</v>
      </c>
    </row>
    <row r="29" spans="2:8" ht="12.75" customHeight="1">
      <c r="B29" s="153"/>
      <c r="C29" s="297"/>
      <c r="D29" s="298"/>
      <c r="E29" s="298"/>
      <c r="F29" s="298"/>
      <c r="G29" s="298"/>
      <c r="H29" s="298"/>
    </row>
    <row r="30" spans="2:8" s="299" customFormat="1" ht="12.75" customHeight="1">
      <c r="B30" s="288" t="s">
        <v>1043</v>
      </c>
      <c r="C30" s="300">
        <f aca="true" t="shared" si="1" ref="C30:H30">C28+C26</f>
        <v>143691815.25</v>
      </c>
      <c r="D30" s="300">
        <f t="shared" si="1"/>
        <v>31227313.54</v>
      </c>
      <c r="E30" s="300">
        <f t="shared" si="1"/>
        <v>70314093.24</v>
      </c>
      <c r="F30" s="300">
        <f t="shared" si="1"/>
        <v>6780000</v>
      </c>
      <c r="G30" s="300">
        <f t="shared" si="1"/>
        <v>0</v>
      </c>
      <c r="H30" s="300">
        <f t="shared" si="1"/>
        <v>252013222.02999997</v>
      </c>
    </row>
    <row r="31" spans="2:8" ht="12.75" customHeight="1">
      <c r="B31" s="153"/>
      <c r="C31" s="297"/>
      <c r="D31" s="298"/>
      <c r="E31" s="298"/>
      <c r="F31" s="298"/>
      <c r="G31" s="298"/>
      <c r="H31" s="298"/>
    </row>
    <row r="32" spans="1:8" ht="12.75" customHeight="1">
      <c r="A32" s="264" t="s">
        <v>1044</v>
      </c>
      <c r="B32" s="288" t="s">
        <v>2860</v>
      </c>
      <c r="C32" s="301">
        <v>0</v>
      </c>
      <c r="D32" s="301">
        <v>0</v>
      </c>
      <c r="E32" s="301">
        <v>158330.16</v>
      </c>
      <c r="F32" s="301">
        <v>0</v>
      </c>
      <c r="G32" s="301">
        <v>0</v>
      </c>
      <c r="H32" s="301">
        <f>C32+D32+E32+F32+G32</f>
        <v>158330.16</v>
      </c>
    </row>
    <row r="33" spans="2:8" ht="12.75" customHeight="1">
      <c r="B33" s="288"/>
      <c r="C33" s="301"/>
      <c r="D33" s="301"/>
      <c r="E33" s="301"/>
      <c r="F33" s="301"/>
      <c r="G33" s="301"/>
      <c r="H33" s="301"/>
    </row>
    <row r="34" spans="1:8" ht="12.75" customHeight="1">
      <c r="A34" s="264" t="s">
        <v>1045</v>
      </c>
      <c r="B34" s="288" t="s">
        <v>2861</v>
      </c>
      <c r="C34" s="301">
        <v>0</v>
      </c>
      <c r="D34" s="301">
        <v>0</v>
      </c>
      <c r="E34" s="301">
        <v>81544.93</v>
      </c>
      <c r="F34" s="301">
        <v>0</v>
      </c>
      <c r="G34" s="301">
        <v>0</v>
      </c>
      <c r="H34" s="301">
        <f>C34+D34+E34+F34+G34</f>
        <v>81544.93</v>
      </c>
    </row>
    <row r="35" spans="2:8" ht="12.75" customHeight="1">
      <c r="B35" s="288"/>
      <c r="C35" s="301"/>
      <c r="D35" s="301"/>
      <c r="E35" s="301"/>
      <c r="F35" s="301"/>
      <c r="G35" s="301"/>
      <c r="H35" s="301"/>
    </row>
    <row r="36" spans="1:8" ht="12.75" customHeight="1">
      <c r="A36" s="264" t="s">
        <v>2862</v>
      </c>
      <c r="B36" s="288" t="s">
        <v>2863</v>
      </c>
      <c r="C36" s="301">
        <v>0</v>
      </c>
      <c r="D36" s="301">
        <v>0</v>
      </c>
      <c r="E36" s="301">
        <v>-13267955.61</v>
      </c>
      <c r="F36" s="301">
        <v>0</v>
      </c>
      <c r="G36" s="301">
        <v>0</v>
      </c>
      <c r="H36" s="301">
        <f>C36+D36+E36+F36+G36</f>
        <v>-13267955.61</v>
      </c>
    </row>
    <row r="37" spans="2:8" ht="12.75" customHeight="1">
      <c r="B37" s="288"/>
      <c r="C37" s="301"/>
      <c r="D37" s="301"/>
      <c r="E37" s="301"/>
      <c r="F37" s="301"/>
      <c r="G37" s="301"/>
      <c r="H37" s="301"/>
    </row>
    <row r="38" spans="2:8" ht="12.75" customHeight="1">
      <c r="B38" s="288" t="s">
        <v>2848</v>
      </c>
      <c r="C38" s="301">
        <v>0</v>
      </c>
      <c r="D38" s="301">
        <v>0</v>
      </c>
      <c r="E38" s="301">
        <v>0</v>
      </c>
      <c r="F38" s="301">
        <v>0</v>
      </c>
      <c r="G38" s="301">
        <v>7144050.89</v>
      </c>
      <c r="H38" s="301">
        <f>C38+D38+E38+F38+G38</f>
        <v>7144050.89</v>
      </c>
    </row>
    <row r="39" spans="2:8" ht="12.75" customHeight="1">
      <c r="B39" s="153"/>
      <c r="C39" s="556"/>
      <c r="D39" s="556"/>
      <c r="E39" s="556"/>
      <c r="F39" s="556"/>
      <c r="G39" s="556"/>
      <c r="H39" s="556"/>
    </row>
    <row r="40" spans="2:8" s="299" customFormat="1" ht="12.75" customHeight="1">
      <c r="B40" s="288" t="s">
        <v>1046</v>
      </c>
      <c r="C40" s="302">
        <f aca="true" t="shared" si="2" ref="C40:H40">C30+C32+C34+C36+C38</f>
        <v>143691815.25</v>
      </c>
      <c r="D40" s="302">
        <f t="shared" si="2"/>
        <v>31227313.54</v>
      </c>
      <c r="E40" s="302">
        <f t="shared" si="2"/>
        <v>57286012.72</v>
      </c>
      <c r="F40" s="302">
        <f t="shared" si="2"/>
        <v>6780000</v>
      </c>
      <c r="G40" s="302">
        <f t="shared" si="2"/>
        <v>7144050.89</v>
      </c>
      <c r="H40" s="302">
        <f t="shared" si="2"/>
        <v>246129192.39999998</v>
      </c>
    </row>
    <row r="41" spans="2:8" ht="12.75">
      <c r="B41" s="118"/>
      <c r="C41" s="109"/>
      <c r="D41" s="109"/>
      <c r="E41" s="109"/>
      <c r="F41" s="109"/>
      <c r="G41" s="109"/>
      <c r="H41" s="109"/>
    </row>
    <row r="42" spans="2:8" ht="12.75">
      <c r="B42" s="118" t="s">
        <v>1047</v>
      </c>
      <c r="C42" s="109"/>
      <c r="D42" s="109"/>
      <c r="E42" s="109"/>
      <c r="F42" s="109"/>
      <c r="G42" s="109"/>
      <c r="H42" s="109"/>
    </row>
    <row r="43" spans="2:8" ht="12.75">
      <c r="B43" s="118" t="s">
        <v>1048</v>
      </c>
      <c r="C43" s="109"/>
      <c r="D43" s="109"/>
      <c r="E43" s="109"/>
      <c r="F43" s="109"/>
      <c r="G43" s="109"/>
      <c r="H43" s="109"/>
    </row>
    <row r="44" spans="2:8" ht="9.75" customHeight="1">
      <c r="B44" s="118"/>
      <c r="C44" s="109"/>
      <c r="D44" s="109"/>
      <c r="E44" s="109"/>
      <c r="F44" s="109"/>
      <c r="G44" s="109"/>
      <c r="H44" s="109"/>
    </row>
    <row r="45" spans="2:8" ht="12.75">
      <c r="B45" s="118" t="s">
        <v>2864</v>
      </c>
      <c r="C45" s="109"/>
      <c r="D45" s="109"/>
      <c r="E45" s="109"/>
      <c r="F45" s="109"/>
      <c r="G45" s="109"/>
      <c r="H45" s="109"/>
    </row>
    <row r="46" ht="9.75" customHeight="1"/>
    <row r="47" spans="1:18" ht="12.75">
      <c r="A47" s="557"/>
      <c r="B47" s="558" t="s">
        <v>2865</v>
      </c>
      <c r="C47" s="559"/>
      <c r="D47" s="559"/>
      <c r="E47" s="559"/>
      <c r="F47" s="559"/>
      <c r="G47" s="559"/>
      <c r="H47" s="559"/>
      <c r="I47" s="557"/>
      <c r="J47" s="557"/>
      <c r="K47" s="557"/>
      <c r="L47" s="557"/>
      <c r="M47" s="557"/>
      <c r="N47" s="557"/>
      <c r="O47" s="557"/>
      <c r="P47" s="557"/>
      <c r="Q47" s="557"/>
      <c r="R47" s="557"/>
    </row>
    <row r="48" ht="9.75" customHeight="1"/>
    <row r="49" spans="1:18" ht="12.75">
      <c r="A49" s="557"/>
      <c r="B49" s="558" t="s">
        <v>2866</v>
      </c>
      <c r="C49" s="559"/>
      <c r="D49" s="559"/>
      <c r="E49" s="559"/>
      <c r="F49" s="559"/>
      <c r="G49" s="559"/>
      <c r="H49" s="559"/>
      <c r="I49" s="557"/>
      <c r="J49" s="557"/>
      <c r="K49" s="557"/>
      <c r="L49" s="557"/>
      <c r="M49" s="557"/>
      <c r="N49" s="557"/>
      <c r="O49" s="557"/>
      <c r="P49" s="557"/>
      <c r="Q49" s="557"/>
      <c r="R49" s="557"/>
    </row>
    <row r="50" ht="9.75" customHeight="1"/>
    <row r="51" spans="1:18" ht="12.75">
      <c r="A51" s="557"/>
      <c r="B51" s="558" t="s">
        <v>2867</v>
      </c>
      <c r="C51" s="559"/>
      <c r="D51" s="559"/>
      <c r="E51" s="559"/>
      <c r="F51" s="559"/>
      <c r="G51" s="559"/>
      <c r="H51" s="559"/>
      <c r="I51" s="557"/>
      <c r="J51" s="557"/>
      <c r="K51" s="557"/>
      <c r="L51" s="557"/>
      <c r="M51" s="557"/>
      <c r="N51" s="557"/>
      <c r="O51" s="557"/>
      <c r="P51" s="557"/>
      <c r="Q51" s="557"/>
      <c r="R51" s="557"/>
    </row>
    <row r="52" ht="9.75" customHeight="1"/>
    <row r="53" spans="1:18" ht="12.75">
      <c r="A53" s="557"/>
      <c r="B53" s="558" t="s">
        <v>2868</v>
      </c>
      <c r="C53" s="559"/>
      <c r="D53" s="559"/>
      <c r="E53" s="559"/>
      <c r="F53" s="559"/>
      <c r="G53" s="559"/>
      <c r="H53" s="559"/>
      <c r="I53" s="557"/>
      <c r="J53" s="557"/>
      <c r="K53" s="557"/>
      <c r="L53" s="557"/>
      <c r="M53" s="557"/>
      <c r="N53" s="557"/>
      <c r="O53" s="557"/>
      <c r="P53" s="557"/>
      <c r="Q53" s="557"/>
      <c r="R53" s="557"/>
    </row>
    <row r="54" ht="9.75" customHeight="1"/>
    <row r="55" spans="1:18" ht="12.75">
      <c r="A55" s="557"/>
      <c r="B55" s="558" t="s">
        <v>2869</v>
      </c>
      <c r="C55" s="559"/>
      <c r="D55" s="559"/>
      <c r="E55" s="559"/>
      <c r="F55" s="559"/>
      <c r="G55" s="559"/>
      <c r="H55" s="559"/>
      <c r="I55" s="557"/>
      <c r="J55" s="557"/>
      <c r="K55" s="557"/>
      <c r="L55" s="557"/>
      <c r="M55" s="557"/>
      <c r="N55" s="557"/>
      <c r="O55" s="557"/>
      <c r="P55" s="557"/>
      <c r="Q55" s="557"/>
      <c r="R55" s="557"/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153" hidden="1" customWidth="1"/>
    <col min="2" max="2" width="3.00390625" style="306" customWidth="1"/>
    <col min="3" max="3" width="65.7109375" style="321" customWidth="1"/>
    <col min="4" max="7" width="18.7109375" style="293" customWidth="1"/>
    <col min="8" max="8" width="18.7109375" style="153" customWidth="1"/>
    <col min="9" max="9" width="13.421875" style="153" hidden="1" customWidth="1"/>
    <col min="10" max="13" width="0" style="153" hidden="1" customWidth="1"/>
    <col min="14" max="16384" width="9.140625" style="153" customWidth="1"/>
  </cols>
  <sheetData>
    <row r="1" spans="1:8" ht="12.75" hidden="1">
      <c r="A1" s="153" t="s">
        <v>2841</v>
      </c>
      <c r="B1" s="303"/>
      <c r="C1" s="304" t="s">
        <v>727</v>
      </c>
      <c r="D1" s="305" t="s">
        <v>2870</v>
      </c>
      <c r="E1" s="305" t="s">
        <v>2871</v>
      </c>
      <c r="F1" s="305" t="s">
        <v>2872</v>
      </c>
      <c r="G1" s="305" t="s">
        <v>2873</v>
      </c>
      <c r="H1" s="146" t="s">
        <v>728</v>
      </c>
    </row>
    <row r="2" spans="1:12" ht="15.75" customHeight="1">
      <c r="A2" s="306"/>
      <c r="B2" s="366" t="s">
        <v>729</v>
      </c>
      <c r="C2" s="560"/>
      <c r="D2" s="307"/>
      <c r="E2" s="308"/>
      <c r="F2" s="307"/>
      <c r="G2" s="307"/>
      <c r="H2" s="309"/>
      <c r="I2" s="561" t="s">
        <v>1031</v>
      </c>
      <c r="J2" s="153" t="s">
        <v>3125</v>
      </c>
      <c r="L2" s="288" t="s">
        <v>2845</v>
      </c>
    </row>
    <row r="3" spans="1:12" ht="15.75" customHeight="1">
      <c r="A3" s="306"/>
      <c r="B3" s="178" t="s">
        <v>2874</v>
      </c>
      <c r="C3" s="560"/>
      <c r="D3" s="310"/>
      <c r="E3" s="311"/>
      <c r="F3" s="310"/>
      <c r="G3" s="310"/>
      <c r="H3" s="133"/>
      <c r="I3" s="562">
        <f ca="1">NOW()</f>
        <v>38440.606776851855</v>
      </c>
      <c r="L3" s="288" t="s">
        <v>1049</v>
      </c>
    </row>
    <row r="4" spans="1:12" ht="15.75" customHeight="1">
      <c r="A4" s="306"/>
      <c r="B4" s="273" t="str">
        <f>"As of "&amp;TEXT(L4,"MMMM DD, YYYY")</f>
        <v>As of June 30, 2004</v>
      </c>
      <c r="C4" s="560"/>
      <c r="D4" s="310"/>
      <c r="E4" s="311"/>
      <c r="F4" s="310"/>
      <c r="G4" s="310"/>
      <c r="H4" s="133"/>
      <c r="I4" s="563">
        <f ca="1">NOW()</f>
        <v>38440.606776851855</v>
      </c>
      <c r="L4" s="288" t="s">
        <v>2976</v>
      </c>
    </row>
    <row r="5" spans="1:12" ht="12.75" customHeight="1">
      <c r="A5" s="306"/>
      <c r="B5" s="278"/>
      <c r="C5" s="560"/>
      <c r="D5" s="313"/>
      <c r="E5" s="314"/>
      <c r="F5" s="313"/>
      <c r="G5" s="313"/>
      <c r="H5" s="138"/>
      <c r="I5" s="564"/>
      <c r="L5" s="288"/>
    </row>
    <row r="6" spans="2:8" ht="51">
      <c r="B6" s="315"/>
      <c r="C6" s="316"/>
      <c r="D6" s="317" t="s">
        <v>1050</v>
      </c>
      <c r="E6" s="318" t="s">
        <v>2875</v>
      </c>
      <c r="F6" s="318" t="s">
        <v>2876</v>
      </c>
      <c r="G6" s="317" t="s">
        <v>2877</v>
      </c>
      <c r="H6" s="319" t="s">
        <v>1051</v>
      </c>
    </row>
    <row r="7" spans="2:7" ht="12.75">
      <c r="B7" s="288" t="s">
        <v>2878</v>
      </c>
      <c r="E7" s="322"/>
      <c r="F7" s="322"/>
      <c r="G7" s="291"/>
    </row>
    <row r="8" spans="1:8" ht="12.75" outlineLevel="1">
      <c r="A8" s="153" t="s">
        <v>2879</v>
      </c>
      <c r="B8" s="303"/>
      <c r="C8" s="304" t="s">
        <v>2880</v>
      </c>
      <c r="D8" s="323">
        <v>-736663.62</v>
      </c>
      <c r="E8" s="323">
        <v>1444686.49</v>
      </c>
      <c r="F8" s="323">
        <v>3319064.13</v>
      </c>
      <c r="G8" s="323">
        <v>1971706.87</v>
      </c>
      <c r="H8" s="323">
        <f aca="true" t="shared" si="0" ref="H8:H23">D8+E8-F8+G8</f>
        <v>-639334.3899999997</v>
      </c>
    </row>
    <row r="9" spans="1:8" ht="12.75" outlineLevel="1">
      <c r="A9" s="153" t="s">
        <v>2881</v>
      </c>
      <c r="B9" s="303"/>
      <c r="C9" s="304" t="s">
        <v>2882</v>
      </c>
      <c r="D9" s="324">
        <v>5506.5</v>
      </c>
      <c r="E9" s="324">
        <v>0</v>
      </c>
      <c r="F9" s="324">
        <v>1612.16</v>
      </c>
      <c r="G9" s="324">
        <v>-3894.34</v>
      </c>
      <c r="H9" s="324">
        <f t="shared" si="0"/>
        <v>0</v>
      </c>
    </row>
    <row r="10" spans="1:8" ht="12.75" outlineLevel="1">
      <c r="A10" s="153" t="s">
        <v>2883</v>
      </c>
      <c r="B10" s="303"/>
      <c r="C10" s="304" t="s">
        <v>2884</v>
      </c>
      <c r="D10" s="324">
        <v>-1904622.23</v>
      </c>
      <c r="E10" s="324">
        <v>5740635.140000001</v>
      </c>
      <c r="F10" s="324">
        <v>5628001.540000001</v>
      </c>
      <c r="G10" s="324">
        <v>-126235.15</v>
      </c>
      <c r="H10" s="324">
        <f t="shared" si="0"/>
        <v>-1918223.7800000003</v>
      </c>
    </row>
    <row r="11" spans="1:8" ht="12.75" outlineLevel="1">
      <c r="A11" s="153" t="s">
        <v>2885</v>
      </c>
      <c r="B11" s="303"/>
      <c r="C11" s="304" t="s">
        <v>2886</v>
      </c>
      <c r="D11" s="324">
        <v>-1657827.5</v>
      </c>
      <c r="E11" s="324">
        <v>4982468.49</v>
      </c>
      <c r="F11" s="324">
        <v>4179807.12</v>
      </c>
      <c r="G11" s="324">
        <v>-713038.42</v>
      </c>
      <c r="H11" s="324">
        <f t="shared" si="0"/>
        <v>-1568204.5499999998</v>
      </c>
    </row>
    <row r="12" spans="1:8" ht="12.75" outlineLevel="1">
      <c r="A12" s="153" t="s">
        <v>2887</v>
      </c>
      <c r="B12" s="303"/>
      <c r="C12" s="304" t="s">
        <v>2888</v>
      </c>
      <c r="D12" s="324">
        <v>882326.9</v>
      </c>
      <c r="E12" s="324">
        <v>2053193.73</v>
      </c>
      <c r="F12" s="324">
        <v>537148.91</v>
      </c>
      <c r="G12" s="324">
        <v>-826125.63</v>
      </c>
      <c r="H12" s="324">
        <f t="shared" si="0"/>
        <v>1572246.0899999999</v>
      </c>
    </row>
    <row r="13" spans="1:8" ht="12.75" outlineLevel="1">
      <c r="A13" s="153" t="s">
        <v>2889</v>
      </c>
      <c r="B13" s="303"/>
      <c r="C13" s="304" t="s">
        <v>2890</v>
      </c>
      <c r="D13" s="324">
        <v>400035.33</v>
      </c>
      <c r="E13" s="324">
        <v>526307.27</v>
      </c>
      <c r="F13" s="324">
        <v>566321.66</v>
      </c>
      <c r="G13" s="324">
        <v>-162457</v>
      </c>
      <c r="H13" s="324">
        <f t="shared" si="0"/>
        <v>197563.94000000006</v>
      </c>
    </row>
    <row r="14" spans="1:8" ht="12.75" outlineLevel="1">
      <c r="A14" s="153" t="s">
        <v>2891</v>
      </c>
      <c r="B14" s="303"/>
      <c r="C14" s="304" t="s">
        <v>2892</v>
      </c>
      <c r="D14" s="324">
        <v>506120.41</v>
      </c>
      <c r="E14" s="324">
        <v>1170705.36</v>
      </c>
      <c r="F14" s="324">
        <v>1138730.19</v>
      </c>
      <c r="G14" s="324">
        <v>217411.59</v>
      </c>
      <c r="H14" s="324">
        <f t="shared" si="0"/>
        <v>755507.17</v>
      </c>
    </row>
    <row r="15" spans="1:8" ht="12.75" outlineLevel="1">
      <c r="A15" s="153" t="s">
        <v>2893</v>
      </c>
      <c r="B15" s="303"/>
      <c r="C15" s="304" t="s">
        <v>2894</v>
      </c>
      <c r="D15" s="324">
        <v>83043.6</v>
      </c>
      <c r="E15" s="324">
        <v>38968.97</v>
      </c>
      <c r="F15" s="324">
        <v>454790.08</v>
      </c>
      <c r="G15" s="324">
        <v>1750</v>
      </c>
      <c r="H15" s="324">
        <f t="shared" si="0"/>
        <v>-331027.51</v>
      </c>
    </row>
    <row r="16" spans="1:8" ht="12.75" outlineLevel="1">
      <c r="A16" s="153" t="s">
        <v>2895</v>
      </c>
      <c r="B16" s="303"/>
      <c r="C16" s="304" t="s">
        <v>2896</v>
      </c>
      <c r="D16" s="324">
        <v>-29026.51</v>
      </c>
      <c r="E16" s="324">
        <v>355386.02</v>
      </c>
      <c r="F16" s="324">
        <v>307717.9</v>
      </c>
      <c r="G16" s="324">
        <v>80161.35</v>
      </c>
      <c r="H16" s="324">
        <f t="shared" si="0"/>
        <v>98802.95999999999</v>
      </c>
    </row>
    <row r="17" spans="1:8" ht="12.75" outlineLevel="1">
      <c r="A17" s="153" t="s">
        <v>2897</v>
      </c>
      <c r="B17" s="303"/>
      <c r="C17" s="304" t="s">
        <v>2898</v>
      </c>
      <c r="D17" s="324">
        <v>34966.03</v>
      </c>
      <c r="E17" s="324">
        <v>814056.4</v>
      </c>
      <c r="F17" s="324">
        <v>805689.86</v>
      </c>
      <c r="G17" s="324">
        <v>20000</v>
      </c>
      <c r="H17" s="324">
        <f t="shared" si="0"/>
        <v>63332.570000000065</v>
      </c>
    </row>
    <row r="18" spans="1:8" ht="12.75" outlineLevel="1">
      <c r="A18" s="153" t="s">
        <v>2899</v>
      </c>
      <c r="B18" s="303"/>
      <c r="C18" s="304" t="s">
        <v>2900</v>
      </c>
      <c r="D18" s="324">
        <v>-61977.84</v>
      </c>
      <c r="E18" s="324">
        <v>5681987.279999999</v>
      </c>
      <c r="F18" s="324">
        <v>6193796.459999998</v>
      </c>
      <c r="G18" s="324">
        <v>383075.01</v>
      </c>
      <c r="H18" s="324">
        <f t="shared" si="0"/>
        <v>-190712.0099999986</v>
      </c>
    </row>
    <row r="19" spans="1:8" ht="12.75" outlineLevel="1">
      <c r="A19" s="153" t="s">
        <v>2901</v>
      </c>
      <c r="B19" s="303"/>
      <c r="C19" s="304" t="s">
        <v>2902</v>
      </c>
      <c r="D19" s="324">
        <v>160107.83</v>
      </c>
      <c r="E19" s="324">
        <v>71828.77</v>
      </c>
      <c r="F19" s="324">
        <v>431165.19</v>
      </c>
      <c r="G19" s="324">
        <v>175310.68</v>
      </c>
      <c r="H19" s="324">
        <f t="shared" si="0"/>
        <v>-23917.910000000033</v>
      </c>
    </row>
    <row r="20" spans="1:8" ht="12.75" outlineLevel="1">
      <c r="A20" s="153" t="s">
        <v>2903</v>
      </c>
      <c r="B20" s="303"/>
      <c r="C20" s="304" t="s">
        <v>2904</v>
      </c>
      <c r="D20" s="324">
        <v>-60272.52</v>
      </c>
      <c r="E20" s="324">
        <v>637723.42</v>
      </c>
      <c r="F20" s="324">
        <v>543408.89</v>
      </c>
      <c r="G20" s="324">
        <v>0</v>
      </c>
      <c r="H20" s="324">
        <f t="shared" si="0"/>
        <v>34042.01000000001</v>
      </c>
    </row>
    <row r="21" spans="1:8" ht="12.75" outlineLevel="1">
      <c r="A21" s="153" t="s">
        <v>2905</v>
      </c>
      <c r="B21" s="303"/>
      <c r="C21" s="304" t="s">
        <v>2906</v>
      </c>
      <c r="D21" s="324">
        <v>-19000</v>
      </c>
      <c r="E21" s="324">
        <v>430881.91</v>
      </c>
      <c r="F21" s="324">
        <v>531665.73</v>
      </c>
      <c r="G21" s="324">
        <v>253782.24</v>
      </c>
      <c r="H21" s="324">
        <f t="shared" si="0"/>
        <v>133998.41999999998</v>
      </c>
    </row>
    <row r="22" spans="1:8" ht="12.75" outlineLevel="1">
      <c r="A22" s="153" t="s">
        <v>2907</v>
      </c>
      <c r="B22" s="303"/>
      <c r="C22" s="304" t="s">
        <v>2908</v>
      </c>
      <c r="D22" s="324">
        <v>-46730.94</v>
      </c>
      <c r="E22" s="324">
        <v>738865.68</v>
      </c>
      <c r="F22" s="324">
        <v>758231.79</v>
      </c>
      <c r="G22" s="324">
        <v>-93897.93</v>
      </c>
      <c r="H22" s="324">
        <f t="shared" si="0"/>
        <v>-159994.98000000004</v>
      </c>
    </row>
    <row r="23" spans="1:8" ht="12.75" outlineLevel="1">
      <c r="A23" s="153" t="s">
        <v>1052</v>
      </c>
      <c r="B23" s="303"/>
      <c r="C23" s="304" t="s">
        <v>1053</v>
      </c>
      <c r="D23" s="324">
        <v>0</v>
      </c>
      <c r="E23" s="324">
        <v>25250</v>
      </c>
      <c r="F23" s="324">
        <v>293.84</v>
      </c>
      <c r="G23" s="324">
        <v>0</v>
      </c>
      <c r="H23" s="324">
        <f t="shared" si="0"/>
        <v>24956.16</v>
      </c>
    </row>
    <row r="24" spans="1:8" s="288" customFormat="1" ht="12.75">
      <c r="A24" s="288" t="s">
        <v>2909</v>
      </c>
      <c r="B24" s="320"/>
      <c r="C24" s="325" t="s">
        <v>2910</v>
      </c>
      <c r="D24" s="301">
        <v>-2444014.56</v>
      </c>
      <c r="E24" s="301">
        <v>24712944.93</v>
      </c>
      <c r="F24" s="301">
        <v>25397445.450000003</v>
      </c>
      <c r="G24" s="326">
        <v>1177549.28</v>
      </c>
      <c r="H24" s="301">
        <f>D24+E24-F24+G24</f>
        <v>-1950965.800000002</v>
      </c>
    </row>
    <row r="25" spans="4:8" ht="12.75">
      <c r="D25" s="298"/>
      <c r="E25" s="298"/>
      <c r="F25" s="298"/>
      <c r="G25" s="298"/>
      <c r="H25" s="298"/>
    </row>
    <row r="26" spans="2:8" ht="12.75">
      <c r="B26" s="288" t="s">
        <v>2911</v>
      </c>
      <c r="D26" s="298"/>
      <c r="E26" s="298"/>
      <c r="F26" s="298"/>
      <c r="G26" s="298"/>
      <c r="H26" s="298"/>
    </row>
    <row r="27" spans="1:8" ht="12.75" outlineLevel="1">
      <c r="A27" s="153" t="s">
        <v>1709</v>
      </c>
      <c r="B27" s="303"/>
      <c r="C27" s="304" t="s">
        <v>1724</v>
      </c>
      <c r="D27" s="324">
        <v>-110007.43</v>
      </c>
      <c r="E27" s="324">
        <v>148439.51</v>
      </c>
      <c r="F27" s="324">
        <v>262192.8699999992</v>
      </c>
      <c r="G27" s="324">
        <v>0</v>
      </c>
      <c r="H27" s="324">
        <f aca="true" t="shared" si="1" ref="H27:H34">D27+E27-F27+G27</f>
        <v>-223760.78999999916</v>
      </c>
    </row>
    <row r="28" spans="1:8" ht="12.75" outlineLevel="1">
      <c r="A28" s="153" t="s">
        <v>1710</v>
      </c>
      <c r="B28" s="303"/>
      <c r="C28" s="304" t="s">
        <v>1725</v>
      </c>
      <c r="D28" s="324">
        <v>30131.82</v>
      </c>
      <c r="E28" s="324">
        <v>0</v>
      </c>
      <c r="F28" s="324">
        <v>-223115.49</v>
      </c>
      <c r="G28" s="324">
        <v>0</v>
      </c>
      <c r="H28" s="324">
        <f t="shared" si="1"/>
        <v>253247.31</v>
      </c>
    </row>
    <row r="29" spans="1:8" ht="12.75" outlineLevel="1">
      <c r="A29" s="153" t="s">
        <v>1711</v>
      </c>
      <c r="B29" s="303"/>
      <c r="C29" s="304" t="s">
        <v>1726</v>
      </c>
      <c r="D29" s="324">
        <v>17733.22</v>
      </c>
      <c r="E29" s="324">
        <v>195832.96</v>
      </c>
      <c r="F29" s="324">
        <v>559031.58</v>
      </c>
      <c r="G29" s="324">
        <v>379033.62</v>
      </c>
      <c r="H29" s="324">
        <f t="shared" si="1"/>
        <v>33568.22000000003</v>
      </c>
    </row>
    <row r="30" spans="1:8" ht="12.75" outlineLevel="1">
      <c r="A30" s="153" t="s">
        <v>1712</v>
      </c>
      <c r="B30" s="303"/>
      <c r="C30" s="304" t="s">
        <v>1727</v>
      </c>
      <c r="D30" s="324">
        <v>-391959.59</v>
      </c>
      <c r="E30" s="324">
        <v>117767.63</v>
      </c>
      <c r="F30" s="324">
        <v>145730.26</v>
      </c>
      <c r="G30" s="324">
        <v>-44388</v>
      </c>
      <c r="H30" s="324">
        <f t="shared" si="1"/>
        <v>-464310.22000000003</v>
      </c>
    </row>
    <row r="31" spans="1:8" ht="12.75" outlineLevel="1">
      <c r="A31" s="153" t="s">
        <v>1713</v>
      </c>
      <c r="B31" s="303"/>
      <c r="C31" s="304" t="s">
        <v>1728</v>
      </c>
      <c r="D31" s="324">
        <v>-64644.17</v>
      </c>
      <c r="E31" s="324">
        <v>54841.66</v>
      </c>
      <c r="F31" s="324">
        <v>-286902.19</v>
      </c>
      <c r="G31" s="324">
        <v>-280897.55</v>
      </c>
      <c r="H31" s="324">
        <f t="shared" si="1"/>
        <v>-3797.8699999999953</v>
      </c>
    </row>
    <row r="32" spans="1:8" ht="12.75" outlineLevel="1">
      <c r="A32" s="153" t="s">
        <v>1714</v>
      </c>
      <c r="B32" s="303"/>
      <c r="C32" s="304" t="s">
        <v>1729</v>
      </c>
      <c r="D32" s="324">
        <v>816242.59</v>
      </c>
      <c r="E32" s="324">
        <v>205106.77</v>
      </c>
      <c r="F32" s="324">
        <v>-603349.86</v>
      </c>
      <c r="G32" s="324">
        <v>-875000</v>
      </c>
      <c r="H32" s="324">
        <f t="shared" si="1"/>
        <v>749699.22</v>
      </c>
    </row>
    <row r="33" spans="1:8" ht="12.75" outlineLevel="1">
      <c r="A33" s="153" t="s">
        <v>1715</v>
      </c>
      <c r="B33" s="303"/>
      <c r="C33" s="304" t="s">
        <v>1730</v>
      </c>
      <c r="D33" s="324">
        <v>-7387.86</v>
      </c>
      <c r="E33" s="324">
        <v>271.7</v>
      </c>
      <c r="F33" s="324">
        <v>-12978.249999999942</v>
      </c>
      <c r="G33" s="324">
        <v>-8910</v>
      </c>
      <c r="H33" s="324">
        <f t="shared" si="1"/>
        <v>-3047.910000000058</v>
      </c>
    </row>
    <row r="34" spans="1:8" ht="12.75" outlineLevel="1">
      <c r="A34" s="153" t="s">
        <v>1716</v>
      </c>
      <c r="B34" s="303"/>
      <c r="C34" s="304" t="s">
        <v>1731</v>
      </c>
      <c r="D34" s="324">
        <v>19245.16</v>
      </c>
      <c r="E34" s="324">
        <v>260171.51</v>
      </c>
      <c r="F34" s="324">
        <v>1410989.4</v>
      </c>
      <c r="G34" s="324">
        <v>1160947.04</v>
      </c>
      <c r="H34" s="324">
        <f t="shared" si="1"/>
        <v>29374.310000000056</v>
      </c>
    </row>
    <row r="35" spans="1:8" s="288" customFormat="1" ht="12.75">
      <c r="A35" s="288" t="s">
        <v>1717</v>
      </c>
      <c r="B35" s="320"/>
      <c r="C35" s="325" t="s">
        <v>2912</v>
      </c>
      <c r="D35" s="302">
        <v>309353.74</v>
      </c>
      <c r="E35" s="302">
        <v>982431.74</v>
      </c>
      <c r="F35" s="302">
        <v>1251598.32</v>
      </c>
      <c r="G35" s="302">
        <v>330785.11</v>
      </c>
      <c r="H35" s="302">
        <f>D35+E35-F35+G35</f>
        <v>370972.2699999999</v>
      </c>
    </row>
    <row r="36" ht="12.75">
      <c r="C36" s="565"/>
    </row>
    <row r="37" spans="3:5" ht="12.75" hidden="1">
      <c r="C37" s="604" t="s">
        <v>1054</v>
      </c>
      <c r="D37" s="605"/>
      <c r="E37" s="605"/>
    </row>
    <row r="38" spans="1:8" ht="12.75" hidden="1">
      <c r="A38" s="153" t="s">
        <v>3112</v>
      </c>
      <c r="C38" s="327" t="s">
        <v>3142</v>
      </c>
      <c r="D38" s="293">
        <v>138639.72</v>
      </c>
      <c r="E38" s="293">
        <v>0</v>
      </c>
      <c r="F38" s="293">
        <v>0</v>
      </c>
      <c r="G38" s="293">
        <v>0</v>
      </c>
      <c r="H38" s="93">
        <f>D38+E38-F38+G38</f>
        <v>138639.72</v>
      </c>
    </row>
    <row r="39" spans="1:8" ht="12.75" hidden="1">
      <c r="A39" s="153" t="s">
        <v>1055</v>
      </c>
      <c r="C39" s="327" t="s">
        <v>1056</v>
      </c>
      <c r="D39" s="293">
        <v>23588192.45</v>
      </c>
      <c r="E39" s="293">
        <v>108521944.11</v>
      </c>
      <c r="F39" s="293">
        <v>177619618.48999995</v>
      </c>
      <c r="G39" s="293">
        <v>72116254.89999999</v>
      </c>
      <c r="H39" s="93">
        <f>D39+E39-F39+G39</f>
        <v>26606772.970000044</v>
      </c>
    </row>
    <row r="40" spans="1:8" ht="12.75" hidden="1">
      <c r="A40" s="153" t="s">
        <v>1057</v>
      </c>
      <c r="C40" s="327" t="s">
        <v>1058</v>
      </c>
      <c r="D40" s="293">
        <v>0</v>
      </c>
      <c r="E40" s="293">
        <v>0</v>
      </c>
      <c r="F40" s="293">
        <v>0</v>
      </c>
      <c r="G40" s="293">
        <v>0</v>
      </c>
      <c r="H40" s="93">
        <f>D40+E40-F40+G40</f>
        <v>0</v>
      </c>
    </row>
    <row r="41" spans="3:8" ht="12.75" hidden="1">
      <c r="C41" s="325" t="s">
        <v>1059</v>
      </c>
      <c r="D41" s="93">
        <f>D24+D35+D38+D39+D40</f>
        <v>21592171.349999998</v>
      </c>
      <c r="E41" s="93">
        <f>E24+E35+E38+E39+E40</f>
        <v>134217320.78</v>
      </c>
      <c r="F41" s="93">
        <f>F24+F35+F38+F39+F40</f>
        <v>204268662.25999996</v>
      </c>
      <c r="G41" s="93">
        <f>G24+G35+G38+G39+G40</f>
        <v>73624589.28999999</v>
      </c>
      <c r="H41" s="93">
        <f>H24+H35+H38+H39+H40</f>
        <v>25165419.16000004</v>
      </c>
    </row>
  </sheetData>
  <mergeCells count="1">
    <mergeCell ref="C37:E37"/>
  </mergeCells>
  <printOptions horizontalCentered="1"/>
  <pageMargins left="0.5" right="0.5" top="0.7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2005-02-03T22:36:07Z</cp:lastPrinted>
  <dcterms:created xsi:type="dcterms:W3CDTF">2004-03-09T16:04:43Z</dcterms:created>
  <dcterms:modified xsi:type="dcterms:W3CDTF">2005-03-29T20:42:31Z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